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Clients\Ron\WEC\Rate Case 2022\FILED DISCOVERY\"/>
    </mc:Choice>
  </mc:AlternateContent>
  <xr:revisionPtr revIDLastSave="0" documentId="8_{A85FC104-FA80-4848-B1D5-76899ACC17D9}" xr6:coauthVersionLast="47" xr6:coauthVersionMax="47" xr10:uidLastSave="{00000000-0000-0000-0000-000000000000}"/>
  <bookViews>
    <workbookView xWindow="-108" yWindow="-108" windowWidth="23256" windowHeight="12576" tabRatio="727" xr2:uid="{00000000-000D-0000-FFFF-FFFF00000000}"/>
  </bookViews>
  <sheets>
    <sheet name="S1-Revenue Requirement" sheetId="1" r:id="rId1"/>
    <sheet name="S1-A Summary of Variances" sheetId="45" r:id="rId2"/>
    <sheet name="S2 - Power Supply" sheetId="3" r:id="rId3"/>
    <sheet name="S3 - Transmission &amp; Power Prod" sheetId="4" r:id="rId4"/>
    <sheet name="S4 - Dist Maint &amp; Ops" sheetId="5" r:id="rId5"/>
    <sheet name="S5 - Cust Accts" sheetId="6" r:id="rId6"/>
    <sheet name="S6 - Admin &amp; Gen" sheetId="10" r:id="rId7"/>
    <sheet name="S6A - Payroll by Function" sheetId="8" r:id="rId8"/>
    <sheet name="S6-B Payroll Distribution" sheetId="31" r:id="rId9"/>
    <sheet name="S6C Total Payroll &amp; Benefits" sheetId="37" r:id="rId10"/>
    <sheet name="S7 - Insurance" sheetId="39" r:id="rId11"/>
    <sheet name="S8 - Depreciation" sheetId="13" r:id="rId12"/>
    <sheet name="S8A - Amortization" sheetId="40" r:id="rId13"/>
    <sheet name="S9 - Interest Exp" sheetId="23" r:id="rId14"/>
    <sheet name="S9-A WCOD" sheetId="49" r:id="rId15"/>
    <sheet name="S10 - Int &amp; Div Income" sheetId="18" r:id="rId16"/>
    <sheet name="S11  - Other Revenues" sheetId="27" r:id="rId17"/>
    <sheet name="S12 - Ratio Calcs" sheetId="35" r:id="rId18"/>
    <sheet name="S13 ROE" sheetId="36" r:id="rId19"/>
    <sheet name="S14 - Property Tax Generation" sheetId="53" r:id="rId20"/>
    <sheet name="S15 - Gross Rec &amp; Rev Tax" sheetId="42" r:id="rId21"/>
    <sheet name="S16 - Net Metering" sheetId="54" r:id="rId22"/>
    <sheet name="S17 - Effect on Revenue" sheetId="51" r:id="rId23"/>
    <sheet name="Trial Balance" sheetId="2" r:id="rId24"/>
    <sheet name="S18 Return on Rate Base" sheetId="5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d" localSheetId="19">#REF!</definedName>
    <definedName name="\d" localSheetId="22">#REF!</definedName>
    <definedName name="\d" localSheetId="24">#REF!</definedName>
    <definedName name="\d">#REF!</definedName>
    <definedName name="\p" localSheetId="19">'[1]#REF'!#REF!</definedName>
    <definedName name="\p" localSheetId="22">'[1]#REF'!#REF!</definedName>
    <definedName name="\p" localSheetId="24">'[1]#REF'!#REF!</definedName>
    <definedName name="\p">'[1]#REF'!#REF!</definedName>
    <definedName name="__123Graph_D" localSheetId="22" hidden="1">'[1]#REF'!#REF!</definedName>
    <definedName name="__123Graph_D" localSheetId="24" hidden="1">'[1]#REF'!#REF!</definedName>
    <definedName name="__123Graph_D" hidden="1">'[1]#REF'!#REF!</definedName>
    <definedName name="__123Graph_E" localSheetId="22" hidden="1">'[1]#REF'!#REF!</definedName>
    <definedName name="__123Graph_E" localSheetId="24" hidden="1">'[1]#REF'!#REF!</definedName>
    <definedName name="__123Graph_E" hidden="1">'[1]#REF'!#REF!</definedName>
    <definedName name="__123Graph_F" localSheetId="22" hidden="1">'[1]#REF'!#REF!</definedName>
    <definedName name="__123Graph_F" localSheetId="24" hidden="1">'[1]#REF'!#REF!</definedName>
    <definedName name="__123Graph_F" hidden="1">'[1]#REF'!#REF!</definedName>
    <definedName name="__PAG1" localSheetId="19">#REF!</definedName>
    <definedName name="__PAG1">#REF!</definedName>
    <definedName name="__ROW2">'[2]737A-1'!$A$67:$AH$72</definedName>
    <definedName name="__ROW3">'[2]737A-1'!$B$124:$AH$127</definedName>
    <definedName name="_1PrintModule_.printall" localSheetId="24">[3]!'[PrintModule].printall'</definedName>
    <definedName name="_1PrintModule_.printall">[3]!'[PrintModule].printall'</definedName>
    <definedName name="_2PrintModule_.printall">[3]!'[PrintModule].printall'</definedName>
    <definedName name="_xlnm._FilterDatabase" localSheetId="8" hidden="1">'S6-B Payroll Distribution'!$A$11:$Z$11</definedName>
    <definedName name="_Order1" hidden="1">255</definedName>
    <definedName name="_Order2" hidden="1">255</definedName>
    <definedName name="_PAG1" localSheetId="19">#REF!</definedName>
    <definedName name="_PAG1" localSheetId="22">#REF!</definedName>
    <definedName name="_PAG1">#REF!</definedName>
    <definedName name="_ROW2">'[2]737A-1'!$A$67:$AH$72</definedName>
    <definedName name="_ROW3">'[2]737A-1'!$B$124:$AH$127</definedName>
    <definedName name="a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ccnt1180300" localSheetId="19">#REF!</definedName>
    <definedName name="accnt1180300">#REF!</definedName>
    <definedName name="autofix" localSheetId="19">'S14 - Property Tax Generation'!autofix</definedName>
    <definedName name="autofix" localSheetId="22">'S17 - Effect on Revenue'!autofix</definedName>
    <definedName name="autofix">[4]!autofix</definedName>
    <definedName name="BlackCredit">#REF!</definedName>
    <definedName name="BlackEntitle">#REF!</definedName>
    <definedName name="BORDER">'[2]737A-1'!$B$3:$C$60</definedName>
    <definedName name="BORDER2">'[2]737A-1'!$B$67:$C$113</definedName>
    <definedName name="BORDER3">'[2]737A-1'!$B$126:$C$168</definedName>
    <definedName name="Capacity">#REF!</definedName>
    <definedName name="CapChg">'[5]Capacity Contract Charges'!$A$1</definedName>
    <definedName name="CapE4D">#REF!</definedName>
    <definedName name="CapEntitle">#REF!</definedName>
    <definedName name="CF">#REF!</definedName>
    <definedName name="Chart1">#REF!</definedName>
    <definedName name="Chart2">#REF!</definedName>
    <definedName name="Chart3">#REF!</definedName>
    <definedName name="Chart4">#REF!</definedName>
    <definedName name="Cntnts">#REF!</definedName>
    <definedName name="CPI_Tbl">#REF!</definedName>
    <definedName name="Credits">#REF!</definedName>
    <definedName name="DESCRIPTION" localSheetId="19">#REF!</definedName>
    <definedName name="DESCRIPTION" localSheetId="22">#REF!</definedName>
    <definedName name="DESCRIPTION" localSheetId="24">#REF!</definedName>
    <definedName name="DESCRIPTION">#REF!</definedName>
    <definedName name="dialog_f" localSheetId="19">'[1]#REF'!#REF!</definedName>
    <definedName name="dialog_f" localSheetId="22">'[1]#REF'!#REF!</definedName>
    <definedName name="dialog_f" localSheetId="24">'[1]#REF'!#REF!</definedName>
    <definedName name="dialog_f">'[1]#REF'!#REF!</definedName>
    <definedName name="EgyAvail">#REF!</definedName>
    <definedName name="EgyCat">#REF!</definedName>
    <definedName name="EgySup">#REF!</definedName>
    <definedName name="Forecast">#REF!</definedName>
    <definedName name="FrwdResCredit">#REF!</definedName>
    <definedName name="FrwdResEntitle">#REF!</definedName>
    <definedName name="hideunhide" localSheetId="19">'S14 - Property Tax Generation'!hideunhide</definedName>
    <definedName name="hideunhide" localSheetId="22">'S17 - Effect on Revenue'!hideunhide</definedName>
    <definedName name="hideunhide">'[4]S17 - Effect Revenue Test only'!hideunhide</definedName>
    <definedName name="Inflate">#REF!</definedName>
    <definedName name="Inflation">#REF!</definedName>
    <definedName name="InfRate">#REF!</definedName>
    <definedName name="INT" localSheetId="19">#REF!</definedName>
    <definedName name="INT" localSheetId="21">#REF!</definedName>
    <definedName name="INT" localSheetId="22">#REF!</definedName>
    <definedName name="INT">#REF!</definedName>
    <definedName name="Load">#REF!</definedName>
    <definedName name="MrktCap">#REF!</definedName>
    <definedName name="NonEgyCst">#REF!</definedName>
    <definedName name="NonEnergy">#REF!</definedName>
    <definedName name="PAGE1">'[2]737A-1'!$D$9:$V$33</definedName>
    <definedName name="PAGE2" localSheetId="19">'[1]#REF'!#REF!</definedName>
    <definedName name="PAGE2" localSheetId="22">'[1]#REF'!#REF!</definedName>
    <definedName name="PAGE2" localSheetId="24">'[1]#REF'!#REF!</definedName>
    <definedName name="PAGE2">'[1]#REF'!#REF!</definedName>
    <definedName name="PAGE3" localSheetId="22">'[1]#REF'!#REF!</definedName>
    <definedName name="PAGE3" localSheetId="24">'[1]#REF'!#REF!</definedName>
    <definedName name="PAGE3">'[1]#REF'!#REF!</definedName>
    <definedName name="PAGE4">'[2]737A-1'!$W$73:$AH$113</definedName>
    <definedName name="PAGE5">'[2]737A-1'!$D$128:$V$168</definedName>
    <definedName name="PAGE6">'[2]737A-1'!$W$128:$AH$168</definedName>
    <definedName name="Price">#REF!</definedName>
    <definedName name="_xlnm.Print_Area" localSheetId="15">'S10 - Int &amp; Div Income'!$A$1:$I$31</definedName>
    <definedName name="_xlnm.Print_Area" localSheetId="16">'S11  - Other Revenues'!$A$1:$G$71</definedName>
    <definedName name="_xlnm.Print_Area" localSheetId="17">'S12 - Ratio Calcs'!$B$1:$Q$57</definedName>
    <definedName name="_xlnm.Print_Area" localSheetId="19">'S14 - Property Tax Generation'!$A$1:$I$41</definedName>
    <definedName name="_xlnm.Print_Area" localSheetId="22">'S17 - Effect on Revenue'!$O$1:$S$51</definedName>
    <definedName name="_xlnm.Print_Area" localSheetId="24">'S18 Return on Rate Base'!$B$1:$F$119</definedName>
    <definedName name="_xlnm.Print_Area" localSheetId="1">'S1-A Summary of Variances'!$A$1:$E$47</definedName>
    <definedName name="_xlnm.Print_Area" localSheetId="0">'S1-Revenue Requirement'!$A$1:$G$48</definedName>
    <definedName name="_xlnm.Print_Area" localSheetId="2">'S2 - Power Supply'!$A$1:$M$88</definedName>
    <definedName name="_xlnm.Print_Area" localSheetId="3" xml:space="preserve"> 'S3 - Transmission &amp; Power Prod'!$A$1:$I$61</definedName>
    <definedName name="_xlnm.Print_Area" localSheetId="4">'S4 - Dist Maint &amp; Ops'!$A$1:$K$57</definedName>
    <definedName name="_xlnm.Print_Area" localSheetId="5">'S5 - Cust Accts'!$A$1:$J$29</definedName>
    <definedName name="_xlnm.Print_Area" localSheetId="6" xml:space="preserve"> 'S6 - Admin &amp; Gen'!$A$1:$J$58</definedName>
    <definedName name="_xlnm.Print_Area" localSheetId="7">'S6A - Payroll by Function'!$A$1:$G$31</definedName>
    <definedName name="_xlnm.Print_Area" localSheetId="8" xml:space="preserve">          'S6-B Payroll Distribution'!$A$1:$Y$223</definedName>
    <definedName name="_xlnm.Print_Area" localSheetId="9">'S6C Total Payroll &amp; Benefits'!$A$1:$G$42</definedName>
    <definedName name="_xlnm.Print_Area" localSheetId="10">'S7 - Insurance'!$A$1:$G$41</definedName>
    <definedName name="_xlnm.Print_Area" localSheetId="11">'S8 - Depreciation'!$A$1:$J$18</definedName>
    <definedName name="_xlnm.Print_Area" localSheetId="12">'S8A - Amortization'!$A$1:$L$43</definedName>
    <definedName name="_xlnm.Print_Area" localSheetId="13">'S9 - Interest Exp'!$A$1:$F$30</definedName>
    <definedName name="_xlnm.Print_Area" localSheetId="23">'Trial Balance'!$A$1:$E$553</definedName>
    <definedName name="PRINT_AREA_MI" localSheetId="19">'[1]#REF'!#REF!</definedName>
    <definedName name="PRINT_AREA_MI" localSheetId="22">'[1]#REF'!#REF!</definedName>
    <definedName name="PRINT_AREA_MI" localSheetId="24">'[1]#REF'!#REF!</definedName>
    <definedName name="PRINT_AREA_MI">'[1]#REF'!#REF!</definedName>
    <definedName name="_xlnm.Print_Titles" localSheetId="24">'S18 Return on Rate Base'!$2:$7</definedName>
    <definedName name="_xlnm.Print_Titles" localSheetId="8">'S6-B Payroll Distribution'!$7:$10</definedName>
    <definedName name="_xlnm.Print_Titles" localSheetId="23">'Trial Balance'!$2:$5</definedName>
    <definedName name="printall" localSheetId="24">[6]!printall</definedName>
    <definedName name="printall">[6]!printall</definedName>
    <definedName name="PrintModule.printall" localSheetId="24">[7]!PrintModule.printall</definedName>
    <definedName name="PrintModule.printall">[7]!PrintModule.printall</definedName>
    <definedName name="PwrCsts">#REF!</definedName>
    <definedName name="Renew">#REF!</definedName>
    <definedName name="ResEntitle">#REF!</definedName>
    <definedName name="RiskElem">#REF!</definedName>
    <definedName name="ROWS">'[2]737A-1'!$B$2:$V$8</definedName>
    <definedName name="TABLE" localSheetId="19">'[2]737A-1'!#REF!</definedName>
    <definedName name="TABLE" localSheetId="22">'[2]737A-1'!#REF!</definedName>
    <definedName name="TABLE" localSheetId="24">'[2]737A-1'!#REF!</definedName>
    <definedName name="TABLE">'[2]737A-1'!#REF!</definedName>
    <definedName name="wrn.911._.MONTHLY." localSheetId="19" hidden="1">{#N/A,#N/A,FALSE,"AMER911-INPUT";#N/A,#N/A,FALSE,"AMER911(M)-DOC";#N/A,#N/A,FALSE,"AMER911(M)-GJ";#N/A,#N/A,FALSE,"UTELCO911-INPUT(M)";#N/A,#N/A,FALSE,"UTELCO911-INV(M)"}</definedName>
    <definedName name="wrn.911._.MONTHLY." localSheetId="21" hidden="1">{#N/A,#N/A,FALSE,"AMER911-INPUT";#N/A,#N/A,FALSE,"AMER911(M)-DOC";#N/A,#N/A,FALSE,"AMER911(M)-GJ";#N/A,#N/A,FALSE,"UTELCO911-INPUT(M)";#N/A,#N/A,FALSE,"UTELCO911-INV(M)"}</definedName>
    <definedName name="wrn.911._.MONTHLY." localSheetId="22" hidden="1">{#N/A,#N/A,FALSE,"AMER911-INPUT";#N/A,#N/A,FALSE,"AMER911(M)-DOC";#N/A,#N/A,FALSE,"AMER911(M)-GJ";#N/A,#N/A,FALSE,"UTELCO911-INPUT(M)";#N/A,#N/A,FALSE,"UTELCO911-INV(M)"}</definedName>
    <definedName name="wrn.911._.MONTHLY." hidden="1">{#N/A,#N/A,FALSE,"AMER911-INPUT";#N/A,#N/A,FALSE,"AMER911(M)-DOC";#N/A,#N/A,FALSE,"AMER911(M)-GJ";#N/A,#N/A,FALSE,"UTELCO911-INPUT(M)";#N/A,#N/A,FALSE,"UTELCO911-INV(M)"}</definedName>
    <definedName name="wrn.ARIZONA._.WP." localSheetId="19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1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2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Book._.to._.Tax." localSheetId="19" hidden="1">{"bktxgj",#N/A,TRUE,"Bk-Tx-GJ-O";"BTP1",#N/A,TRUE,"Bk-Tx - O";"BTP2",#N/A,TRUE,"Bk-Tx - O";"BkTxInput",#N/A,TRUE,"Bk-Tx-Input"}</definedName>
    <definedName name="wrn.Book._.to._.Tax." localSheetId="21" hidden="1">{"bktxgj",#N/A,TRUE,"Bk-Tx-GJ-O";"BTP1",#N/A,TRUE,"Bk-Tx - O";"BTP2",#N/A,TRUE,"Bk-Tx - O";"BkTxInput",#N/A,TRUE,"Bk-Tx-Input"}</definedName>
    <definedName name="wrn.Book._.to._.Tax." localSheetId="22" hidden="1">{"bktxgj",#N/A,TRUE,"Bk-Tx-GJ-O";"BTP1",#N/A,TRUE,"Bk-Tx - O";"BTP2",#N/A,TRUE,"Bk-Tx - O";"BkTxInput",#N/A,TRUE,"Bk-Tx-Input"}</definedName>
    <definedName name="wrn.Book._.to._.Tax." hidden="1">{"bktxgj",#N/A,TRUE,"Bk-Tx-GJ-O";"BTP1",#N/A,TRUE,"Bk-Tx - O";"BTP2",#N/A,TRUE,"Bk-Tx - O";"BkTxInput",#N/A,TRUE,"Bk-Tx-Input"}</definedName>
    <definedName name="wrn.BRIDGEWATER." localSheetId="19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1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2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CLVCTY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onsolidation._.Data." localSheetId="19" hidden="1">{"CONSOL1",#N/A,FALSE,"Consol - O";"CONSOL2",#N/A,FALSE,"Consol - O"}</definedName>
    <definedName name="wrn.Consolidation._.Data." localSheetId="21" hidden="1">{"CONSOL1",#N/A,FALSE,"Consol - O";"CONSOL2",#N/A,FALSE,"Consol - O"}</definedName>
    <definedName name="wrn.Consolidation._.Data." localSheetId="22" hidden="1">{"CONSOL1",#N/A,FALSE,"Consol - O";"CONSOL2",#N/A,FALSE,"Consol - O"}</definedName>
    <definedName name="wrn.Consolidation._.Data." hidden="1">{"CONSOL1",#N/A,FALSE,"Consol - O";"CONSOL2",#N/A,FALSE,"Consol - O"}</definedName>
    <definedName name="wrn.DECATR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HOME._.WORK._.PAPERS." localSheetId="19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1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2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MIDA._.WORKPAPERS." localSheetId="19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1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2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TVERNON." localSheetId="19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1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2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OCSI._.WORKPAPERS." localSheetId="19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1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2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Winsted." localSheetId="19" hidden="1">{#N/A,#N/A,FALSE,"40701";#N/A,#N/A,FALSE,"40702";#N/A,#N/A,FALSE,"4080110-FIT";#N/A,#N/A,FALSE,"408012-SIT";#N/A,#N/A,FALSE,"408013-FICA";#N/A,#N/A,FALSE,"408034-FICA"}</definedName>
    <definedName name="wrn.Winsted." localSheetId="21" hidden="1">{#N/A,#N/A,FALSE,"40701";#N/A,#N/A,FALSE,"40702";#N/A,#N/A,FALSE,"4080110-FIT";#N/A,#N/A,FALSE,"408012-SIT";#N/A,#N/A,FALSE,"408013-FICA";#N/A,#N/A,FALSE,"408034-FICA"}</definedName>
    <definedName name="wrn.Winsted." localSheetId="22" hidden="1">{#N/A,#N/A,FALSE,"40701";#N/A,#N/A,FALSE,"40702";#N/A,#N/A,FALSE,"4080110-FIT";#N/A,#N/A,FALSE,"408012-SIT";#N/A,#N/A,FALSE,"408013-FICA";#N/A,#N/A,FALSE,"408034-FICA"}</definedName>
    <definedName name="wrn.Winsted." hidden="1">{#N/A,#N/A,FALSE,"40701";#N/A,#N/A,FALSE,"40702";#N/A,#N/A,FALSE,"4080110-FIT";#N/A,#N/A,FALSE,"408012-SIT";#N/A,#N/A,FALSE,"408013-FICA";#N/A,#N/A,FALSE,"408034-FICA"}</definedName>
    <definedName name="wrn.WYND._.WORKPAPERS.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YTD._.Input." localSheetId="19" hidden="1">{"geninfo",#N/A,FALSE,"Gen Info";"BegAcctBal",#N/A,FALSE,"Beg Acct Bal";"m1input",#N/A,FALSE,"M-1 Input";"BegBalAdj",#N/A,FALSE,"Beg Bal Adj"}</definedName>
    <definedName name="wrn.YTD._.Input." localSheetId="21" hidden="1">{"geninfo",#N/A,FALSE,"Gen Info";"BegAcctBal",#N/A,FALSE,"Beg Acct Bal";"m1input",#N/A,FALSE,"M-1 Input";"BegBalAdj",#N/A,FALSE,"Beg Bal Adj"}</definedName>
    <definedName name="wrn.YTD._.Input." localSheetId="22" hidden="1">{"geninfo",#N/A,FALSE,"Gen Info";"BegAcctBal",#N/A,FALSE,"Beg Acct Bal";"m1input",#N/A,FALSE,"M-1 Input";"BegBalAdj",#N/A,FALSE,"Beg Bal Adj"}</definedName>
    <definedName name="wrn.YTD._.Input." hidden="1">{"geninfo",#N/A,FALSE,"Gen Info";"BegAcctBal",#N/A,FALSE,"Beg Acct Bal";"m1input",#N/A,FALSE,"M-1 Input";"BegBalAdj",#N/A,FALSE,"Beg Bal Adj"}</definedName>
    <definedName name="wrn.YTD._.Output." localSheetId="19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1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2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91" i="31" l="1"/>
  <c r="V128" i="31"/>
  <c r="V198" i="31" s="1"/>
  <c r="T115" i="31"/>
  <c r="H12" i="31"/>
  <c r="H202" i="31"/>
  <c r="H33" i="10"/>
  <c r="G55" i="10"/>
  <c r="G43" i="10"/>
  <c r="D54" i="5" l="1"/>
  <c r="E36" i="1"/>
  <c r="G25" i="5"/>
  <c r="F23" i="10" l="1"/>
  <c r="G49" i="35"/>
  <c r="E20" i="23"/>
  <c r="D31" i="27" l="1"/>
  <c r="C31" i="27"/>
  <c r="E31" i="27"/>
  <c r="I40" i="3" l="1"/>
  <c r="H84" i="3" l="1"/>
  <c r="Q60" i="51" l="1"/>
  <c r="Q58" i="51"/>
  <c r="B36" i="1" l="1"/>
  <c r="E18" i="37"/>
  <c r="G36" i="10" l="1"/>
  <c r="D12" i="3"/>
  <c r="O15" i="40"/>
  <c r="E9" i="37" l="1"/>
  <c r="E11" i="37"/>
  <c r="E28" i="37"/>
  <c r="E17" i="27" l="1"/>
  <c r="F14" i="36" l="1"/>
  <c r="C36" i="1" l="1"/>
  <c r="G15" i="6"/>
  <c r="H15" i="6" s="1"/>
  <c r="G28" i="53" l="1"/>
  <c r="F31" i="53"/>
  <c r="F30" i="53" l="1"/>
  <c r="C29" i="53"/>
  <c r="C30" i="53" s="1"/>
  <c r="D29" i="53"/>
  <c r="D30" i="53" s="1"/>
  <c r="F49" i="35"/>
  <c r="E11" i="23" l="1"/>
  <c r="E12" i="23"/>
  <c r="E22" i="37" l="1"/>
  <c r="L35" i="54" l="1"/>
  <c r="L36" i="54" s="1"/>
  <c r="C35" i="54"/>
  <c r="C36" i="54" s="1"/>
  <c r="L33" i="54"/>
  <c r="C33" i="54"/>
  <c r="P28" i="54"/>
  <c r="L28" i="54"/>
  <c r="L29" i="54" s="1"/>
  <c r="G28" i="54"/>
  <c r="C28" i="54"/>
  <c r="L27" i="54"/>
  <c r="K27" i="54"/>
  <c r="E17" i="54"/>
  <c r="F17" i="54" s="1"/>
  <c r="N16" i="54"/>
  <c r="O16" i="54" s="1"/>
  <c r="M16" i="54"/>
  <c r="N17" i="54" s="1"/>
  <c r="O17" i="54" s="1"/>
  <c r="E16" i="54"/>
  <c r="F16" i="54" s="1"/>
  <c r="D16" i="54"/>
  <c r="D17" i="54" s="1"/>
  <c r="O15" i="54"/>
  <c r="N15" i="54"/>
  <c r="M15" i="54"/>
  <c r="E15" i="54"/>
  <c r="F15" i="54" s="1"/>
  <c r="D15" i="54"/>
  <c r="M10" i="54"/>
  <c r="M9" i="54"/>
  <c r="E18" i="54" l="1"/>
  <c r="F18" i="54" s="1"/>
  <c r="D18" i="54"/>
  <c r="M17" i="54"/>
  <c r="C29" i="54"/>
  <c r="N18" i="54" l="1"/>
  <c r="O18" i="54" s="1"/>
  <c r="M18" i="54"/>
  <c r="D19" i="54"/>
  <c r="E19" i="54"/>
  <c r="F19" i="54" s="1"/>
  <c r="N19" i="54" l="1"/>
  <c r="O19" i="54" s="1"/>
  <c r="M19" i="54"/>
  <c r="D20" i="54"/>
  <c r="E20" i="54"/>
  <c r="F20" i="54" s="1"/>
  <c r="N20" i="54" l="1"/>
  <c r="O20" i="54" s="1"/>
  <c r="M20" i="54"/>
  <c r="D21" i="54"/>
  <c r="E21" i="54"/>
  <c r="F21" i="54" s="1"/>
  <c r="E22" i="54" l="1"/>
  <c r="F22" i="54" s="1"/>
  <c r="D22" i="54"/>
  <c r="N21" i="54"/>
  <c r="O21" i="54" s="1"/>
  <c r="M21" i="54"/>
  <c r="N22" i="54" l="1"/>
  <c r="O22" i="54" s="1"/>
  <c r="M22" i="54"/>
  <c r="D23" i="54"/>
  <c r="E23" i="54"/>
  <c r="F23" i="54" s="1"/>
  <c r="N23" i="54" l="1"/>
  <c r="O23" i="54" s="1"/>
  <c r="M23" i="54"/>
  <c r="D24" i="54"/>
  <c r="E24" i="54"/>
  <c r="F24" i="54" s="1"/>
  <c r="N24" i="54" l="1"/>
  <c r="O24" i="54" s="1"/>
  <c r="M24" i="54"/>
  <c r="D25" i="54"/>
  <c r="E25" i="54"/>
  <c r="F25" i="54" s="1"/>
  <c r="E26" i="54" l="1"/>
  <c r="F26" i="54" s="1"/>
  <c r="F28" i="54" s="1"/>
  <c r="D26" i="54"/>
  <c r="N25" i="54"/>
  <c r="O25" i="54" s="1"/>
  <c r="M25" i="54"/>
  <c r="M26" i="54" l="1"/>
  <c r="N26" i="54"/>
  <c r="O26" i="54" s="1"/>
  <c r="O28" i="54" s="1"/>
  <c r="C31" i="54"/>
  <c r="C32" i="54" s="1"/>
  <c r="D29" i="54"/>
  <c r="C30" i="54"/>
  <c r="L31" i="54" l="1"/>
  <c r="M29" i="54"/>
  <c r="L30" i="54"/>
  <c r="C40" i="54"/>
  <c r="C34" i="54"/>
  <c r="C37" i="54" s="1"/>
  <c r="L32" i="54" l="1"/>
  <c r="L40" i="54" l="1"/>
  <c r="L34" i="54"/>
  <c r="L38" i="54" s="1"/>
  <c r="D25" i="27" l="1"/>
  <c r="G19" i="5" l="1"/>
  <c r="E40" i="3" l="1"/>
  <c r="E77" i="3"/>
  <c r="I77" i="3"/>
  <c r="I53" i="3"/>
  <c r="E53" i="3"/>
  <c r="I65" i="3"/>
  <c r="E65" i="3"/>
  <c r="E37" i="27"/>
  <c r="C17" i="27" l="1"/>
  <c r="F12" i="39" l="1"/>
  <c r="F13" i="39"/>
  <c r="D7" i="18" l="1"/>
  <c r="E30" i="8" l="1"/>
  <c r="F30" i="8"/>
  <c r="G30" i="8"/>
  <c r="E29" i="8"/>
  <c r="F29" i="8"/>
  <c r="G29" i="8"/>
  <c r="E28" i="8"/>
  <c r="F28" i="8"/>
  <c r="G28" i="8"/>
  <c r="K50" i="51" l="1"/>
  <c r="K49" i="51"/>
  <c r="K47" i="51"/>
  <c r="K46" i="51"/>
  <c r="K45" i="51"/>
  <c r="K48" i="51"/>
  <c r="G50" i="51"/>
  <c r="G49" i="51"/>
  <c r="G47" i="51"/>
  <c r="G46" i="51"/>
  <c r="G45" i="51"/>
  <c r="K27" i="51" l="1"/>
  <c r="K30" i="51" s="1"/>
  <c r="N29" i="51"/>
  <c r="Q29" i="51" s="1"/>
  <c r="K21" i="51"/>
  <c r="J21" i="51" s="1"/>
  <c r="K16" i="51" l="1"/>
  <c r="G27" i="51"/>
  <c r="G21" i="51"/>
  <c r="G16" i="51"/>
  <c r="I17" i="40" l="1"/>
  <c r="I14" i="40"/>
  <c r="E53" i="27" l="1"/>
  <c r="M23" i="40"/>
  <c r="L23" i="40"/>
  <c r="J23" i="40"/>
  <c r="H23" i="40"/>
  <c r="F23" i="40"/>
  <c r="E23" i="40"/>
  <c r="D23" i="40"/>
  <c r="C23" i="40"/>
  <c r="O22" i="40"/>
  <c r="G22" i="40"/>
  <c r="I22" i="40" s="1"/>
  <c r="O21" i="40"/>
  <c r="N21" i="40"/>
  <c r="G21" i="40"/>
  <c r="K21" i="40" s="1"/>
  <c r="N18" i="40"/>
  <c r="L18" i="40"/>
  <c r="J18" i="40"/>
  <c r="H18" i="40"/>
  <c r="F18" i="40"/>
  <c r="C18" i="40"/>
  <c r="M17" i="40"/>
  <c r="O17" i="40" s="1"/>
  <c r="I18" i="40"/>
  <c r="G17" i="40"/>
  <c r="K17" i="40" s="1"/>
  <c r="O16" i="40"/>
  <c r="G16" i="40"/>
  <c r="K16" i="40" s="1"/>
  <c r="G15" i="40"/>
  <c r="E18" i="40"/>
  <c r="D18" i="40"/>
  <c r="M14" i="40"/>
  <c r="M18" i="40" s="1"/>
  <c r="G14" i="40"/>
  <c r="K14" i="40" s="1"/>
  <c r="G18" i="40" l="1"/>
  <c r="N22" i="40"/>
  <c r="N23" i="40" s="1"/>
  <c r="K22" i="40"/>
  <c r="I23" i="40"/>
  <c r="K23" i="40"/>
  <c r="O14" i="40"/>
  <c r="O18" i="40" s="1"/>
  <c r="G23" i="40"/>
  <c r="K15" i="40"/>
  <c r="K18" i="40" s="1"/>
  <c r="E7" i="37" l="1"/>
  <c r="C9" i="13"/>
  <c r="D13" i="13" l="1"/>
  <c r="G36" i="49" l="1"/>
  <c r="B11" i="37" l="1"/>
  <c r="B9" i="37"/>
  <c r="B17" i="37" l="1"/>
  <c r="B19" i="37"/>
  <c r="B28" i="37"/>
  <c r="B26" i="37"/>
  <c r="B18" i="37"/>
  <c r="B13" i="37" l="1"/>
  <c r="B22" i="37" l="1"/>
  <c r="B14" i="39"/>
  <c r="B13" i="39"/>
  <c r="B12" i="39"/>
  <c r="D191" i="31" l="1"/>
  <c r="D193" i="31" s="1"/>
  <c r="D172" i="31"/>
  <c r="D99" i="31"/>
  <c r="D93" i="31"/>
  <c r="D83" i="31"/>
  <c r="D107" i="50"/>
  <c r="B30" i="45" l="1"/>
  <c r="E31" i="1"/>
  <c r="K14" i="51" l="1"/>
  <c r="K15" i="51" s="1"/>
  <c r="M14" i="51" l="1"/>
  <c r="Q14" i="51" s="1"/>
  <c r="C32" i="1" l="1"/>
  <c r="G14" i="51" l="1"/>
  <c r="G15" i="51" s="1"/>
  <c r="N16" i="51" l="1"/>
  <c r="Q16" i="51" s="1"/>
  <c r="M22" i="51"/>
  <c r="N46" i="51" l="1"/>
  <c r="J50" i="51"/>
  <c r="J46" i="51"/>
  <c r="F49" i="51"/>
  <c r="F47" i="51"/>
  <c r="F50" i="51"/>
  <c r="G48" i="51"/>
  <c r="F48" i="51" l="1"/>
  <c r="G51" i="51"/>
  <c r="N48" i="51"/>
  <c r="N45" i="51"/>
  <c r="N50" i="51"/>
  <c r="M50" i="51"/>
  <c r="Q50" i="51" s="1"/>
  <c r="J49" i="51"/>
  <c r="M49" i="51" s="1"/>
  <c r="Q49" i="51" s="1"/>
  <c r="N49" i="51"/>
  <c r="J48" i="51"/>
  <c r="M48" i="51" s="1"/>
  <c r="Q48" i="51" s="1"/>
  <c r="J47" i="51"/>
  <c r="M47" i="51" s="1"/>
  <c r="Q47" i="51" s="1"/>
  <c r="N47" i="51"/>
  <c r="F29" i="53" l="1"/>
  <c r="E29" i="53"/>
  <c r="E30" i="53" s="1"/>
  <c r="E11" i="53" l="1"/>
  <c r="C37" i="27" l="1"/>
  <c r="C36" i="27"/>
  <c r="E57" i="49" l="1"/>
  <c r="E56" i="49"/>
  <c r="D19" i="27" l="1"/>
  <c r="D20" i="27"/>
  <c r="C21" i="27"/>
  <c r="E23" i="27"/>
  <c r="F26" i="18"/>
  <c r="F27" i="18"/>
  <c r="F28" i="18"/>
  <c r="F29" i="18"/>
  <c r="F24" i="18"/>
  <c r="F17" i="18"/>
  <c r="D21" i="27" l="1"/>
  <c r="C23" i="27"/>
  <c r="D26" i="27" l="1"/>
  <c r="D28" i="27" s="1"/>
  <c r="C434" i="2" l="1"/>
  <c r="E28" i="27" l="1"/>
  <c r="M41" i="51" l="1"/>
  <c r="Q41" i="51" s="1"/>
  <c r="M40" i="51"/>
  <c r="Q40" i="51" s="1"/>
  <c r="M39" i="51"/>
  <c r="Q39" i="51" s="1"/>
  <c r="Q42" i="51" s="1"/>
  <c r="M35" i="51"/>
  <c r="Q35" i="51" s="1"/>
  <c r="M34" i="51"/>
  <c r="Q34" i="51" s="1"/>
  <c r="M33" i="51"/>
  <c r="Q33" i="51" s="1"/>
  <c r="Q36" i="51" l="1"/>
  <c r="N22" i="51"/>
  <c r="Q22" i="51" s="1"/>
  <c r="K23" i="51"/>
  <c r="G23" i="51"/>
  <c r="K17" i="51"/>
  <c r="F17" i="51" l="1"/>
  <c r="M15" i="51"/>
  <c r="G17" i="51"/>
  <c r="N51" i="51"/>
  <c r="J27" i="51"/>
  <c r="F27" i="51"/>
  <c r="E54" i="49"/>
  <c r="M17" i="51" l="1"/>
  <c r="Q15" i="51"/>
  <c r="M27" i="51"/>
  <c r="Q27" i="51" s="1"/>
  <c r="F25" i="10"/>
  <c r="I21" i="5"/>
  <c r="H20" i="5"/>
  <c r="N15" i="51" l="1"/>
  <c r="F21" i="51" l="1"/>
  <c r="J20" i="51"/>
  <c r="N27" i="51"/>
  <c r="N28" i="51"/>
  <c r="Q28" i="51" s="1"/>
  <c r="F23" i="51" l="1"/>
  <c r="M21" i="51"/>
  <c r="M23" i="51" l="1"/>
  <c r="Q21" i="51"/>
  <c r="N26" i="51"/>
  <c r="N30" i="51" s="1"/>
  <c r="N21" i="51"/>
  <c r="N20" i="51"/>
  <c r="N13" i="51"/>
  <c r="N23" i="51" l="1"/>
  <c r="K51" i="51"/>
  <c r="J45" i="51"/>
  <c r="J42" i="51"/>
  <c r="K41" i="51"/>
  <c r="K40" i="51"/>
  <c r="K39" i="51"/>
  <c r="J36" i="51"/>
  <c r="K35" i="51"/>
  <c r="K34" i="51"/>
  <c r="K33" i="51"/>
  <c r="J28" i="51"/>
  <c r="J30" i="51"/>
  <c r="J26" i="51"/>
  <c r="J23" i="51"/>
  <c r="J13" i="51"/>
  <c r="J51" i="51" l="1"/>
  <c r="K42" i="51"/>
  <c r="K36" i="51"/>
  <c r="K58" i="51" s="1"/>
  <c r="F27" i="8" l="1"/>
  <c r="G27" i="8"/>
  <c r="E27" i="8"/>
  <c r="G26" i="8"/>
  <c r="F26" i="8"/>
  <c r="E26" i="8"/>
  <c r="G25" i="8"/>
  <c r="F25" i="8"/>
  <c r="E25" i="8"/>
  <c r="G24" i="8"/>
  <c r="F24" i="8"/>
  <c r="E24" i="8"/>
  <c r="F23" i="8" l="1"/>
  <c r="F31" i="8" s="1"/>
  <c r="G23" i="8"/>
  <c r="G31" i="8" s="1"/>
  <c r="E23" i="8"/>
  <c r="G28" i="35" l="1"/>
  <c r="F11" i="10" l="1"/>
  <c r="D38" i="4" l="1"/>
  <c r="D27" i="27" l="1"/>
  <c r="D17" i="27"/>
  <c r="D23" i="27" s="1"/>
  <c r="C28" i="27" l="1"/>
  <c r="E52" i="49" l="1"/>
  <c r="E53" i="49"/>
  <c r="D91" i="50" l="1"/>
  <c r="D85" i="50"/>
  <c r="C391" i="2" l="1"/>
  <c r="E9" i="18" l="1"/>
  <c r="G63" i="3"/>
  <c r="G62" i="3"/>
  <c r="C53" i="27" l="1"/>
  <c r="D53" i="27" l="1"/>
  <c r="F38" i="4" l="1"/>
  <c r="C7" i="53"/>
  <c r="E6" i="53"/>
  <c r="C17" i="53"/>
  <c r="D11" i="53"/>
  <c r="F40" i="4" l="1"/>
  <c r="D13" i="53" l="1"/>
  <c r="D17" i="53" s="1"/>
  <c r="E17" i="53"/>
  <c r="F28" i="51" l="1"/>
  <c r="M28" i="51" l="1"/>
  <c r="E40" i="4" l="1"/>
  <c r="P28" i="35" l="1"/>
  <c r="N28" i="35"/>
  <c r="F28" i="35"/>
  <c r="M28" i="35" s="1"/>
  <c r="C51" i="27" l="1"/>
  <c r="E13" i="10" l="1"/>
  <c r="G21" i="5" l="1"/>
  <c r="D18" i="4" l="1"/>
  <c r="E55" i="27" l="1"/>
  <c r="F14" i="3" l="1"/>
  <c r="E50" i="49" l="1"/>
  <c r="E49" i="49"/>
  <c r="E48" i="49"/>
  <c r="E47" i="49"/>
  <c r="C468" i="2" l="1"/>
  <c r="E468" i="2" s="1"/>
  <c r="H19" i="5" l="1"/>
  <c r="H21" i="5" s="1"/>
  <c r="G77" i="3" l="1"/>
  <c r="G78" i="3"/>
  <c r="F15" i="18" l="1"/>
  <c r="E28" i="23"/>
  <c r="F21" i="39"/>
  <c r="I32" i="5"/>
  <c r="F34" i="4"/>
  <c r="D13" i="23" l="1"/>
  <c r="D14" i="23"/>
  <c r="D15" i="23"/>
  <c r="D16" i="23"/>
  <c r="D17" i="23"/>
  <c r="D18" i="23"/>
  <c r="D19" i="23"/>
  <c r="F46" i="51" l="1"/>
  <c r="F45" i="51"/>
  <c r="F26" i="51"/>
  <c r="F20" i="51"/>
  <c r="F13" i="51"/>
  <c r="M13" i="51" l="1"/>
  <c r="Q13" i="51" s="1"/>
  <c r="Q17" i="51" s="1"/>
  <c r="M45" i="51"/>
  <c r="Q45" i="51" s="1"/>
  <c r="M46" i="51"/>
  <c r="Q46" i="51" s="1"/>
  <c r="M20" i="51"/>
  <c r="Q20" i="51" s="1"/>
  <c r="Q23" i="51" s="1"/>
  <c r="M26" i="51"/>
  <c r="Q26" i="51" s="1"/>
  <c r="Q30" i="51" s="1"/>
  <c r="F13" i="10"/>
  <c r="Q51" i="51" l="1"/>
  <c r="E18" i="4"/>
  <c r="F25" i="18" l="1"/>
  <c r="F21" i="18"/>
  <c r="F20" i="18"/>
  <c r="F19" i="18"/>
  <c r="F18" i="18"/>
  <c r="C448" i="2"/>
  <c r="C377" i="2"/>
  <c r="C13" i="37" l="1"/>
  <c r="D51" i="27" l="1"/>
  <c r="G11" i="6" l="1"/>
  <c r="D73" i="49" l="1"/>
  <c r="F46" i="35" l="1"/>
  <c r="G47" i="35" l="1"/>
  <c r="G46" i="35" s="1"/>
  <c r="F48" i="35"/>
  <c r="E28" i="18"/>
  <c r="C52" i="27" l="1"/>
  <c r="C473" i="2" l="1"/>
  <c r="C463" i="2"/>
  <c r="C324" i="2"/>
  <c r="C311" i="2"/>
  <c r="F6" i="39" l="1"/>
  <c r="F20" i="39" s="1"/>
  <c r="E5" i="8"/>
  <c r="G6" i="10"/>
  <c r="G41" i="10" s="1"/>
  <c r="I6" i="6"/>
  <c r="I6" i="5"/>
  <c r="I31" i="5" s="1"/>
  <c r="F7" i="4"/>
  <c r="F33" i="4" s="1"/>
  <c r="H7" i="3"/>
  <c r="E7" i="13"/>
  <c r="E6" i="23"/>
  <c r="E27" i="23" s="1"/>
  <c r="F5" i="18"/>
  <c r="F14" i="18" s="1"/>
  <c r="E6" i="27"/>
  <c r="E8" i="42"/>
  <c r="E27" i="42" s="1"/>
  <c r="C9" i="42"/>
  <c r="C28" i="42" s="1"/>
  <c r="C7" i="27"/>
  <c r="D6" i="18"/>
  <c r="D15" i="18" s="1"/>
  <c r="C7" i="23"/>
  <c r="C28" i="23" s="1"/>
  <c r="C8" i="13"/>
  <c r="B7" i="39"/>
  <c r="B21" i="39" s="1"/>
  <c r="B8" i="37"/>
  <c r="C6" i="8"/>
  <c r="E7" i="10"/>
  <c r="E42" i="10" s="1"/>
  <c r="G7" i="6"/>
  <c r="G7" i="5"/>
  <c r="G32" i="5" s="1"/>
  <c r="D8" i="4"/>
  <c r="D34" i="4" s="1"/>
  <c r="D8" i="3"/>
  <c r="C227" i="2" l="1"/>
  <c r="C33" i="2"/>
  <c r="F66" i="3" l="1"/>
  <c r="G76" i="3"/>
  <c r="G65" i="3"/>
  <c r="I26" i="35" l="1"/>
  <c r="B25" i="45" l="1"/>
  <c r="P26" i="35"/>
  <c r="I41" i="35"/>
  <c r="F34" i="10" l="1"/>
  <c r="F35" i="10" s="1"/>
  <c r="G34" i="10" s="1"/>
  <c r="G35" i="10" s="1"/>
  <c r="E34" i="10"/>
  <c r="E35" i="10" s="1"/>
  <c r="D34" i="10"/>
  <c r="D35" i="10" s="1"/>
  <c r="P14" i="35" l="1"/>
  <c r="P30" i="35" s="1"/>
  <c r="P12" i="35"/>
  <c r="P10" i="35"/>
  <c r="M16" i="35"/>
  <c r="M34" i="35" s="1"/>
  <c r="D12" i="4"/>
  <c r="D29" i="1" l="1"/>
  <c r="C38" i="27"/>
  <c r="D52" i="27" l="1"/>
  <c r="C25" i="1"/>
  <c r="C20" i="37"/>
  <c r="D38" i="27" l="1"/>
  <c r="D27" i="1" l="1"/>
  <c r="D35" i="50" l="1"/>
  <c r="D10" i="18"/>
  <c r="F10" i="18" s="1"/>
  <c r="C545" i="2" l="1"/>
  <c r="C420" i="2"/>
  <c r="C251" i="2" l="1"/>
  <c r="C28" i="1" s="1"/>
  <c r="C187" i="2"/>
  <c r="C127" i="2"/>
  <c r="G40" i="51" l="1"/>
  <c r="N40" i="51" s="1"/>
  <c r="G39" i="51"/>
  <c r="N39" i="51" s="1"/>
  <c r="G34" i="51"/>
  <c r="N34" i="51" s="1"/>
  <c r="G33" i="51"/>
  <c r="N33" i="51" s="1"/>
  <c r="F30" i="51"/>
  <c r="M30" i="51" l="1"/>
  <c r="F36" i="51"/>
  <c r="F42" i="51"/>
  <c r="G30" i="51"/>
  <c r="G35" i="51"/>
  <c r="N35" i="51" s="1"/>
  <c r="G41" i="51"/>
  <c r="G42" i="51" l="1"/>
  <c r="N42" i="51" s="1"/>
  <c r="N41" i="51"/>
  <c r="G36" i="51"/>
  <c r="N36" i="51" s="1"/>
  <c r="G58" i="51" l="1"/>
  <c r="E79" i="3"/>
  <c r="G54" i="3" l="1"/>
  <c r="G35" i="3"/>
  <c r="G36" i="3"/>
  <c r="F54" i="3"/>
  <c r="F55" i="3"/>
  <c r="F56" i="3"/>
  <c r="F57" i="3"/>
  <c r="F58" i="3"/>
  <c r="F59" i="3"/>
  <c r="F60" i="3"/>
  <c r="F61" i="3"/>
  <c r="F64" i="3"/>
  <c r="F68" i="3"/>
  <c r="F69" i="3"/>
  <c r="F70" i="3"/>
  <c r="F34" i="3"/>
  <c r="F35" i="3"/>
  <c r="F37" i="3"/>
  <c r="C138" i="2" l="1"/>
  <c r="C12" i="1" s="1"/>
  <c r="C219" i="2"/>
  <c r="C21" i="1" s="1"/>
  <c r="D67" i="50" l="1"/>
  <c r="D23" i="50"/>
  <c r="D20" i="50"/>
  <c r="D103" i="50"/>
  <c r="G66" i="49"/>
  <c r="I24" i="5"/>
  <c r="I26" i="5" s="1"/>
  <c r="F30" i="18"/>
  <c r="G32" i="35" s="1"/>
  <c r="N32" i="35" s="1"/>
  <c r="E29" i="18"/>
  <c r="D30" i="18"/>
  <c r="F32" i="35" s="1"/>
  <c r="E25" i="18"/>
  <c r="E26" i="18"/>
  <c r="E27" i="18"/>
  <c r="E24" i="18"/>
  <c r="C14" i="42"/>
  <c r="C12" i="42"/>
  <c r="D11" i="27"/>
  <c r="E38" i="4"/>
  <c r="G34" i="3"/>
  <c r="D15" i="27"/>
  <c r="E7" i="18"/>
  <c r="E19" i="10"/>
  <c r="B19" i="10"/>
  <c r="G39" i="5"/>
  <c r="B15" i="39"/>
  <c r="C30" i="23"/>
  <c r="C12" i="23"/>
  <c r="D12" i="23" s="1"/>
  <c r="C11" i="23"/>
  <c r="D11" i="23" s="1"/>
  <c r="C10" i="23"/>
  <c r="D10" i="23" s="1"/>
  <c r="C9" i="23"/>
  <c r="D9" i="23" s="1"/>
  <c r="C31" i="42"/>
  <c r="C33" i="42" s="1"/>
  <c r="C37" i="42" s="1"/>
  <c r="C40" i="42" s="1"/>
  <c r="C18" i="1"/>
  <c r="D18" i="1" s="1"/>
  <c r="E18" i="1" s="1"/>
  <c r="C14" i="1"/>
  <c r="C103" i="2"/>
  <c r="C11" i="1" s="1"/>
  <c r="D20" i="23"/>
  <c r="D21" i="23"/>
  <c r="D23" i="23"/>
  <c r="D24" i="23"/>
  <c r="D22" i="23"/>
  <c r="C29" i="23"/>
  <c r="G61" i="3"/>
  <c r="T196" i="31"/>
  <c r="E27" i="37"/>
  <c r="E29" i="37" s="1"/>
  <c r="H197" i="31"/>
  <c r="H196" i="31"/>
  <c r="B27" i="37"/>
  <c r="B29" i="37" s="1"/>
  <c r="E55" i="10"/>
  <c r="B23" i="45"/>
  <c r="E13" i="13"/>
  <c r="E9" i="13" s="1"/>
  <c r="E24" i="37"/>
  <c r="T198" i="31" s="1"/>
  <c r="F15" i="39"/>
  <c r="F32" i="39" s="1"/>
  <c r="G26" i="5"/>
  <c r="D9" i="39"/>
  <c r="D13" i="39"/>
  <c r="D14" i="39"/>
  <c r="D12" i="39"/>
  <c r="C35" i="37"/>
  <c r="C36" i="37"/>
  <c r="B37" i="37"/>
  <c r="E37" i="37"/>
  <c r="C28" i="37"/>
  <c r="C26" i="37"/>
  <c r="B12" i="37"/>
  <c r="B14" i="37" s="1"/>
  <c r="C18" i="37"/>
  <c r="C19" i="37"/>
  <c r="C21" i="37"/>
  <c r="C22" i="37"/>
  <c r="C23" i="37"/>
  <c r="C10" i="37"/>
  <c r="C9" i="37"/>
  <c r="J24" i="3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I79" i="3"/>
  <c r="H12" i="3" s="1"/>
  <c r="I82" i="3"/>
  <c r="H79" i="3"/>
  <c r="H82" i="3"/>
  <c r="G24" i="3"/>
  <c r="G25" i="3"/>
  <c r="G26" i="3"/>
  <c r="G27" i="3"/>
  <c r="G28" i="3"/>
  <c r="G29" i="3"/>
  <c r="G30" i="3"/>
  <c r="G31" i="3"/>
  <c r="G32" i="3"/>
  <c r="G33" i="3"/>
  <c r="G37" i="3"/>
  <c r="G38" i="3"/>
  <c r="G39" i="3"/>
  <c r="G40" i="3"/>
  <c r="G41" i="3"/>
  <c r="G42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4" i="3"/>
  <c r="G66" i="3"/>
  <c r="G67" i="3"/>
  <c r="G68" i="3"/>
  <c r="G69" i="3"/>
  <c r="G70" i="3"/>
  <c r="G71" i="3"/>
  <c r="G72" i="3"/>
  <c r="G73" i="3"/>
  <c r="G74" i="3"/>
  <c r="G75" i="3"/>
  <c r="E82" i="3"/>
  <c r="F24" i="3"/>
  <c r="F25" i="3"/>
  <c r="F26" i="3"/>
  <c r="F27" i="3"/>
  <c r="F28" i="3"/>
  <c r="F29" i="3"/>
  <c r="F30" i="3"/>
  <c r="F31" i="3"/>
  <c r="F32" i="3"/>
  <c r="F33" i="3"/>
  <c r="F38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71" i="3"/>
  <c r="F72" i="3"/>
  <c r="F73" i="3"/>
  <c r="F74" i="3"/>
  <c r="F75" i="3"/>
  <c r="F78" i="3"/>
  <c r="D82" i="3"/>
  <c r="F84" i="3"/>
  <c r="A24" i="3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G81" i="3"/>
  <c r="F81" i="3"/>
  <c r="G80" i="3"/>
  <c r="F80" i="3"/>
  <c r="F17" i="36"/>
  <c r="C19" i="1"/>
  <c r="D19" i="1" s="1"/>
  <c r="E19" i="1" s="1"/>
  <c r="P220" i="31"/>
  <c r="D60" i="31"/>
  <c r="D27" i="31"/>
  <c r="D52" i="31"/>
  <c r="H204" i="31"/>
  <c r="T204" i="3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C42" i="2"/>
  <c r="E11" i="18"/>
  <c r="D12" i="18"/>
  <c r="C413" i="2"/>
  <c r="E413" i="2" s="1"/>
  <c r="D377" i="2"/>
  <c r="C213" i="2"/>
  <c r="C20" i="1" s="1"/>
  <c r="C54" i="2"/>
  <c r="C9" i="1" s="1"/>
  <c r="C78" i="2"/>
  <c r="C10" i="1" s="1"/>
  <c r="C260" i="2"/>
  <c r="C205" i="2"/>
  <c r="C22" i="1"/>
  <c r="C237" i="2"/>
  <c r="C24" i="1" s="1"/>
  <c r="F43" i="35" s="1"/>
  <c r="C264" i="2"/>
  <c r="C26" i="1" s="1"/>
  <c r="F44" i="35" s="1"/>
  <c r="D22" i="18"/>
  <c r="C257" i="2"/>
  <c r="C27" i="1" s="1"/>
  <c r="AB10" i="18"/>
  <c r="E17" i="18"/>
  <c r="E18" i="18"/>
  <c r="E19" i="18"/>
  <c r="E20" i="18"/>
  <c r="E21" i="18"/>
  <c r="J133" i="31"/>
  <c r="V185" i="31"/>
  <c r="C16" i="2"/>
  <c r="C198" i="2"/>
  <c r="C17" i="1" s="1"/>
  <c r="F40" i="35" s="1"/>
  <c r="M14" i="35" s="1"/>
  <c r="M30" i="35" s="1"/>
  <c r="C275" i="2"/>
  <c r="D275" i="2" s="1"/>
  <c r="C286" i="2"/>
  <c r="D286" i="2" s="1"/>
  <c r="C290" i="2"/>
  <c r="D290" i="2" s="1"/>
  <c r="C298" i="2"/>
  <c r="D298" i="2" s="1"/>
  <c r="C303" i="2"/>
  <c r="D303" i="2" s="1"/>
  <c r="D311" i="2"/>
  <c r="D324" i="2"/>
  <c r="C329" i="2"/>
  <c r="D329" i="2" s="1"/>
  <c r="C334" i="2"/>
  <c r="D334" i="2" s="1"/>
  <c r="C340" i="2"/>
  <c r="D340" i="2" s="1"/>
  <c r="C353" i="2"/>
  <c r="D353" i="2" s="1"/>
  <c r="C358" i="2"/>
  <c r="D358" i="2" s="1"/>
  <c r="C364" i="2"/>
  <c r="D364" i="2" s="1"/>
  <c r="C383" i="2"/>
  <c r="D383" i="2" s="1"/>
  <c r="D391" i="2"/>
  <c r="C396" i="2"/>
  <c r="E396" i="2" s="1"/>
  <c r="C405" i="2"/>
  <c r="E405" i="2" s="1"/>
  <c r="C409" i="2"/>
  <c r="E409" i="2" s="1"/>
  <c r="E420" i="2"/>
  <c r="C424" i="2"/>
  <c r="E424" i="2" s="1"/>
  <c r="C429" i="2"/>
  <c r="E429" i="2" s="1"/>
  <c r="E434" i="2"/>
  <c r="E448" i="2"/>
  <c r="E463" i="2"/>
  <c r="E473" i="2"/>
  <c r="D545" i="2"/>
  <c r="E25" i="23"/>
  <c r="F22" i="18"/>
  <c r="H26" i="5" l="1"/>
  <c r="H62" i="49"/>
  <c r="I62" i="49" s="1"/>
  <c r="H63" i="49"/>
  <c r="I63" i="49" s="1"/>
  <c r="H60" i="49"/>
  <c r="I60" i="49" s="1"/>
  <c r="H61" i="49"/>
  <c r="I61" i="49" s="1"/>
  <c r="H58" i="49"/>
  <c r="I58" i="49" s="1"/>
  <c r="H59" i="49"/>
  <c r="I59" i="49" s="1"/>
  <c r="H56" i="49"/>
  <c r="I56" i="49" s="1"/>
  <c r="H57" i="49"/>
  <c r="I57" i="49" s="1"/>
  <c r="H55" i="49"/>
  <c r="I55" i="49" s="1"/>
  <c r="H54" i="49"/>
  <c r="I54" i="49" s="1"/>
  <c r="B28" i="39"/>
  <c r="H52" i="49"/>
  <c r="I52" i="49" s="1"/>
  <c r="H53" i="49"/>
  <c r="I53" i="49" s="1"/>
  <c r="J62" i="3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M32" i="35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E29" i="23"/>
  <c r="D29" i="23" s="1"/>
  <c r="D21" i="1" s="1"/>
  <c r="E21" i="1" s="1"/>
  <c r="H51" i="49"/>
  <c r="I51" i="49" s="1"/>
  <c r="E30" i="23"/>
  <c r="D30" i="23" s="1"/>
  <c r="H50" i="49"/>
  <c r="I50" i="49" s="1"/>
  <c r="H19" i="49"/>
  <c r="I19" i="49" s="1"/>
  <c r="H48" i="49"/>
  <c r="I48" i="49" s="1"/>
  <c r="H49" i="49"/>
  <c r="I49" i="49" s="1"/>
  <c r="H46" i="49"/>
  <c r="I46" i="49" s="1"/>
  <c r="H47" i="49"/>
  <c r="I47" i="49" s="1"/>
  <c r="D83" i="3"/>
  <c r="D85" i="3" s="1"/>
  <c r="F82" i="3"/>
  <c r="G82" i="3"/>
  <c r="C37" i="37"/>
  <c r="H44" i="49"/>
  <c r="I44" i="49" s="1"/>
  <c r="H45" i="49"/>
  <c r="I45" i="49" s="1"/>
  <c r="H18" i="49"/>
  <c r="I18" i="49" s="1"/>
  <c r="H43" i="49"/>
  <c r="I43" i="49" s="1"/>
  <c r="I83" i="3"/>
  <c r="I85" i="3" s="1"/>
  <c r="E83" i="3"/>
  <c r="E85" i="3" s="1"/>
  <c r="E86" i="3" s="1"/>
  <c r="F34" i="39"/>
  <c r="B24" i="39"/>
  <c r="B32" i="39"/>
  <c r="D32" i="39" s="1"/>
  <c r="B35" i="39"/>
  <c r="H27" i="49"/>
  <c r="I27" i="49" s="1"/>
  <c r="H30" i="49"/>
  <c r="I30" i="49" s="1"/>
  <c r="H38" i="49"/>
  <c r="I38" i="49" s="1"/>
  <c r="H20" i="49"/>
  <c r="I20" i="49" s="1"/>
  <c r="H24" i="49"/>
  <c r="I24" i="49" s="1"/>
  <c r="H28" i="49"/>
  <c r="I28" i="49" s="1"/>
  <c r="H31" i="49"/>
  <c r="I31" i="49" s="1"/>
  <c r="H35" i="49"/>
  <c r="I35" i="49" s="1"/>
  <c r="H39" i="49"/>
  <c r="I39" i="49" s="1"/>
  <c r="H21" i="49"/>
  <c r="I21" i="49" s="1"/>
  <c r="H25" i="49"/>
  <c r="I25" i="49" s="1"/>
  <c r="H29" i="49"/>
  <c r="I29" i="49" s="1"/>
  <c r="H32" i="49"/>
  <c r="I32" i="49" s="1"/>
  <c r="H36" i="49"/>
  <c r="I36" i="49" s="1"/>
  <c r="H40" i="49"/>
  <c r="I40" i="49" s="1"/>
  <c r="H22" i="49"/>
  <c r="I22" i="49" s="1"/>
  <c r="H26" i="49"/>
  <c r="I26" i="49" s="1"/>
  <c r="H33" i="49"/>
  <c r="I33" i="49" s="1"/>
  <c r="H37" i="49"/>
  <c r="I37" i="49" s="1"/>
  <c r="H41" i="49"/>
  <c r="I41" i="49" s="1"/>
  <c r="H23" i="49"/>
  <c r="I23" i="49" s="1"/>
  <c r="H34" i="49"/>
  <c r="I34" i="49" s="1"/>
  <c r="H42" i="49"/>
  <c r="I42" i="49" s="1"/>
  <c r="H10" i="49"/>
  <c r="I10" i="49" s="1"/>
  <c r="F27" i="39"/>
  <c r="F37" i="39"/>
  <c r="F28" i="39"/>
  <c r="D28" i="39" s="1"/>
  <c r="F24" i="39"/>
  <c r="F36" i="39"/>
  <c r="F25" i="39"/>
  <c r="F35" i="39"/>
  <c r="F26" i="39"/>
  <c r="F33" i="39"/>
  <c r="B37" i="39"/>
  <c r="B25" i="39"/>
  <c r="G47" i="10"/>
  <c r="F47" i="10" s="1"/>
  <c r="G48" i="10"/>
  <c r="C189" i="2"/>
  <c r="C229" i="2" s="1"/>
  <c r="C231" i="2" s="1"/>
  <c r="C266" i="2" s="1"/>
  <c r="C401" i="2" s="1"/>
  <c r="E401" i="2" s="1"/>
  <c r="E547" i="2" s="1"/>
  <c r="C8" i="1"/>
  <c r="D13" i="27"/>
  <c r="C46" i="42"/>
  <c r="C48" i="42" s="1"/>
  <c r="C53" i="42" s="1"/>
  <c r="C56" i="42" s="1"/>
  <c r="C29" i="37"/>
  <c r="C27" i="37"/>
  <c r="H14" i="49"/>
  <c r="I14" i="49" s="1"/>
  <c r="T199" i="31"/>
  <c r="H16" i="49"/>
  <c r="I16" i="49" s="1"/>
  <c r="H12" i="49"/>
  <c r="I12" i="49" s="1"/>
  <c r="F79" i="3"/>
  <c r="H17" i="49"/>
  <c r="I17" i="49" s="1"/>
  <c r="H15" i="49"/>
  <c r="I15" i="49" s="1"/>
  <c r="H13" i="49"/>
  <c r="I13" i="49" s="1"/>
  <c r="H11" i="49"/>
  <c r="I11" i="49" s="1"/>
  <c r="F55" i="10"/>
  <c r="G51" i="10"/>
  <c r="F51" i="10" s="1"/>
  <c r="G44" i="10"/>
  <c r="F44" i="10" s="1"/>
  <c r="G50" i="10"/>
  <c r="F50" i="10" s="1"/>
  <c r="H199" i="31"/>
  <c r="G53" i="10"/>
  <c r="C18" i="42"/>
  <c r="H83" i="3"/>
  <c r="H85" i="3" s="1"/>
  <c r="C25" i="23"/>
  <c r="E30" i="18"/>
  <c r="D93" i="50"/>
  <c r="D105" i="50" s="1"/>
  <c r="E38" i="27"/>
  <c r="E27" i="1"/>
  <c r="F12" i="35"/>
  <c r="M12" i="35" s="1"/>
  <c r="E14" i="13"/>
  <c r="E18" i="13" s="1"/>
  <c r="D25" i="23"/>
  <c r="D20" i="1" s="1"/>
  <c r="B15" i="45" s="1"/>
  <c r="G79" i="3"/>
  <c r="E22" i="18"/>
  <c r="D26" i="1" s="1"/>
  <c r="D547" i="2"/>
  <c r="C13" i="1"/>
  <c r="P222" i="31"/>
  <c r="P15" i="31"/>
  <c r="P27" i="31" s="1"/>
  <c r="G46" i="10"/>
  <c r="F46" i="10" s="1"/>
  <c r="G45" i="10"/>
  <c r="F45" i="10" s="1"/>
  <c r="G54" i="10"/>
  <c r="F54" i="10" s="1"/>
  <c r="G52" i="10"/>
  <c r="I11" i="6" s="1"/>
  <c r="G49" i="10"/>
  <c r="B26" i="39"/>
  <c r="B34" i="39"/>
  <c r="B36" i="39"/>
  <c r="B33" i="39"/>
  <c r="B27" i="39"/>
  <c r="D15" i="39"/>
  <c r="B24" i="37"/>
  <c r="C17" i="37"/>
  <c r="C24" i="37" s="1"/>
  <c r="E12" i="37"/>
  <c r="C11" i="37"/>
  <c r="H9" i="49"/>
  <c r="I9" i="49" s="1"/>
  <c r="F83" i="3" l="1"/>
  <c r="F85" i="3" s="1"/>
  <c r="I547" i="2"/>
  <c r="E26" i="1"/>
  <c r="G44" i="35" s="1"/>
  <c r="B22" i="45"/>
  <c r="F15" i="36"/>
  <c r="J77" i="3"/>
  <c r="J78" i="3" s="1"/>
  <c r="J79" i="3" s="1"/>
  <c r="J80" i="3" s="1"/>
  <c r="J81" i="3" s="1"/>
  <c r="J82" i="3" s="1"/>
  <c r="J83" i="3" s="1"/>
  <c r="J84" i="3" s="1"/>
  <c r="J85" i="3" s="1"/>
  <c r="D9" i="13"/>
  <c r="D25" i="1"/>
  <c r="E25" i="1" s="1"/>
  <c r="G23" i="3"/>
  <c r="F12" i="3"/>
  <c r="G83" i="3"/>
  <c r="D34" i="39"/>
  <c r="F48" i="10"/>
  <c r="F12" i="4"/>
  <c r="E12" i="4" s="1"/>
  <c r="F26" i="35"/>
  <c r="M26" i="35" s="1"/>
  <c r="F41" i="35"/>
  <c r="D24" i="39"/>
  <c r="D27" i="39"/>
  <c r="D35" i="39"/>
  <c r="D37" i="39"/>
  <c r="D33" i="39"/>
  <c r="D26" i="39"/>
  <c r="F38" i="39"/>
  <c r="G16" i="10" s="1"/>
  <c r="D36" i="39"/>
  <c r="D25" i="39"/>
  <c r="F170" i="31"/>
  <c r="F169" i="31"/>
  <c r="F168" i="31"/>
  <c r="F161" i="31"/>
  <c r="F157" i="31"/>
  <c r="F112" i="31"/>
  <c r="F122" i="31"/>
  <c r="F183" i="31"/>
  <c r="F159" i="31"/>
  <c r="F32" i="31"/>
  <c r="F33" i="31"/>
  <c r="F91" i="31"/>
  <c r="F67" i="31"/>
  <c r="F130" i="31"/>
  <c r="F63" i="31"/>
  <c r="F142" i="31"/>
  <c r="F123" i="31"/>
  <c r="F154" i="31"/>
  <c r="F188" i="31"/>
  <c r="F14" i="31"/>
  <c r="F25" i="31"/>
  <c r="F88" i="31"/>
  <c r="F65" i="31"/>
  <c r="F77" i="31"/>
  <c r="F132" i="31"/>
  <c r="F45" i="31"/>
  <c r="F80" i="31"/>
  <c r="F18" i="31"/>
  <c r="F19" i="31"/>
  <c r="F15" i="31"/>
  <c r="F137" i="31"/>
  <c r="F134" i="31"/>
  <c r="F179" i="31"/>
  <c r="F155" i="31"/>
  <c r="F124" i="31"/>
  <c r="F40" i="31"/>
  <c r="F87" i="31"/>
  <c r="F140" i="31"/>
  <c r="F30" i="31"/>
  <c r="F153" i="31"/>
  <c r="F190" i="31"/>
  <c r="F105" i="31"/>
  <c r="F116" i="31"/>
  <c r="F144" i="31"/>
  <c r="F48" i="31"/>
  <c r="F44" i="31"/>
  <c r="F107" i="31"/>
  <c r="F111" i="31"/>
  <c r="F160" i="31"/>
  <c r="F117" i="31"/>
  <c r="F82" i="31"/>
  <c r="F176" i="31"/>
  <c r="F104" i="31"/>
  <c r="F177" i="31"/>
  <c r="F50" i="31"/>
  <c r="F76" i="31"/>
  <c r="F163" i="31"/>
  <c r="F17" i="31"/>
  <c r="F97" i="31"/>
  <c r="F39" i="31"/>
  <c r="F96" i="31"/>
  <c r="F72" i="31"/>
  <c r="F178" i="31"/>
  <c r="F150" i="31"/>
  <c r="F180" i="31"/>
  <c r="F175" i="31"/>
  <c r="F98" i="31"/>
  <c r="F89" i="31"/>
  <c r="F115" i="31"/>
  <c r="F173" i="31"/>
  <c r="F172" i="31"/>
  <c r="F66" i="31"/>
  <c r="F149" i="31"/>
  <c r="F131" i="31"/>
  <c r="F165" i="31"/>
  <c r="F141" i="31"/>
  <c r="F102" i="31"/>
  <c r="F29" i="31"/>
  <c r="F62" i="31"/>
  <c r="F71" i="31"/>
  <c r="F69" i="31"/>
  <c r="F114" i="31"/>
  <c r="F22" i="31"/>
  <c r="F139" i="31"/>
  <c r="F136" i="31"/>
  <c r="F83" i="31"/>
  <c r="F129" i="31"/>
  <c r="F158" i="31"/>
  <c r="F164" i="31"/>
  <c r="F79" i="31"/>
  <c r="F84" i="31"/>
  <c r="F152" i="31"/>
  <c r="F106" i="31"/>
  <c r="F73" i="31"/>
  <c r="F187" i="31"/>
  <c r="F135" i="31"/>
  <c r="F126" i="31"/>
  <c r="F182" i="31"/>
  <c r="F74" i="31"/>
  <c r="F24" i="31"/>
  <c r="F34" i="31"/>
  <c r="F171" i="31"/>
  <c r="F138" i="31"/>
  <c r="F108" i="31"/>
  <c r="F90" i="31"/>
  <c r="F35" i="31"/>
  <c r="F37" i="31"/>
  <c r="F81" i="31"/>
  <c r="F120" i="31"/>
  <c r="F92" i="31"/>
  <c r="F16" i="31"/>
  <c r="F70" i="31"/>
  <c r="F78" i="31"/>
  <c r="F101" i="31"/>
  <c r="F125" i="31"/>
  <c r="F93" i="31"/>
  <c r="D210" i="31"/>
  <c r="F143" i="31"/>
  <c r="F186" i="31"/>
  <c r="F103" i="31"/>
  <c r="F47" i="31"/>
  <c r="F145" i="31"/>
  <c r="F36" i="31"/>
  <c r="F148" i="31"/>
  <c r="F75" i="31"/>
  <c r="F166" i="31"/>
  <c r="F146" i="31"/>
  <c r="F181" i="31"/>
  <c r="F147" i="31"/>
  <c r="F151" i="31"/>
  <c r="F121" i="31"/>
  <c r="F133" i="31"/>
  <c r="F128" i="31"/>
  <c r="F85" i="31"/>
  <c r="F68" i="31"/>
  <c r="F42" i="31"/>
  <c r="F23" i="31"/>
  <c r="F26" i="31"/>
  <c r="F113" i="31"/>
  <c r="F99" i="31"/>
  <c r="F184" i="31"/>
  <c r="F119" i="31"/>
  <c r="F31" i="31"/>
  <c r="F100" i="31"/>
  <c r="F49" i="31"/>
  <c r="F46" i="31"/>
  <c r="F109" i="31"/>
  <c r="F95" i="31"/>
  <c r="F174" i="31"/>
  <c r="F64" i="31"/>
  <c r="F118" i="31"/>
  <c r="F127" i="31"/>
  <c r="F86" i="31"/>
  <c r="F41" i="31"/>
  <c r="F20" i="31"/>
  <c r="F43" i="31"/>
  <c r="F51" i="31"/>
  <c r="F12" i="31"/>
  <c r="F94" i="31"/>
  <c r="F167" i="31"/>
  <c r="F156" i="31"/>
  <c r="F38" i="31"/>
  <c r="F110" i="31"/>
  <c r="F13" i="31"/>
  <c r="F162" i="31"/>
  <c r="F21" i="31"/>
  <c r="F189" i="31"/>
  <c r="F185" i="31"/>
  <c r="F53" i="10"/>
  <c r="G19" i="10"/>
  <c r="F19" i="10" s="1"/>
  <c r="D75" i="49"/>
  <c r="E74" i="49" s="1"/>
  <c r="I66" i="49"/>
  <c r="F73" i="49" s="1"/>
  <c r="H66" i="49"/>
  <c r="C12" i="37"/>
  <c r="H198" i="31"/>
  <c r="H200" i="31" s="1"/>
  <c r="B31" i="37"/>
  <c r="I39" i="5"/>
  <c r="H39" i="5" s="1"/>
  <c r="F49" i="10"/>
  <c r="F52" i="10"/>
  <c r="H11" i="6"/>
  <c r="C15" i="1"/>
  <c r="C23" i="1" s="1"/>
  <c r="F24" i="35" s="1"/>
  <c r="B38" i="39"/>
  <c r="E16" i="10" s="1"/>
  <c r="E20" i="1"/>
  <c r="F43" i="10"/>
  <c r="G56" i="10"/>
  <c r="F42" i="35" l="1"/>
  <c r="F45" i="35" s="1"/>
  <c r="F51" i="35" s="1"/>
  <c r="F34" i="35"/>
  <c r="B21" i="45"/>
  <c r="G12" i="35"/>
  <c r="N12" i="35" s="1"/>
  <c r="G85" i="3"/>
  <c r="F18" i="36"/>
  <c r="M24" i="35"/>
  <c r="M36" i="35" s="1"/>
  <c r="H99" i="31"/>
  <c r="H42" i="31"/>
  <c r="H133" i="31"/>
  <c r="H103" i="31"/>
  <c r="H93" i="31"/>
  <c r="H70" i="31"/>
  <c r="H81" i="31"/>
  <c r="H108" i="31"/>
  <c r="H135" i="31"/>
  <c r="H139" i="31"/>
  <c r="H66" i="31"/>
  <c r="H150" i="31"/>
  <c r="H76" i="31"/>
  <c r="H176" i="31"/>
  <c r="H144" i="31"/>
  <c r="H153" i="31"/>
  <c r="H134" i="31"/>
  <c r="H18" i="31"/>
  <c r="H142" i="31"/>
  <c r="H91" i="31"/>
  <c r="H119" i="31"/>
  <c r="H26" i="31"/>
  <c r="H85" i="31"/>
  <c r="H166" i="31"/>
  <c r="H143" i="31"/>
  <c r="H101" i="31"/>
  <c r="H92" i="31"/>
  <c r="H35" i="31"/>
  <c r="H182" i="31"/>
  <c r="H73" i="31"/>
  <c r="H114" i="31"/>
  <c r="H173" i="31"/>
  <c r="H72" i="31"/>
  <c r="H17" i="31"/>
  <c r="H177" i="31"/>
  <c r="H117" i="31"/>
  <c r="H155" i="31"/>
  <c r="H15" i="31"/>
  <c r="H45" i="31"/>
  <c r="H32" i="31"/>
  <c r="H112" i="31"/>
  <c r="H104" i="31"/>
  <c r="H160" i="31"/>
  <c r="H80" i="31"/>
  <c r="H183" i="31"/>
  <c r="H136" i="31"/>
  <c r="H163" i="31"/>
  <c r="H74" i="31"/>
  <c r="H22" i="31"/>
  <c r="H33" i="31"/>
  <c r="H63" i="31"/>
  <c r="H79" i="31"/>
  <c r="H130" i="31"/>
  <c r="H47" i="31"/>
  <c r="H16" i="31"/>
  <c r="H34" i="31"/>
  <c r="H126" i="31"/>
  <c r="H187" i="31"/>
  <c r="H107" i="31"/>
  <c r="H188" i="31"/>
  <c r="H123" i="31"/>
  <c r="D17" i="1"/>
  <c r="H129" i="31"/>
  <c r="H71" i="31"/>
  <c r="H102" i="31"/>
  <c r="E73" i="49"/>
  <c r="E75" i="49" s="1"/>
  <c r="H165" i="31"/>
  <c r="H115" i="31"/>
  <c r="H151" i="31"/>
  <c r="H78" i="31"/>
  <c r="H138" i="31"/>
  <c r="H186" i="31"/>
  <c r="H36" i="31"/>
  <c r="H171" i="31"/>
  <c r="H158" i="31"/>
  <c r="H24" i="31"/>
  <c r="H152" i="31"/>
  <c r="H149" i="31"/>
  <c r="H83" i="31"/>
  <c r="H180" i="31"/>
  <c r="H29" i="31"/>
  <c r="H141" i="31"/>
  <c r="H131" i="31"/>
  <c r="H175" i="31"/>
  <c r="H170" i="31"/>
  <c r="H89" i="31"/>
  <c r="H39" i="31"/>
  <c r="H169" i="31"/>
  <c r="H98" i="31"/>
  <c r="H96" i="31"/>
  <c r="H97" i="31"/>
  <c r="H168" i="31"/>
  <c r="H116" i="31"/>
  <c r="H77" i="31"/>
  <c r="H161" i="31"/>
  <c r="H157" i="31"/>
  <c r="H30" i="31"/>
  <c r="H67" i="31"/>
  <c r="H88" i="31"/>
  <c r="H122" i="31"/>
  <c r="H14" i="31"/>
  <c r="H111" i="31"/>
  <c r="H44" i="31"/>
  <c r="H105" i="31"/>
  <c r="H140" i="31"/>
  <c r="H40" i="31"/>
  <c r="H154" i="31"/>
  <c r="H65" i="31"/>
  <c r="H25" i="31"/>
  <c r="H184" i="31"/>
  <c r="H113" i="31"/>
  <c r="H23" i="31"/>
  <c r="H68" i="31"/>
  <c r="H128" i="31"/>
  <c r="H121" i="31"/>
  <c r="H147" i="31"/>
  <c r="H146" i="31"/>
  <c r="H75" i="31"/>
  <c r="H125" i="31"/>
  <c r="H120" i="31"/>
  <c r="H37" i="31"/>
  <c r="H90" i="31"/>
  <c r="H106" i="31"/>
  <c r="H84" i="31"/>
  <c r="H164" i="31"/>
  <c r="H69" i="31"/>
  <c r="H62" i="31"/>
  <c r="H172" i="31"/>
  <c r="H178" i="31"/>
  <c r="H50" i="31"/>
  <c r="H82" i="31"/>
  <c r="H48" i="31"/>
  <c r="H190" i="31"/>
  <c r="H87" i="31"/>
  <c r="H124" i="31"/>
  <c r="H179" i="31"/>
  <c r="H137" i="31"/>
  <c r="H19" i="31"/>
  <c r="H132" i="31"/>
  <c r="H159" i="31"/>
  <c r="H181" i="31"/>
  <c r="H148" i="31"/>
  <c r="H145" i="31"/>
  <c r="F193" i="31"/>
  <c r="F16" i="10"/>
  <c r="C30" i="1"/>
  <c r="C33" i="1" s="1"/>
  <c r="C34" i="1" s="1"/>
  <c r="D38" i="39"/>
  <c r="H94" i="31"/>
  <c r="H13" i="31"/>
  <c r="H167" i="31"/>
  <c r="H21" i="31"/>
  <c r="H38" i="31"/>
  <c r="H109" i="31"/>
  <c r="H49" i="31"/>
  <c r="H185" i="31"/>
  <c r="H189" i="31"/>
  <c r="H118" i="31"/>
  <c r="H110" i="31"/>
  <c r="H95" i="31"/>
  <c r="H31" i="31"/>
  <c r="H20" i="31"/>
  <c r="H206" i="31"/>
  <c r="H162" i="31"/>
  <c r="H156" i="31"/>
  <c r="H127" i="31"/>
  <c r="H46" i="31"/>
  <c r="H100" i="31"/>
  <c r="H41" i="31"/>
  <c r="H86" i="31"/>
  <c r="H64" i="31"/>
  <c r="H174" i="31"/>
  <c r="H51" i="31"/>
  <c r="H43" i="31"/>
  <c r="F19" i="36" l="1"/>
  <c r="F74" i="49" s="1"/>
  <c r="G74" i="49" s="1"/>
  <c r="D56" i="36"/>
  <c r="D50" i="36"/>
  <c r="E50" i="36" s="1"/>
  <c r="F50" i="36" s="1"/>
  <c r="G26" i="35"/>
  <c r="N26" i="35" s="1"/>
  <c r="G41" i="35"/>
  <c r="F10" i="36"/>
  <c r="B13" i="45"/>
  <c r="E17" i="1"/>
  <c r="G40" i="35" s="1"/>
  <c r="G73" i="49"/>
  <c r="H52" i="31"/>
  <c r="G10" i="35"/>
  <c r="E34" i="1"/>
  <c r="H27" i="31"/>
  <c r="H191" i="31"/>
  <c r="J191" i="31" s="1"/>
  <c r="F10" i="35"/>
  <c r="C38" i="1"/>
  <c r="C41" i="1" s="1"/>
  <c r="L144" i="31" l="1"/>
  <c r="L167" i="31"/>
  <c r="L132" i="31"/>
  <c r="L92" i="31"/>
  <c r="L116" i="31"/>
  <c r="L115" i="31"/>
  <c r="L99" i="31"/>
  <c r="L102" i="31"/>
  <c r="L161" i="31"/>
  <c r="L189" i="31"/>
  <c r="L12" i="31"/>
  <c r="L170" i="31"/>
  <c r="L24" i="31"/>
  <c r="L187" i="31"/>
  <c r="L153" i="31"/>
  <c r="L20" i="31"/>
  <c r="L26" i="31"/>
  <c r="L157" i="31"/>
  <c r="L175" i="31"/>
  <c r="L73" i="31"/>
  <c r="L111" i="31"/>
  <c r="L110" i="31"/>
  <c r="L122" i="31"/>
  <c r="L85" i="31"/>
  <c r="L113" i="31"/>
  <c r="L100" i="31"/>
  <c r="L65" i="31"/>
  <c r="L166" i="31"/>
  <c r="L105" i="31"/>
  <c r="L91" i="31"/>
  <c r="L135" i="31"/>
  <c r="L98" i="31"/>
  <c r="L107" i="31"/>
  <c r="L164" i="31"/>
  <c r="L171" i="31"/>
  <c r="L86" i="31"/>
  <c r="L84" i="31"/>
  <c r="L127" i="31"/>
  <c r="L133" i="31"/>
  <c r="L188" i="31"/>
  <c r="L177" i="31"/>
  <c r="L136" i="31"/>
  <c r="L75" i="31"/>
  <c r="L63" i="31"/>
  <c r="L155" i="31"/>
  <c r="L163" i="31"/>
  <c r="L62" i="31"/>
  <c r="L160" i="31"/>
  <c r="L93" i="31"/>
  <c r="L74" i="31"/>
  <c r="L120" i="31"/>
  <c r="L147" i="31"/>
  <c r="L143" i="31"/>
  <c r="L68" i="31"/>
  <c r="L121" i="31"/>
  <c r="L139" i="31"/>
  <c r="L96" i="31"/>
  <c r="L158" i="31"/>
  <c r="L76" i="31"/>
  <c r="L114" i="31"/>
  <c r="L156" i="31"/>
  <c r="L78" i="31"/>
  <c r="L151" i="31"/>
  <c r="L16" i="31"/>
  <c r="L124" i="31"/>
  <c r="L165" i="31"/>
  <c r="L123" i="31"/>
  <c r="L71" i="31"/>
  <c r="L172" i="31"/>
  <c r="L162" i="31"/>
  <c r="L72" i="31"/>
  <c r="L178" i="31"/>
  <c r="L168" i="31"/>
  <c r="L18" i="31"/>
  <c r="L67" i="31"/>
  <c r="L82" i="31"/>
  <c r="L130" i="31"/>
  <c r="L159" i="31"/>
  <c r="L94" i="31"/>
  <c r="L23" i="31"/>
  <c r="L140" i="31"/>
  <c r="L97" i="31"/>
  <c r="L149" i="31"/>
  <c r="L69" i="31"/>
  <c r="L185" i="31"/>
  <c r="L25" i="31"/>
  <c r="L129" i="31"/>
  <c r="L145" i="31"/>
  <c r="L88" i="31"/>
  <c r="L14" i="31"/>
  <c r="L186" i="31"/>
  <c r="L179" i="31"/>
  <c r="L182" i="31"/>
  <c r="L112" i="31"/>
  <c r="L137" i="31"/>
  <c r="L174" i="31"/>
  <c r="L101" i="31"/>
  <c r="L128" i="31"/>
  <c r="L64" i="31"/>
  <c r="L184" i="31"/>
  <c r="L125" i="31"/>
  <c r="L134" i="31"/>
  <c r="L141" i="31"/>
  <c r="L154" i="31"/>
  <c r="J27" i="31"/>
  <c r="J193" i="31" s="1"/>
  <c r="L70" i="31"/>
  <c r="L89" i="31"/>
  <c r="L87" i="31"/>
  <c r="L103" i="31"/>
  <c r="L13" i="31"/>
  <c r="L138" i="31"/>
  <c r="L21" i="31"/>
  <c r="L106" i="31"/>
  <c r="L181" i="31"/>
  <c r="L180" i="31"/>
  <c r="L142" i="31"/>
  <c r="L152" i="31"/>
  <c r="L22" i="31"/>
  <c r="L109" i="31"/>
  <c r="L119" i="31"/>
  <c r="L17" i="31"/>
  <c r="L90" i="31"/>
  <c r="L150" i="31"/>
  <c r="L146" i="31"/>
  <c r="L15" i="31"/>
  <c r="L173" i="31"/>
  <c r="L176" i="31"/>
  <c r="L77" i="31"/>
  <c r="L148" i="31"/>
  <c r="L117" i="31"/>
  <c r="L81" i="31"/>
  <c r="L83" i="31"/>
  <c r="L95" i="31"/>
  <c r="L79" i="31"/>
  <c r="L108" i="31"/>
  <c r="L169" i="31"/>
  <c r="L131" i="31"/>
  <c r="L190" i="31"/>
  <c r="L126" i="31"/>
  <c r="L66" i="31"/>
  <c r="L183" i="31"/>
  <c r="L104" i="31"/>
  <c r="L19" i="31"/>
  <c r="L80" i="31"/>
  <c r="L118" i="31"/>
  <c r="N14" i="35"/>
  <c r="N30" i="35" s="1"/>
  <c r="F16" i="36"/>
  <c r="D54" i="36" s="1"/>
  <c r="G75" i="49"/>
  <c r="D48" i="36"/>
  <c r="E48" i="36" s="1"/>
  <c r="F48" i="36" s="1"/>
  <c r="G14" i="35"/>
  <c r="G16" i="35" s="1"/>
  <c r="N10" i="35"/>
  <c r="F14" i="35"/>
  <c r="F16" i="35" s="1"/>
  <c r="M10" i="35"/>
  <c r="M18" i="35" s="1"/>
  <c r="H193" i="31"/>
  <c r="D34" i="1"/>
  <c r="F30" i="35"/>
  <c r="B28" i="45" l="1"/>
  <c r="C14" i="8"/>
  <c r="C48" i="27" s="1"/>
  <c r="D48" i="27" s="1"/>
  <c r="D55" i="27" s="1"/>
  <c r="D22" i="1" s="1"/>
  <c r="J91" i="31"/>
  <c r="N16" i="35"/>
  <c r="N34" i="35" s="1"/>
  <c r="D52" i="36"/>
  <c r="E52" i="36" s="1"/>
  <c r="L27" i="31"/>
  <c r="J76" i="31"/>
  <c r="C7" i="8"/>
  <c r="J78" i="31"/>
  <c r="J87" i="31"/>
  <c r="C9" i="8" s="1"/>
  <c r="J186" i="31"/>
  <c r="C13" i="8" s="1"/>
  <c r="J82" i="31"/>
  <c r="C8" i="8" s="1"/>
  <c r="C55" i="27" l="1"/>
  <c r="E22" i="1"/>
  <c r="B16" i="45"/>
  <c r="J134" i="31"/>
  <c r="C12" i="8" s="1"/>
  <c r="J128" i="31"/>
  <c r="C11" i="8" s="1"/>
  <c r="L191" i="31"/>
  <c r="L193" i="31" s="1"/>
  <c r="J108" i="31"/>
  <c r="C10" i="8" s="1"/>
  <c r="N18" i="35"/>
  <c r="D17" i="3"/>
  <c r="E9" i="10"/>
  <c r="D10" i="4"/>
  <c r="D36" i="4"/>
  <c r="C15" i="8"/>
  <c r="C17" i="8"/>
  <c r="G9" i="5" l="1"/>
  <c r="G9" i="6"/>
  <c r="G34" i="5"/>
  <c r="C16" i="8"/>
  <c r="J198" i="31"/>
  <c r="C42" i="27"/>
  <c r="C18" i="8" l="1"/>
  <c r="C46" i="27" l="1"/>
  <c r="E14" i="37"/>
  <c r="C14" i="37" l="1"/>
  <c r="E31" i="37"/>
  <c r="N194" i="31"/>
  <c r="N93" i="31" s="1"/>
  <c r="C32" i="8" l="1"/>
  <c r="E17" i="8" s="1"/>
  <c r="B32" i="8"/>
  <c r="C31" i="37"/>
  <c r="N169" i="31"/>
  <c r="N170" i="31"/>
  <c r="N161" i="31"/>
  <c r="N168" i="31"/>
  <c r="N122" i="31"/>
  <c r="N157" i="31"/>
  <c r="N58" i="31"/>
  <c r="N33" i="31"/>
  <c r="N51" i="31"/>
  <c r="N41" i="31"/>
  <c r="N30" i="31"/>
  <c r="N36" i="31"/>
  <c r="N31" i="31"/>
  <c r="N47" i="31"/>
  <c r="N32" i="31"/>
  <c r="N34" i="31"/>
  <c r="N40" i="31"/>
  <c r="N29" i="31"/>
  <c r="N81" i="31"/>
  <c r="N89" i="31"/>
  <c r="N175" i="31"/>
  <c r="N182" i="31"/>
  <c r="N118" i="31"/>
  <c r="N13" i="31"/>
  <c r="N84" i="31"/>
  <c r="N108" i="31"/>
  <c r="N59" i="31"/>
  <c r="N57" i="31"/>
  <c r="N44" i="31"/>
  <c r="N38" i="31"/>
  <c r="N39" i="31"/>
  <c r="N46" i="31"/>
  <c r="N37" i="31"/>
  <c r="N42" i="31"/>
  <c r="N56" i="31"/>
  <c r="N48" i="31"/>
  <c r="N49" i="31"/>
  <c r="N35" i="31"/>
  <c r="N43" i="31"/>
  <c r="N45" i="31"/>
  <c r="N50" i="31"/>
  <c r="N139" i="31"/>
  <c r="N92" i="31"/>
  <c r="N151" i="31"/>
  <c r="N120" i="31"/>
  <c r="N117" i="31"/>
  <c r="N172" i="31"/>
  <c r="N186" i="31"/>
  <c r="N113" i="31"/>
  <c r="N79" i="31"/>
  <c r="N17" i="31"/>
  <c r="N189" i="31"/>
  <c r="N135" i="31"/>
  <c r="N87" i="31"/>
  <c r="N82" i="31"/>
  <c r="N163" i="31"/>
  <c r="N145" i="31"/>
  <c r="N96" i="31"/>
  <c r="N142" i="31"/>
  <c r="N144" i="31"/>
  <c r="N104" i="31"/>
  <c r="N158" i="31"/>
  <c r="N141" i="31"/>
  <c r="N132" i="31"/>
  <c r="N71" i="31"/>
  <c r="N102" i="31"/>
  <c r="N155" i="31"/>
  <c r="N22" i="31"/>
  <c r="N174" i="31"/>
  <c r="N165" i="31"/>
  <c r="N128" i="31"/>
  <c r="N143" i="31"/>
  <c r="N150" i="31"/>
  <c r="N106" i="31"/>
  <c r="N90" i="31"/>
  <c r="N146" i="31"/>
  <c r="N136" i="31"/>
  <c r="N173" i="31"/>
  <c r="N20" i="31"/>
  <c r="N177" i="31"/>
  <c r="N107" i="31"/>
  <c r="N156" i="31"/>
  <c r="N137" i="31"/>
  <c r="N190" i="31"/>
  <c r="N67" i="31"/>
  <c r="N23" i="31"/>
  <c r="N152" i="31"/>
  <c r="N130" i="31"/>
  <c r="N73" i="31"/>
  <c r="N63" i="31"/>
  <c r="N26" i="31"/>
  <c r="N138" i="31"/>
  <c r="N125" i="31"/>
  <c r="N25" i="31"/>
  <c r="N160" i="31"/>
  <c r="N147" i="31"/>
  <c r="N69" i="31"/>
  <c r="N185" i="31"/>
  <c r="N75" i="31"/>
  <c r="N98" i="31"/>
  <c r="N99" i="31"/>
  <c r="N171" i="31"/>
  <c r="N187" i="31"/>
  <c r="N68" i="31"/>
  <c r="N15" i="31"/>
  <c r="N159" i="31"/>
  <c r="N72" i="31"/>
  <c r="N178" i="31"/>
  <c r="N65" i="31"/>
  <c r="N131" i="31"/>
  <c r="N86" i="31"/>
  <c r="N100" i="31"/>
  <c r="N14" i="31"/>
  <c r="N95" i="31"/>
  <c r="N127" i="31"/>
  <c r="N16" i="31"/>
  <c r="N119" i="31"/>
  <c r="N64" i="31"/>
  <c r="N167" i="31"/>
  <c r="N180" i="31"/>
  <c r="N80" i="31"/>
  <c r="N115" i="31"/>
  <c r="N166" i="31"/>
  <c r="N176" i="31"/>
  <c r="N24" i="31"/>
  <c r="N129" i="31"/>
  <c r="N149" i="31"/>
  <c r="N110" i="31"/>
  <c r="N162" i="31"/>
  <c r="N97" i="31"/>
  <c r="N114" i="31"/>
  <c r="N124" i="31"/>
  <c r="N85" i="31"/>
  <c r="N66" i="31"/>
  <c r="N94" i="31"/>
  <c r="N105" i="31"/>
  <c r="N111" i="31"/>
  <c r="N134" i="31"/>
  <c r="N123" i="31"/>
  <c r="N76" i="31"/>
  <c r="N19" i="31"/>
  <c r="N153" i="31"/>
  <c r="N179" i="31"/>
  <c r="N133" i="31"/>
  <c r="N126" i="31"/>
  <c r="N121" i="31"/>
  <c r="N154" i="31"/>
  <c r="N70" i="31"/>
  <c r="N101" i="31"/>
  <c r="N140" i="31"/>
  <c r="N74" i="31"/>
  <c r="N18" i="31"/>
  <c r="N183" i="31"/>
  <c r="N116" i="31"/>
  <c r="N164" i="31"/>
  <c r="N184" i="31"/>
  <c r="N181" i="31"/>
  <c r="N103" i="31"/>
  <c r="N91" i="31"/>
  <c r="N188" i="31"/>
  <c r="N112" i="31"/>
  <c r="N148" i="31"/>
  <c r="N21" i="31"/>
  <c r="N109" i="31"/>
  <c r="N83" i="31"/>
  <c r="N88" i="31"/>
  <c r="N12" i="31"/>
  <c r="N62" i="31"/>
  <c r="N78" i="31"/>
  <c r="N77" i="31"/>
  <c r="E11" i="8" l="1"/>
  <c r="E15" i="8"/>
  <c r="E14" i="8"/>
  <c r="E8" i="8"/>
  <c r="E7" i="8"/>
  <c r="E12" i="8"/>
  <c r="E13" i="8"/>
  <c r="E10" i="8"/>
  <c r="E9" i="8"/>
  <c r="N27" i="31"/>
  <c r="N60" i="31"/>
  <c r="N52" i="31"/>
  <c r="N191" i="31"/>
  <c r="N193" i="31" l="1"/>
  <c r="P112" i="31" l="1"/>
  <c r="P40" i="31"/>
  <c r="P56" i="31"/>
  <c r="P60" i="31" l="1"/>
  <c r="T197" i="31"/>
  <c r="T200" i="31" s="1"/>
  <c r="P52" i="31"/>
  <c r="P191" i="31"/>
  <c r="P193" i="31" l="1"/>
  <c r="R169" i="31" l="1"/>
  <c r="T169" i="31" s="1"/>
  <c r="R170" i="31"/>
  <c r="T170" i="31" s="1"/>
  <c r="R161" i="31"/>
  <c r="T161" i="31" s="1"/>
  <c r="R168" i="31"/>
  <c r="T168" i="31" s="1"/>
  <c r="R122" i="31"/>
  <c r="T122" i="31" s="1"/>
  <c r="R157" i="31"/>
  <c r="T157" i="31" s="1"/>
  <c r="T202" i="31"/>
  <c r="T206" i="31" s="1"/>
  <c r="R12" i="31"/>
  <c r="R183" i="31"/>
  <c r="T183" i="31" s="1"/>
  <c r="R126" i="31"/>
  <c r="T126" i="31" s="1"/>
  <c r="R111" i="31"/>
  <c r="T111" i="31" s="1"/>
  <c r="R162" i="31"/>
  <c r="T162" i="31" s="1"/>
  <c r="R80" i="31"/>
  <c r="T80" i="31" s="1"/>
  <c r="R14" i="31"/>
  <c r="T14" i="31" s="1"/>
  <c r="R15" i="31"/>
  <c r="T15" i="31" s="1"/>
  <c r="R69" i="31"/>
  <c r="T69" i="31" s="1"/>
  <c r="R73" i="31"/>
  <c r="T73" i="31" s="1"/>
  <c r="R107" i="31"/>
  <c r="T107" i="31" s="1"/>
  <c r="R150" i="31"/>
  <c r="T150" i="31" s="1"/>
  <c r="R71" i="31"/>
  <c r="T71" i="31" s="1"/>
  <c r="R145" i="31"/>
  <c r="T145" i="31" s="1"/>
  <c r="R113" i="31"/>
  <c r="T113" i="31" s="1"/>
  <c r="R50" i="31"/>
  <c r="T50" i="31" s="1"/>
  <c r="R44" i="31"/>
  <c r="T44" i="31" s="1"/>
  <c r="R89" i="31"/>
  <c r="T89" i="31" s="1"/>
  <c r="R47" i="31"/>
  <c r="T47" i="31" s="1"/>
  <c r="R83" i="31"/>
  <c r="T83" i="31" s="1"/>
  <c r="R88" i="31"/>
  <c r="T88" i="31" s="1"/>
  <c r="R103" i="31"/>
  <c r="T103" i="31" s="1"/>
  <c r="R140" i="31"/>
  <c r="T140" i="31" s="1"/>
  <c r="R153" i="31"/>
  <c r="T153" i="31" s="1"/>
  <c r="R66" i="31"/>
  <c r="T66" i="31" s="1"/>
  <c r="R129" i="31"/>
  <c r="T129" i="31" s="1"/>
  <c r="R64" i="31"/>
  <c r="T64" i="31" s="1"/>
  <c r="R131" i="31"/>
  <c r="T131" i="31" s="1"/>
  <c r="R171" i="31"/>
  <c r="T171" i="31" s="1"/>
  <c r="R25" i="31"/>
  <c r="T25" i="31" s="1"/>
  <c r="R23" i="31"/>
  <c r="T23" i="31" s="1"/>
  <c r="R173" i="31"/>
  <c r="T173" i="31" s="1"/>
  <c r="R165" i="31"/>
  <c r="T165" i="31" s="1"/>
  <c r="R158" i="31"/>
  <c r="T158" i="31" s="1"/>
  <c r="R87" i="31"/>
  <c r="T87" i="31" s="1"/>
  <c r="R117" i="31"/>
  <c r="T117" i="31" s="1"/>
  <c r="R35" i="31"/>
  <c r="T35" i="31" s="1"/>
  <c r="R38" i="31"/>
  <c r="T38" i="31" s="1"/>
  <c r="R175" i="31"/>
  <c r="T175" i="31" s="1"/>
  <c r="R51" i="31"/>
  <c r="T51" i="31" s="1"/>
  <c r="R30" i="31"/>
  <c r="T30" i="31" s="1"/>
  <c r="R164" i="31"/>
  <c r="T164" i="31" s="1"/>
  <c r="R154" i="31"/>
  <c r="T154" i="31" s="1"/>
  <c r="R123" i="31"/>
  <c r="T123" i="31" s="1"/>
  <c r="R114" i="31"/>
  <c r="T114" i="31" s="1"/>
  <c r="R166" i="31"/>
  <c r="T166" i="31" s="1"/>
  <c r="R127" i="31"/>
  <c r="T127" i="31" s="1"/>
  <c r="R72" i="31"/>
  <c r="T72" i="31" s="1"/>
  <c r="R75" i="31"/>
  <c r="T75" i="31" s="1"/>
  <c r="R26" i="31"/>
  <c r="T26" i="31" s="1"/>
  <c r="R137" i="31"/>
  <c r="T137" i="31" s="1"/>
  <c r="R90" i="31"/>
  <c r="T90" i="31" s="1"/>
  <c r="R155" i="31"/>
  <c r="T155" i="31" s="1"/>
  <c r="R142" i="31"/>
  <c r="T142" i="31" s="1"/>
  <c r="R17" i="31"/>
  <c r="T17" i="31" s="1"/>
  <c r="R92" i="31"/>
  <c r="T92" i="31" s="1"/>
  <c r="R39" i="31"/>
  <c r="T39" i="31" s="1"/>
  <c r="R182" i="31"/>
  <c r="T182" i="31" s="1"/>
  <c r="R36" i="31"/>
  <c r="T36" i="31" s="1"/>
  <c r="R77" i="31"/>
  <c r="T77" i="31" s="1"/>
  <c r="R109" i="31"/>
  <c r="T109" i="31" s="1"/>
  <c r="R184" i="31"/>
  <c r="T184" i="31" s="1"/>
  <c r="R70" i="31"/>
  <c r="T70" i="31" s="1"/>
  <c r="R76" i="31"/>
  <c r="T76" i="31" s="1"/>
  <c r="R124" i="31"/>
  <c r="T124" i="31" s="1"/>
  <c r="R176" i="31"/>
  <c r="T176" i="31" s="1"/>
  <c r="R16" i="31"/>
  <c r="T16" i="31" s="1"/>
  <c r="R178" i="31"/>
  <c r="T178" i="31" s="1"/>
  <c r="R98" i="31"/>
  <c r="T98" i="31" s="1"/>
  <c r="R138" i="31"/>
  <c r="T138" i="31" s="1"/>
  <c r="R190" i="31"/>
  <c r="T190" i="31" s="1"/>
  <c r="R146" i="31"/>
  <c r="T146" i="31" s="1"/>
  <c r="R22" i="31"/>
  <c r="T22" i="31" s="1"/>
  <c r="R144" i="31"/>
  <c r="T144" i="31" s="1"/>
  <c r="R189" i="31"/>
  <c r="T189" i="31" s="1"/>
  <c r="R151" i="31"/>
  <c r="T151" i="31" s="1"/>
  <c r="R48" i="31"/>
  <c r="T48" i="31" s="1"/>
  <c r="R108" i="31"/>
  <c r="T108" i="31" s="1"/>
  <c r="R32" i="31"/>
  <c r="T32" i="31" s="1"/>
  <c r="R186" i="31"/>
  <c r="T186" i="31" s="1"/>
  <c r="R46" i="31"/>
  <c r="T46" i="31" s="1"/>
  <c r="R78" i="31"/>
  <c r="T78" i="31" s="1"/>
  <c r="R91" i="31"/>
  <c r="T91" i="31" s="1"/>
  <c r="R101" i="31"/>
  <c r="T101" i="31" s="1"/>
  <c r="R19" i="31"/>
  <c r="T19" i="31" s="1"/>
  <c r="R85" i="31"/>
  <c r="T85" i="31" s="1"/>
  <c r="R24" i="31"/>
  <c r="T24" i="31" s="1"/>
  <c r="R119" i="31"/>
  <c r="T119" i="31" s="1"/>
  <c r="R65" i="31"/>
  <c r="T65" i="31" s="1"/>
  <c r="R99" i="31"/>
  <c r="T99" i="31" s="1"/>
  <c r="R125" i="31"/>
  <c r="T125" i="31" s="1"/>
  <c r="R67" i="31"/>
  <c r="T67" i="31" s="1"/>
  <c r="R136" i="31"/>
  <c r="T136" i="31" s="1"/>
  <c r="R174" i="31"/>
  <c r="T174" i="31" s="1"/>
  <c r="R104" i="31"/>
  <c r="T104" i="31" s="1"/>
  <c r="R135" i="31"/>
  <c r="T135" i="31" s="1"/>
  <c r="R120" i="31"/>
  <c r="T120" i="31" s="1"/>
  <c r="R49" i="31"/>
  <c r="T49" i="31" s="1"/>
  <c r="R37" i="31"/>
  <c r="T37" i="31" s="1"/>
  <c r="R13" i="31"/>
  <c r="T13" i="31" s="1"/>
  <c r="R29" i="31"/>
  <c r="T29" i="31" s="1"/>
  <c r="R41" i="31"/>
  <c r="T41" i="31" s="1"/>
  <c r="R181" i="31"/>
  <c r="T181" i="31" s="1"/>
  <c r="R148" i="31"/>
  <c r="T148" i="31" s="1"/>
  <c r="R116" i="31"/>
  <c r="T116" i="31" s="1"/>
  <c r="R121" i="31"/>
  <c r="T121" i="31" s="1"/>
  <c r="R134" i="31"/>
  <c r="T134" i="31" s="1"/>
  <c r="R97" i="31"/>
  <c r="T97" i="31" s="1"/>
  <c r="R115" i="31"/>
  <c r="R95" i="31"/>
  <c r="T95" i="31" s="1"/>
  <c r="R159" i="31"/>
  <c r="T159" i="31" s="1"/>
  <c r="R185" i="31"/>
  <c r="T185" i="31" s="1"/>
  <c r="R63" i="31"/>
  <c r="T63" i="31" s="1"/>
  <c r="R156" i="31"/>
  <c r="T156" i="31" s="1"/>
  <c r="R106" i="31"/>
  <c r="T106" i="31" s="1"/>
  <c r="R102" i="31"/>
  <c r="T102" i="31" s="1"/>
  <c r="R96" i="31"/>
  <c r="T96" i="31" s="1"/>
  <c r="R79" i="31"/>
  <c r="T79" i="31" s="1"/>
  <c r="R139" i="31"/>
  <c r="T139" i="31" s="1"/>
  <c r="R42" i="31"/>
  <c r="T42" i="31" s="1"/>
  <c r="R84" i="31"/>
  <c r="T84" i="31" s="1"/>
  <c r="R31" i="31"/>
  <c r="T31" i="31" s="1"/>
  <c r="R81" i="31"/>
  <c r="T81" i="31" s="1"/>
  <c r="R21" i="31"/>
  <c r="T21" i="31" s="1"/>
  <c r="R74" i="31"/>
  <c r="T74" i="31" s="1"/>
  <c r="R179" i="31"/>
  <c r="T179" i="31" s="1"/>
  <c r="R94" i="31"/>
  <c r="T94" i="31" s="1"/>
  <c r="R149" i="31"/>
  <c r="T149" i="31" s="1"/>
  <c r="R167" i="31"/>
  <c r="T167" i="31" s="1"/>
  <c r="R86" i="31"/>
  <c r="T86" i="31" s="1"/>
  <c r="R187" i="31"/>
  <c r="T187" i="31" s="1"/>
  <c r="R160" i="31"/>
  <c r="T160" i="31" s="1"/>
  <c r="R152" i="31"/>
  <c r="T152" i="31" s="1"/>
  <c r="R20" i="31"/>
  <c r="T20" i="31" s="1"/>
  <c r="R128" i="31"/>
  <c r="T128" i="31" s="1"/>
  <c r="R141" i="31"/>
  <c r="T141" i="31" s="1"/>
  <c r="R82" i="31"/>
  <c r="T82" i="31" s="1"/>
  <c r="R172" i="31"/>
  <c r="T172" i="31" s="1"/>
  <c r="R43" i="31"/>
  <c r="T43" i="31" s="1"/>
  <c r="R93" i="31"/>
  <c r="T93" i="31" s="1"/>
  <c r="R34" i="31"/>
  <c r="T34" i="31" s="1"/>
  <c r="R33" i="31"/>
  <c r="T33" i="31" s="1"/>
  <c r="R62" i="31"/>
  <c r="T62" i="31" s="1"/>
  <c r="R188" i="31"/>
  <c r="T188" i="31" s="1"/>
  <c r="R18" i="31"/>
  <c r="T18" i="31" s="1"/>
  <c r="R133" i="31"/>
  <c r="T133" i="31" s="1"/>
  <c r="R105" i="31"/>
  <c r="T105" i="31" s="1"/>
  <c r="R110" i="31"/>
  <c r="T110" i="31" s="1"/>
  <c r="R180" i="31"/>
  <c r="T180" i="31" s="1"/>
  <c r="R100" i="31"/>
  <c r="T100" i="31" s="1"/>
  <c r="R68" i="31"/>
  <c r="T68" i="31" s="1"/>
  <c r="R147" i="31"/>
  <c r="T147" i="31" s="1"/>
  <c r="R130" i="31"/>
  <c r="T130" i="31" s="1"/>
  <c r="R177" i="31"/>
  <c r="T177" i="31" s="1"/>
  <c r="R143" i="31"/>
  <c r="T143" i="31" s="1"/>
  <c r="R132" i="31"/>
  <c r="T132" i="31" s="1"/>
  <c r="R163" i="31"/>
  <c r="T163" i="31" s="1"/>
  <c r="R45" i="31"/>
  <c r="T45" i="31" s="1"/>
  <c r="R118" i="31"/>
  <c r="T118" i="31" s="1"/>
  <c r="R40" i="31"/>
  <c r="T40" i="31" s="1"/>
  <c r="R112" i="31"/>
  <c r="T112" i="31" s="1"/>
  <c r="T191" i="31" l="1"/>
  <c r="T52" i="31"/>
  <c r="R193" i="31"/>
  <c r="T12" i="31"/>
  <c r="T27" i="31" l="1"/>
  <c r="X12" i="31" s="1"/>
  <c r="V27" i="31" l="1"/>
  <c r="X168" i="31"/>
  <c r="X18" i="31"/>
  <c r="X63" i="31"/>
  <c r="X98" i="31"/>
  <c r="X171" i="31"/>
  <c r="X147" i="31"/>
  <c r="X160" i="31"/>
  <c r="X97" i="31"/>
  <c r="X67" i="31"/>
  <c r="X151" i="31"/>
  <c r="X163" i="31"/>
  <c r="X96" i="31"/>
  <c r="X22" i="31"/>
  <c r="X165" i="31"/>
  <c r="X110" i="31"/>
  <c r="X72" i="31"/>
  <c r="X131" i="31"/>
  <c r="X15" i="31"/>
  <c r="X143" i="31"/>
  <c r="X128" i="31"/>
  <c r="X139" i="31"/>
  <c r="X181" i="31"/>
  <c r="X91" i="31"/>
  <c r="X70" i="31"/>
  <c r="X154" i="31"/>
  <c r="X64" i="31"/>
  <c r="X14" i="31"/>
  <c r="X177" i="31"/>
  <c r="X20" i="31"/>
  <c r="X156" i="31"/>
  <c r="X99" i="31"/>
  <c r="X144" i="31"/>
  <c r="X182" i="31"/>
  <c r="X164" i="31"/>
  <c r="X103" i="31"/>
  <c r="X80" i="31"/>
  <c r="X77" i="31"/>
  <c r="X116" i="31"/>
  <c r="X88" i="31"/>
  <c r="X21" i="31"/>
  <c r="X119" i="31"/>
  <c r="X180" i="31"/>
  <c r="X124" i="31"/>
  <c r="X149" i="31"/>
  <c r="X153" i="31"/>
  <c r="X68" i="31"/>
  <c r="X106" i="31"/>
  <c r="X189" i="31"/>
  <c r="X175" i="31"/>
  <c r="X112" i="31"/>
  <c r="X167" i="31"/>
  <c r="X120" i="31"/>
  <c r="X155" i="31"/>
  <c r="X69" i="31"/>
  <c r="X93" i="31"/>
  <c r="X102" i="31"/>
  <c r="X13" i="31"/>
  <c r="X101" i="31"/>
  <c r="X178" i="31"/>
  <c r="X152" i="31"/>
  <c r="X136" i="31"/>
  <c r="X71" i="31"/>
  <c r="X92" i="31"/>
  <c r="X117" i="31"/>
  <c r="X83" i="31"/>
  <c r="X161" i="31"/>
  <c r="X105" i="31"/>
  <c r="X94" i="31"/>
  <c r="X159" i="31"/>
  <c r="X125" i="31"/>
  <c r="X190" i="31"/>
  <c r="X137" i="31"/>
  <c r="X87" i="31"/>
  <c r="X113" i="31"/>
  <c r="X157" i="31"/>
  <c r="X133" i="31"/>
  <c r="X179" i="31"/>
  <c r="X121" i="31"/>
  <c r="X78" i="31"/>
  <c r="X176" i="31"/>
  <c r="X26" i="31"/>
  <c r="X25" i="31"/>
  <c r="X145" i="31"/>
  <c r="X122" i="31"/>
  <c r="X130" i="31"/>
  <c r="X84" i="31"/>
  <c r="X65" i="31"/>
  <c r="X114" i="31"/>
  <c r="X162" i="31"/>
  <c r="X141" i="31"/>
  <c r="X185" i="31"/>
  <c r="X135" i="31"/>
  <c r="X186" i="31"/>
  <c r="X76" i="31"/>
  <c r="X74" i="31"/>
  <c r="X19" i="31"/>
  <c r="X75" i="31"/>
  <c r="D14" i="8" s="1"/>
  <c r="X132" i="31"/>
  <c r="X90" i="31"/>
  <c r="X173" i="31"/>
  <c r="X150" i="31"/>
  <c r="X118" i="31"/>
  <c r="X62" i="31"/>
  <c r="X81" i="31"/>
  <c r="X134" i="31"/>
  <c r="X24" i="31"/>
  <c r="X16" i="31"/>
  <c r="X127" i="31"/>
  <c r="X23" i="31"/>
  <c r="X107" i="31"/>
  <c r="X170" i="31"/>
  <c r="X172" i="31"/>
  <c r="X79" i="31"/>
  <c r="X174" i="31"/>
  <c r="X108" i="31"/>
  <c r="X184" i="31"/>
  <c r="X166" i="31"/>
  <c r="X129" i="31"/>
  <c r="X73" i="31"/>
  <c r="X169" i="31"/>
  <c r="X82" i="31"/>
  <c r="X109" i="31"/>
  <c r="X188" i="31"/>
  <c r="X148" i="31"/>
  <c r="X146" i="31"/>
  <c r="X115" i="31"/>
  <c r="X66" i="31"/>
  <c r="X123" i="31"/>
  <c r="X111" i="31"/>
  <c r="X187" i="31"/>
  <c r="X104" i="31"/>
  <c r="X17" i="31"/>
  <c r="X126" i="31"/>
  <c r="X85" i="31"/>
  <c r="X89" i="31"/>
  <c r="X100" i="31"/>
  <c r="X138" i="31"/>
  <c r="X183" i="31"/>
  <c r="X86" i="31"/>
  <c r="X142" i="31"/>
  <c r="X140" i="31"/>
  <c r="X95" i="31"/>
  <c r="X158" i="31"/>
  <c r="T193" i="31"/>
  <c r="V193" i="31" l="1"/>
  <c r="V82" i="31"/>
  <c r="X27" i="31"/>
  <c r="V78" i="31"/>
  <c r="V134" i="31"/>
  <c r="V108" i="31"/>
  <c r="X191" i="31"/>
  <c r="V76" i="31"/>
  <c r="V87" i="31"/>
  <c r="V186" i="31"/>
  <c r="H17" i="3" l="1"/>
  <c r="D17" i="8"/>
  <c r="X193" i="31"/>
  <c r="D8" i="8"/>
  <c r="D9" i="8"/>
  <c r="F36" i="4"/>
  <c r="E36" i="4" s="1"/>
  <c r="E43" i="4" s="1"/>
  <c r="D10" i="8"/>
  <c r="I34" i="5"/>
  <c r="H34" i="5" s="1"/>
  <c r="H44" i="5" s="1"/>
  <c r="D10" i="1" s="1"/>
  <c r="E10" i="1" s="1"/>
  <c r="D13" i="8"/>
  <c r="G9" i="10"/>
  <c r="F9" i="10" s="1"/>
  <c r="F28" i="10" s="1"/>
  <c r="D11" i="8"/>
  <c r="I9" i="5"/>
  <c r="H9" i="5" s="1"/>
  <c r="H28" i="5" s="1"/>
  <c r="D12" i="8"/>
  <c r="I9" i="6"/>
  <c r="H9" i="6" s="1"/>
  <c r="H20" i="6" s="1"/>
  <c r="D12" i="1" s="1"/>
  <c r="E12" i="1" s="1"/>
  <c r="E16" i="8" l="1"/>
  <c r="F10" i="3"/>
  <c r="F17" i="3" s="1"/>
  <c r="D11" i="1"/>
  <c r="E11" i="1" s="1"/>
  <c r="F10" i="4"/>
  <c r="E10" i="4" s="1"/>
  <c r="E26" i="4" s="1"/>
  <c r="D14" i="1"/>
  <c r="B11" i="45" s="1"/>
  <c r="D15" i="8"/>
  <c r="E42" i="27"/>
  <c r="D9" i="1" l="1"/>
  <c r="D8" i="1"/>
  <c r="B10" i="45" s="1"/>
  <c r="E14" i="1"/>
  <c r="E46" i="27"/>
  <c r="D42" i="27"/>
  <c r="D46" i="27" s="1"/>
  <c r="D28" i="1" s="1"/>
  <c r="E28" i="1" l="1"/>
  <c r="E9" i="1"/>
  <c r="E8" i="1"/>
  <c r="E29" i="1"/>
  <c r="B24" i="45" l="1"/>
  <c r="D7" i="8"/>
  <c r="D16" i="8"/>
  <c r="E18" i="8" l="1"/>
  <c r="D18" i="8" l="1"/>
  <c r="F12" i="18"/>
  <c r="E10" i="18"/>
  <c r="E12" i="18" s="1"/>
  <c r="D24" i="1" s="1"/>
  <c r="B20" i="45" l="1"/>
  <c r="E24" i="1"/>
  <c r="G43" i="35" s="1"/>
  <c r="F51" i="51" l="1"/>
  <c r="D13" i="1" l="1"/>
  <c r="B12" i="45" s="1"/>
  <c r="D15" i="1" l="1"/>
  <c r="D23" i="1" s="1"/>
  <c r="D30" i="1" s="1"/>
  <c r="D38" i="1" s="1"/>
  <c r="E13" i="1"/>
  <c r="E15" i="1" s="1"/>
  <c r="D109" i="50" l="1"/>
  <c r="D113" i="50" s="1"/>
  <c r="D115" i="50" s="1"/>
  <c r="E23" i="1"/>
  <c r="E30" i="1" s="1"/>
  <c r="F57" i="51" l="1"/>
  <c r="N14" i="51" l="1"/>
  <c r="J17" i="51"/>
  <c r="J57" i="51" l="1"/>
  <c r="N17" i="51"/>
  <c r="N58" i="51" l="1"/>
  <c r="M57" i="51"/>
  <c r="D32" i="1" l="1"/>
  <c r="B27" i="45" s="1"/>
  <c r="E32" i="1" l="1"/>
  <c r="E31" i="42" s="1"/>
  <c r="B34" i="45"/>
  <c r="E46" i="42" l="1"/>
  <c r="E33" i="1"/>
  <c r="E38" i="1" s="1"/>
  <c r="G24" i="35" s="1"/>
  <c r="E32" i="42" l="1"/>
  <c r="E33" i="42" s="1"/>
  <c r="E37" i="42" s="1"/>
  <c r="E40" i="42" s="1"/>
  <c r="E12" i="42" s="1"/>
  <c r="D12" i="42" s="1"/>
  <c r="E47" i="42"/>
  <c r="E48" i="42" s="1"/>
  <c r="E53" i="42" s="1"/>
  <c r="E56" i="42" s="1"/>
  <c r="E14" i="42" s="1"/>
  <c r="D14" i="42" s="1"/>
  <c r="G34" i="35"/>
  <c r="G42" i="35"/>
  <c r="G45" i="35" s="1"/>
  <c r="G51" i="35" s="1"/>
  <c r="N24" i="35"/>
  <c r="N36" i="35" s="1"/>
  <c r="G30" i="35"/>
  <c r="D18" i="42" l="1"/>
  <c r="E18" i="42"/>
  <c r="E40" i="1" s="1"/>
  <c r="B14" i="45" l="1"/>
  <c r="E41" i="1"/>
  <c r="E42" i="1" l="1"/>
  <c r="R5" i="51" s="1"/>
  <c r="B32" i="45"/>
  <c r="C14" i="45" l="1"/>
  <c r="C12" i="45"/>
  <c r="C10" i="45"/>
  <c r="C22" i="45"/>
  <c r="C20" i="45"/>
  <c r="C24" i="45"/>
  <c r="C28" i="45"/>
  <c r="C23" i="45"/>
  <c r="C15" i="45"/>
  <c r="C25" i="45"/>
  <c r="C21" i="45"/>
  <c r="B38" i="45"/>
  <c r="C11" i="45"/>
  <c r="C13" i="45"/>
  <c r="C30" i="45"/>
  <c r="C27" i="45"/>
  <c r="C16" i="45"/>
  <c r="T29" i="51"/>
  <c r="T14" i="51"/>
  <c r="V14" i="51" s="1"/>
  <c r="R15" i="51"/>
  <c r="R47" i="51"/>
  <c r="T20" i="51"/>
  <c r="R28" i="51"/>
  <c r="T48" i="51"/>
  <c r="V48" i="51" s="1"/>
  <c r="R34" i="51"/>
  <c r="T34" i="51" s="1"/>
  <c r="V34" i="51" s="1"/>
  <c r="T22" i="51"/>
  <c r="V22" i="51" s="1"/>
  <c r="T46" i="51"/>
  <c r="V46" i="51" s="1"/>
  <c r="R14" i="51"/>
  <c r="R13" i="51"/>
  <c r="R27" i="51"/>
  <c r="T50" i="51"/>
  <c r="V50" i="51" s="1"/>
  <c r="T61" i="51"/>
  <c r="V61" i="51" s="1"/>
  <c r="T13" i="51"/>
  <c r="T16" i="51"/>
  <c r="V16" i="51" s="1"/>
  <c r="R41" i="51"/>
  <c r="T41" i="51" s="1"/>
  <c r="V41" i="51" s="1"/>
  <c r="R26" i="51"/>
  <c r="T27" i="51"/>
  <c r="V27" i="51" s="1"/>
  <c r="R35" i="51"/>
  <c r="T35" i="51" s="1"/>
  <c r="V35" i="51" s="1"/>
  <c r="R50" i="51"/>
  <c r="T28" i="51"/>
  <c r="V28" i="51" s="1"/>
  <c r="T45" i="51"/>
  <c r="R48" i="51"/>
  <c r="R49" i="51"/>
  <c r="T26" i="51"/>
  <c r="T60" i="51"/>
  <c r="V60" i="51" s="1"/>
  <c r="T15" i="51"/>
  <c r="V15" i="51" s="1"/>
  <c r="T47" i="51"/>
  <c r="V47" i="51" s="1"/>
  <c r="R33" i="51"/>
  <c r="T33" i="51" s="1"/>
  <c r="R40" i="51"/>
  <c r="T40" i="51" s="1"/>
  <c r="V40" i="51" s="1"/>
  <c r="R45" i="51"/>
  <c r="T21" i="51"/>
  <c r="V21" i="51" s="1"/>
  <c r="T49" i="51"/>
  <c r="V49" i="51" s="1"/>
  <c r="R46" i="51"/>
  <c r="R21" i="51"/>
  <c r="R39" i="51"/>
  <c r="T39" i="51" s="1"/>
  <c r="R20" i="51"/>
  <c r="V33" i="51" l="1"/>
  <c r="T36" i="51"/>
  <c r="V36" i="51" s="1"/>
  <c r="T30" i="51"/>
  <c r="V30" i="51" s="1"/>
  <c r="V26" i="51"/>
  <c r="D24" i="45"/>
  <c r="D13" i="45"/>
  <c r="D14" i="45"/>
  <c r="D23" i="45"/>
  <c r="D28" i="45"/>
  <c r="D25" i="45"/>
  <c r="D12" i="45"/>
  <c r="D20" i="45"/>
  <c r="D16" i="45"/>
  <c r="D30" i="45"/>
  <c r="D22" i="45"/>
  <c r="D11" i="45"/>
  <c r="D27" i="45"/>
  <c r="D15" i="45"/>
  <c r="D21" i="45"/>
  <c r="D10" i="45"/>
  <c r="V39" i="51"/>
  <c r="T42" i="51"/>
  <c r="V42" i="51" s="1"/>
  <c r="C32" i="45"/>
  <c r="V20" i="51"/>
  <c r="T23" i="51"/>
  <c r="V45" i="51"/>
  <c r="T51" i="51"/>
  <c r="V51" i="51" s="1"/>
  <c r="V13" i="51"/>
  <c r="T17" i="51"/>
  <c r="B23" i="39"/>
  <c r="F23" i="39"/>
  <c r="D23" i="39" s="1"/>
  <c r="D29" i="39" s="1"/>
  <c r="B29" i="39"/>
  <c r="B40" i="39" s="1"/>
  <c r="G40" i="39"/>
  <c r="D32" i="45" l="1"/>
  <c r="T58" i="51"/>
  <c r="V17" i="51"/>
  <c r="F29" i="39"/>
  <c r="F40" i="39" s="1"/>
  <c r="D40" i="39" s="1"/>
  <c r="V58" i="51" l="1"/>
  <c r="T6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Teia Greenslit</author>
  </authors>
  <commentList>
    <comment ref="F49" authorId="0" shapeId="0" xr:uid="{DA95792A-58BE-490C-98A6-F73477CB426D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test year prin &amp; int</t>
        </r>
      </text>
    </comment>
    <comment ref="G49" authorId="0" shapeId="0" xr:uid="{67B4705E-680D-4342-95A0-BF4548023676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rate year prin &amp; int</t>
        </r>
      </text>
    </comment>
  </commentList>
</comments>
</file>

<file path=xl/sharedStrings.xml><?xml version="1.0" encoding="utf-8"?>
<sst xmlns="http://schemas.openxmlformats.org/spreadsheetml/2006/main" count="2148" uniqueCount="1510">
  <si>
    <t>Value</t>
  </si>
  <si>
    <t>SUBTOTAL OTHER CAP CREDITS</t>
  </si>
  <si>
    <t>NET MARGINS</t>
  </si>
  <si>
    <t>SUBTOTAL CWIP</t>
  </si>
  <si>
    <t>PAT CAP FROM CFC</t>
  </si>
  <si>
    <t>SUBTOTAL 135</t>
  </si>
  <si>
    <t>$</t>
  </si>
  <si>
    <t>DEPRECIATION:</t>
  </si>
  <si>
    <t>Monthly</t>
  </si>
  <si>
    <t>Annual</t>
  </si>
  <si>
    <t>GROSS RECEIPTS &amp; GROSS REVENUE TAX</t>
  </si>
  <si>
    <t>(3)</t>
  </si>
  <si>
    <t>(4)</t>
  </si>
  <si>
    <t>TOTAL A&amp;G ADJUSTMENTS</t>
  </si>
  <si>
    <t>ADJ Test Year</t>
  </si>
  <si>
    <t>SUBTOTAL ACCUMULATED DEPRECIATION</t>
  </si>
  <si>
    <t xml:space="preserve"> </t>
  </si>
  <si>
    <t>SUBTOTAL PAT CAP HELD</t>
  </si>
  <si>
    <t>INVESTMENT - CERT CFC</t>
  </si>
  <si>
    <t>SUBTOTAL INVESTMENTS</t>
  </si>
  <si>
    <t>SUBTOTAL OTHER INVESTEMENTS</t>
  </si>
  <si>
    <t>SUBTOTAL 131.1</t>
  </si>
  <si>
    <t>WORKING FUNDS</t>
  </si>
  <si>
    <t>CUSTOMER A/R - MISCELLANEOUS</t>
  </si>
  <si>
    <t>Total Assets</t>
  </si>
  <si>
    <t>Total Equity</t>
  </si>
  <si>
    <t>Equity %</t>
  </si>
  <si>
    <t>New Debt Needed to Fund Capital</t>
  </si>
  <si>
    <t>Patronage or Capital Credit Retirements Assumed</t>
  </si>
  <si>
    <t>CLRG-</t>
  </si>
  <si>
    <t xml:space="preserve">MISC DIST EXPENSE - </t>
  </si>
  <si>
    <t>PREL SURVEY-Northern Enterprises</t>
  </si>
  <si>
    <t>PREL. SURVEY-Maxwell Farm Gen Project</t>
  </si>
  <si>
    <t>PREL. SURVEY-Hinesburg Energy Study</t>
  </si>
  <si>
    <t>PREL. SURVEY-Boucher BioPower LLC</t>
  </si>
  <si>
    <t>Work Area for Property Taxes:</t>
  </si>
  <si>
    <t>TOTAL PROPERTY TAX EXPENSE</t>
  </si>
  <si>
    <t>Schedule 6 Property Tax Work Area</t>
  </si>
  <si>
    <t>Schedule 6 Property Tax Work Area (Below)</t>
  </si>
  <si>
    <t>Projected</t>
  </si>
  <si>
    <t>Or Additions</t>
  </si>
  <si>
    <t>Amortization Expense</t>
  </si>
  <si>
    <t>G/L Acct #</t>
  </si>
  <si>
    <t>Acct # Description</t>
  </si>
  <si>
    <t>STORES EXPENSE - UNDISTRIBUTED</t>
  </si>
  <si>
    <t>SUBTOTAL MATERIALS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</si>
  <si>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</si>
  <si>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</si>
  <si>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</si>
  <si>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</si>
  <si>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</si>
  <si>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</si>
  <si>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</si>
  <si>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TOTAL A&amp;G PRO FORMA ADJUSTMENTS</t>
  </si>
  <si>
    <t>SUBTOTAL 165</t>
  </si>
  <si>
    <t>UNAMORTIZED DEBT SERVICE COSTS</t>
  </si>
  <si>
    <t>SUBTOTAL 186</t>
  </si>
  <si>
    <t>MEMBERSHIPS ISSUED</t>
  </si>
  <si>
    <t>MEMBERSHIPS SUBSCRIBED</t>
  </si>
  <si>
    <t>SUBTOTAL MEMBERSHIPS</t>
  </si>
  <si>
    <t>PATRONS CAPITAL CREDITS</t>
  </si>
  <si>
    <t>PAT CAPITAL ASSIGNABLE</t>
  </si>
  <si>
    <t>SUBTOTAL PATRONAGE CAPITAL</t>
  </si>
  <si>
    <t>DONATED CAPITAL</t>
  </si>
  <si>
    <t>SUBTOTAL DONATED CAPITAL</t>
  </si>
  <si>
    <t>OPERATING MARGINS - CURRENT YEAR</t>
  </si>
  <si>
    <t>Adjusted Test Yr</t>
  </si>
  <si>
    <t>NONOPERATING MARGINS</t>
  </si>
  <si>
    <t>SUTOTAL MARGINS</t>
  </si>
  <si>
    <t>SUBTOTAL LT DEBT</t>
  </si>
  <si>
    <t>SUBTOTAL ACCOUNTS PAYABLE</t>
  </si>
  <si>
    <t>CUSTOMER DEPOSITS</t>
  </si>
  <si>
    <t>SUBTOTAL CUSTOMER DEPOSITS</t>
  </si>
  <si>
    <t>Proforma Change</t>
  </si>
  <si>
    <t>Depreciation Expense</t>
  </si>
  <si>
    <t>Line</t>
  </si>
  <si>
    <t>Schedule S6-A</t>
  </si>
  <si>
    <t>Assets</t>
  </si>
  <si>
    <t>SUBTOTAL 242</t>
  </si>
  <si>
    <t>A.)  Asset Growth Rate</t>
  </si>
  <si>
    <t>+</t>
  </si>
  <si>
    <t>B.)  Patronage Retirements %</t>
  </si>
  <si>
    <t>SUBTOTAL DEFERRED CREDITS</t>
  </si>
  <si>
    <t>D.)  Tier Calculation C/B</t>
  </si>
  <si>
    <t>Existing</t>
  </si>
  <si>
    <t>Rates</t>
  </si>
  <si>
    <t>Proposed</t>
  </si>
  <si>
    <t>548.00 Generation</t>
  </si>
  <si>
    <t>SCHEDULE 2</t>
  </si>
  <si>
    <t>SCHEDULE 3</t>
  </si>
  <si>
    <t>SCHEDULE 4</t>
  </si>
  <si>
    <t>INCREASE (DECREASE) IN COST</t>
  </si>
  <si>
    <t>PROFORMA  LABOR COST</t>
  </si>
  <si>
    <t>TOTAL INCREASE (DECREASE) IN DISTRIBUTION MAINTENANCE</t>
  </si>
  <si>
    <t>SCHEDULE 5</t>
  </si>
  <si>
    <t>SCHEDULE 6</t>
  </si>
  <si>
    <t>%</t>
  </si>
  <si>
    <t>ADMINISTRATION &amp; GENERAL</t>
  </si>
  <si>
    <t>SCHEDULE 8</t>
  </si>
  <si>
    <t>SCHEDULE 10</t>
  </si>
  <si>
    <t>SCHEDULE 11</t>
  </si>
  <si>
    <t>SCHEDULE 12</t>
  </si>
  <si>
    <t>OTHER INCOME</t>
  </si>
  <si>
    <t>EAP</t>
  </si>
  <si>
    <t>SUBTOTAL RET W/P</t>
  </si>
  <si>
    <t>PAT CAP - NISC</t>
  </si>
  <si>
    <t>CLRG-AMR MTR INSTALLATION</t>
  </si>
  <si>
    <t>CLRG-AMR SUBSTATION INSTALLATION</t>
  </si>
  <si>
    <t xml:space="preserve">TOTAL OTHER TAXES- </t>
  </si>
  <si>
    <t>Revenue Clearing -end of year</t>
  </si>
  <si>
    <t>OTHER INC DED - LOBBYING</t>
  </si>
  <si>
    <t xml:space="preserve">SCHEDULE 1 </t>
  </si>
  <si>
    <t>TOTAL INCREASE (DECREASE) IN CUSTOMER ACCOUNTS EXP.</t>
  </si>
  <si>
    <t>Total</t>
  </si>
  <si>
    <t>Test Year</t>
  </si>
  <si>
    <t>Employee Benefits</t>
  </si>
  <si>
    <t>SCHEDULE 6-C</t>
  </si>
  <si>
    <t>SCHEDULE 7</t>
  </si>
  <si>
    <t>Clearing Accounts</t>
  </si>
  <si>
    <t>Subtotal Clearing Accounts</t>
  </si>
  <si>
    <t>Operating Costs</t>
  </si>
  <si>
    <t>Subtotal Operating Costs</t>
  </si>
  <si>
    <t>Total Insurance</t>
  </si>
  <si>
    <t>Schedule S7</t>
  </si>
  <si>
    <t>RISK INSURANCE</t>
  </si>
  <si>
    <t>REVENUE LESS EXPENSES - TEST YR VS. ADJ TEST YR</t>
  </si>
  <si>
    <t>TOTAL REQUIRED ADDITIONAL REVENUE</t>
  </si>
  <si>
    <t>REF</t>
  </si>
  <si>
    <t>LINE</t>
  </si>
  <si>
    <t>DESCRIPTION</t>
  </si>
  <si>
    <t>SCHED</t>
  </si>
  <si>
    <t>PURCHASED POWER</t>
  </si>
  <si>
    <t>TRANSMISSION</t>
  </si>
  <si>
    <t>Net Labor</t>
  </si>
  <si>
    <t>(Rate Year)</t>
  </si>
  <si>
    <t xml:space="preserve">G/L </t>
  </si>
  <si>
    <t>Payroll By</t>
  </si>
  <si>
    <t>Percentage By</t>
  </si>
  <si>
    <t>Cost With</t>
  </si>
  <si>
    <t>ACCOUNT DESCRIPTION</t>
  </si>
  <si>
    <t>Account</t>
  </si>
  <si>
    <t>Type of Exp</t>
  </si>
  <si>
    <t>Payroll OVHDS</t>
  </si>
  <si>
    <t>Allocations</t>
  </si>
  <si>
    <t>Capital Accounts</t>
  </si>
  <si>
    <t>Total Purchase Power Pro Forma Adjustments</t>
  </si>
  <si>
    <t>REQ'D ADDITIONAL REVENUE</t>
  </si>
  <si>
    <t>ADMINISTRATIVE &amp; GENERAL</t>
  </si>
  <si>
    <t>Capital</t>
  </si>
  <si>
    <t>Total Capital Accounts</t>
  </si>
  <si>
    <t>Allocated/Spread Accounts  (Use Capital &amp; Expense %)</t>
  </si>
  <si>
    <t>BILLABLE-MISSISSQUOI BRIDGE PROJECT</t>
  </si>
  <si>
    <t>NON-BILLABLE-MISS. BRIDGE PROJECT</t>
  </si>
  <si>
    <t>CLEARING - TRANSPORTATION</t>
  </si>
  <si>
    <t>EMPLOYEE BENEFIT CLEARING</t>
  </si>
  <si>
    <t>DEF DR-AMR OPERATING LEASE</t>
  </si>
  <si>
    <t>DEF DR-CUSTOMER SERVICE SYSTEM</t>
  </si>
  <si>
    <t>DEF DR-VED FINANCIAL SYSTEMS CONVERSION</t>
  </si>
  <si>
    <t>DEF DR-CITIZENS BID</t>
  </si>
  <si>
    <t>DEF DR-ROCHESTER ELECTRIC ACQUISITION</t>
  </si>
  <si>
    <t>DEF DR-ETHAN ALLEN CO-GENERATION</t>
  </si>
  <si>
    <t>Total Allocated/Spread Accounts</t>
  </si>
  <si>
    <t>Payroll Overheads (Used/See Below)</t>
  </si>
  <si>
    <t>CZN PAYROLL OPENING BALANCE</t>
  </si>
  <si>
    <t>ACC LIAB EMPLOYEE BUYOUT / SEVERANCE</t>
  </si>
  <si>
    <t>ACC EMPLOYEES VACATION</t>
  </si>
  <si>
    <t>ACC EMPLOYEES SICK LEAVE</t>
  </si>
  <si>
    <t>ACC EMPLOYEES HOLIDAY</t>
  </si>
  <si>
    <t>ACCRUED INSURANCE BENEFITS</t>
  </si>
  <si>
    <t>Total Payroll Overheads</t>
  </si>
  <si>
    <t>Expense Categories</t>
  </si>
  <si>
    <t>COSTS-MDSE-WATER HEATERS</t>
  </si>
  <si>
    <t>COSTS-MDSE-JOBBING</t>
  </si>
  <si>
    <t>COSTS-JACKSONVILLE ELECTRIC</t>
  </si>
  <si>
    <t>COSTS-MDSE-VELCO</t>
  </si>
  <si>
    <t>EXPENSES - IPS</t>
  </si>
  <si>
    <t>EXPENSES-SCHOOL ST BLDG LEASE</t>
  </si>
  <si>
    <t>OTHER INC DED - DONATIONS (BELVIDERE)</t>
  </si>
  <si>
    <t>OTHER INC DED - DONATIONS (JOHNSON)</t>
  </si>
  <si>
    <t>Other =</t>
  </si>
  <si>
    <t>EX. ITEM - TELECOM</t>
  </si>
  <si>
    <t>VELCO &amp; TRANSCO Dividends</t>
  </si>
  <si>
    <t>CFC Patronage Capital - Equity</t>
  </si>
  <si>
    <t>NISC Patronage Capital - Equity</t>
  </si>
  <si>
    <t>Schedule 8</t>
  </si>
  <si>
    <t>Schedule 2</t>
  </si>
  <si>
    <t>HQ Disallowance Expense</t>
  </si>
  <si>
    <t>Schedule 9</t>
  </si>
  <si>
    <t>Interest Expense</t>
  </si>
  <si>
    <t>KNOWN &amp; MEASURABLE CHANGES</t>
  </si>
  <si>
    <t>VARIOUS</t>
  </si>
  <si>
    <t>MAJOR STORM DAMAGE EXPENSE: (EXTERNAL COSTS)</t>
  </si>
  <si>
    <t>SCHEDULE 9</t>
  </si>
  <si>
    <t>INTEREST ON SHORT TERM DEBT</t>
  </si>
  <si>
    <t>TOTAL INCREASE (DECREASE) IN DISTRIBUTION OPERATION</t>
  </si>
  <si>
    <t xml:space="preserve">**(1)**  </t>
  </si>
  <si>
    <t>AVERAGE</t>
  </si>
  <si>
    <t>ADMIN &amp; GENERAL</t>
  </si>
  <si>
    <t>PAYROLL DISTRIBUTION DETAILS</t>
  </si>
  <si>
    <t>SCHEDULE 6-B</t>
  </si>
  <si>
    <t>INTEREST ON LT DEBT</t>
  </si>
  <si>
    <t>INTEREST &amp; DIVIDENDS</t>
  </si>
  <si>
    <t>TOTAL INTEREST &amp; DIVIDENDS</t>
  </si>
  <si>
    <t>TOTAL CAPITAL CREDITS</t>
  </si>
  <si>
    <t>PAYROLL DISTRIBUTION</t>
  </si>
  <si>
    <t>TOTAL PAYROLL &amp; OVERHEADS EXPENSED</t>
  </si>
  <si>
    <t>TOTAL CAPITALIZED PAYROLL</t>
  </si>
  <si>
    <t>TOTAL ALL PAYROLL &amp; PAYROLL RELATED OH</t>
  </si>
  <si>
    <t>PCB, TEST, STORAGE &amp; DISPOSAL</t>
  </si>
  <si>
    <t>Add BPRA</t>
  </si>
  <si>
    <t>(A + B)</t>
  </si>
  <si>
    <t>(C / B)</t>
  </si>
  <si>
    <t>Purchased Power</t>
  </si>
  <si>
    <t>SCHEDULE 6A (Summary of S6-B)</t>
  </si>
  <si>
    <t>Liabilities</t>
  </si>
  <si>
    <t>Account Name &amp; Description</t>
  </si>
  <si>
    <t>Adjustment Description</t>
  </si>
  <si>
    <t>Expense</t>
  </si>
  <si>
    <t xml:space="preserve">TOTAL </t>
  </si>
  <si>
    <t>Payroll Related Overheads</t>
  </si>
  <si>
    <t>Employer Taxes (SS, SUTA &amp; FUTA)</t>
  </si>
  <si>
    <t>Total Payroll Related Overheads</t>
  </si>
  <si>
    <t>Total Payroll &amp; Payroll Related Overheads</t>
  </si>
  <si>
    <t>Net Payroll &amp; Payroll Related Overheads</t>
  </si>
  <si>
    <t>DISTRIBUTION OPERATION</t>
  </si>
  <si>
    <t>DISTRIBUTION MAINTENANCE</t>
  </si>
  <si>
    <t>CUSTOMER ACCOUNTS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</si>
  <si>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</si>
  <si>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</si>
  <si>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</si>
  <si>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</si>
  <si>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</si>
  <si>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</si>
  <si>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</si>
  <si>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</si>
  <si>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</si>
  <si>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ACCT</t>
  </si>
  <si>
    <t>RESIDENTIAL SALES - SEAS.</t>
  </si>
  <si>
    <t>COMM. &amp; IND. SALES - SMALL</t>
  </si>
  <si>
    <t>COMM. &amp; IND. SALES - LARGE</t>
  </si>
  <si>
    <t>MISC. SERVICES REVENUES</t>
  </si>
  <si>
    <t>RENT FROM ELECTRIC PROPERTY</t>
  </si>
  <si>
    <t>OTHER ELECTRIC REVENUES</t>
  </si>
  <si>
    <t>TOTAL REVENUES</t>
  </si>
  <si>
    <t>COST PURCHASED POWER</t>
  </si>
  <si>
    <t>TOTAL PURCHASED POWER</t>
  </si>
  <si>
    <t>TRANSMISSION EXPENSE</t>
  </si>
  <si>
    <t>TOTAL TRANSMISSION EXPENSE</t>
  </si>
  <si>
    <t>DISTRIBUTION-OPERATION</t>
  </si>
  <si>
    <t>Detailed Schedule of Purchased Power (FERC Acct 555)</t>
  </si>
  <si>
    <t>TOTAL DISTRIBUTION OPERATION</t>
  </si>
  <si>
    <t>DISTRIBUTION-MAINT</t>
  </si>
  <si>
    <t>GROSS RECEIPTS TAX</t>
  </si>
  <si>
    <t>INTEREST &amp; DIVIDEND INCOME (419's)</t>
  </si>
  <si>
    <t>REVENUE LESS EXPENSES (MARGIN)</t>
  </si>
  <si>
    <t>ADDITIONAL RETURN REQUIRED</t>
  </si>
  <si>
    <t>TOTAL DISTRIBUTION MAINTENANCE</t>
  </si>
  <si>
    <t>UNCOLLECTABLE ACCOUNTS</t>
  </si>
  <si>
    <t>ADM &amp; GENERAL EXPENSES</t>
  </si>
  <si>
    <t>TOTAL ADMIN &amp; GENERAL</t>
  </si>
  <si>
    <t>TOTAL OPER &amp; MAINT EXP</t>
  </si>
  <si>
    <t>DEPR &amp; AMORT EXPENSE</t>
  </si>
  <si>
    <t>Overtime</t>
  </si>
  <si>
    <t>Health Benefits (net)</t>
  </si>
  <si>
    <t>Pension</t>
  </si>
  <si>
    <t>Total Benefits</t>
  </si>
  <si>
    <t>Workers Comp</t>
  </si>
  <si>
    <t xml:space="preserve">Training </t>
  </si>
  <si>
    <t>Recognition</t>
  </si>
  <si>
    <t xml:space="preserve">Sub-Total </t>
  </si>
  <si>
    <t>Total Direct Compensation</t>
  </si>
  <si>
    <t>General Liability (25%)</t>
  </si>
  <si>
    <t>Total Other Payroll Related Costs</t>
  </si>
  <si>
    <t>Total Payroll Costs</t>
  </si>
  <si>
    <t>Other Costs:</t>
  </si>
  <si>
    <t>Total Other Costs</t>
  </si>
  <si>
    <t>General Liability (25%) see schedule S6C</t>
  </si>
  <si>
    <t>Directors &amp; Officers (100%)</t>
  </si>
  <si>
    <t>Insurance that does not follow payroll:</t>
  </si>
  <si>
    <t>Insurance that follows payroll:</t>
  </si>
  <si>
    <t>Percentage</t>
  </si>
  <si>
    <t>Total Insurance *</t>
  </si>
  <si>
    <t xml:space="preserve"> * Insurance Spread</t>
  </si>
  <si>
    <t>TOTAL DEPRECIATION &amp; AMORTIZATION</t>
  </si>
  <si>
    <t>TAX EXPENSE OTHER</t>
  </si>
  <si>
    <t>TAXES - GROSS REVENUE</t>
  </si>
  <si>
    <t>INTEREST ON LTD</t>
  </si>
  <si>
    <t>TOTAL LONG TERM INTEREST</t>
  </si>
  <si>
    <t>OTHER INTEREST EXPENSE</t>
  </si>
  <si>
    <t>TOTAL OTHER INTEREST</t>
  </si>
  <si>
    <t>OTHER INC DED - DONATIONS</t>
  </si>
  <si>
    <t>OTHER INC DED - ABAN WO'S</t>
  </si>
  <si>
    <t>TOTAL OTHER DEDUCTIONS</t>
  </si>
  <si>
    <t>Schedule 8-A</t>
  </si>
  <si>
    <t>TOTAL COST OF ELECTRIC SERVICE</t>
  </si>
  <si>
    <t>PAT CAP &amp; OPER MARGINS</t>
  </si>
  <si>
    <t>REVENUE REQUIREMENTS SUMMARY</t>
  </si>
  <si>
    <t>Source</t>
  </si>
  <si>
    <t xml:space="preserve"> Pro Forma Adjustments</t>
  </si>
  <si>
    <t>555.00 Purchased Power</t>
  </si>
  <si>
    <t>447.00 Sales for Resale</t>
  </si>
  <si>
    <t>Net Purchased Power</t>
  </si>
  <si>
    <t>Other - Misc</t>
  </si>
  <si>
    <t>Other Capital Credits</t>
  </si>
  <si>
    <t>CFC Return of Patronage - Cash</t>
  </si>
  <si>
    <t>NISC Return of Patronage - Cash</t>
  </si>
  <si>
    <t>Subtotal</t>
  </si>
  <si>
    <t>ACCT #</t>
  </si>
  <si>
    <t>Account Description</t>
  </si>
  <si>
    <t>Balance</t>
  </si>
  <si>
    <t>Amortization</t>
  </si>
  <si>
    <t>INTEREST ON LONG TERM DEBT</t>
  </si>
  <si>
    <t>Employees</t>
  </si>
  <si>
    <t>Compensation</t>
  </si>
  <si>
    <t>IT Professional</t>
  </si>
  <si>
    <t>Ground Worker C</t>
  </si>
  <si>
    <t>Project Manager</t>
  </si>
  <si>
    <t>Operations Coordinator</t>
  </si>
  <si>
    <t>Project Engineer</t>
  </si>
  <si>
    <t>System Protection Engineer</t>
  </si>
  <si>
    <t>Total Operations (Excluding IT)</t>
  </si>
  <si>
    <t>Total All BPRA Positions</t>
  </si>
  <si>
    <t>Cust Svc</t>
  </si>
  <si>
    <t>Title/Type of Employee (BPRA)</t>
  </si>
  <si>
    <t>OTHER JOBBING; CONTRACT WORK</t>
  </si>
  <si>
    <t>Amortization Schedule</t>
  </si>
  <si>
    <t>SCHEDULE 13</t>
  </si>
  <si>
    <t>Assumptions or Facts:</t>
  </si>
  <si>
    <t>Estimated Line Extension Contributions</t>
  </si>
  <si>
    <t>Capital Spending Excluding Line Extension</t>
  </si>
  <si>
    <t>Earnings Requirement</t>
  </si>
  <si>
    <t>Return On Equity</t>
  </si>
  <si>
    <t>Equity Management</t>
  </si>
  <si>
    <t>Description</t>
  </si>
  <si>
    <t>Change</t>
  </si>
  <si>
    <t>Required TIER Target</t>
  </si>
  <si>
    <t>Various</t>
  </si>
  <si>
    <t xml:space="preserve"> ATY $ from HR</t>
  </si>
  <si>
    <t>Oper</t>
  </si>
  <si>
    <t>Maint</t>
  </si>
  <si>
    <t>A&amp;G</t>
  </si>
  <si>
    <t>TOTAL INTEREST ON LONG TERM DEBT</t>
  </si>
  <si>
    <t>Pro Forma</t>
  </si>
  <si>
    <t>Adjustments</t>
  </si>
  <si>
    <t>NONOPER-INTEREST</t>
  </si>
  <si>
    <t>Gross Receipts Tax</t>
  </si>
  <si>
    <t>TOTAL INTEREST INCOME</t>
  </si>
  <si>
    <t>NONOPER-OTHER</t>
  </si>
  <si>
    <t>TOTAL OTHER INCOME</t>
  </si>
  <si>
    <t>NONOPER-CAP CRS-CFC</t>
  </si>
  <si>
    <t>CHART OF ACCOUNTS TRIAL BALANCE</t>
  </si>
  <si>
    <t>SCHEDULE 14</t>
  </si>
  <si>
    <t>SUBTOTAL NONOPERATING INCOME</t>
  </si>
  <si>
    <t>EXTRAORD. ITEM-ACCRUALS</t>
  </si>
  <si>
    <t>SUBTOTAL EXTRAORDINARY ITEMS</t>
  </si>
  <si>
    <t>Component #1 (Depreciation Pro Forma Adjustment Details)</t>
  </si>
  <si>
    <t>B.)  Interest Expense</t>
  </si>
  <si>
    <t>C.)  Net Income Excluding Interest Expense</t>
  </si>
  <si>
    <t>A.)  Earnings + Line Extension Contributions</t>
  </si>
  <si>
    <t>Total Transmission Pro Forma Adjustments</t>
  </si>
  <si>
    <t>SCHEDULE 8-A</t>
  </si>
  <si>
    <t>AMORTIZATION:</t>
  </si>
  <si>
    <t>RESIDENTIAL SALES - FARM &amp; HOME</t>
  </si>
  <si>
    <t>RENT FROM ELEC PROP CCEC LEASE</t>
  </si>
  <si>
    <t>REVENUE FROM SALE OF RECS</t>
  </si>
  <si>
    <t>OTHER PURCHASED POWER</t>
  </si>
  <si>
    <t>OTHER PURCH POWER - POWER PLAN</t>
  </si>
  <si>
    <t>TRANS-OPER SUPER &amp; ENG</t>
  </si>
  <si>
    <t>TRANS-OPER S O &amp; M INSPECT</t>
  </si>
  <si>
    <t>TRANS-MAINT O/H LINES COV</t>
  </si>
  <si>
    <t>TRANS-MAINT O/H LINES ROW</t>
  </si>
  <si>
    <t>TRANS-MAINT COV SUBST INSP</t>
  </si>
  <si>
    <t>DIST-OPER PLANNING</t>
  </si>
  <si>
    <t>DIST-STATION EXP</t>
  </si>
  <si>
    <t>DIST-O/H LINE EXP</t>
  </si>
  <si>
    <t>DIST-OPER MISC EXP</t>
  </si>
  <si>
    <t>DIST-OPER S O &amp; M EXP</t>
  </si>
  <si>
    <t>DIST-OPER RECLOSER MAINT PROG</t>
  </si>
  <si>
    <t>DIST-FIELD AUDIT TELE CO &amp; CABLE TV</t>
  </si>
  <si>
    <t>DIST-U/G LINE EXP</t>
  </si>
  <si>
    <t>DIST-OPER U/G LINE EXP</t>
  </si>
  <si>
    <t>DIST-METER EXP(METER CHANGEOUT)</t>
  </si>
  <si>
    <t>DIST-CUST INSTALL EXP</t>
  </si>
  <si>
    <t>DIST-MISC</t>
  </si>
  <si>
    <t>DIST-MISC EXP TEL ATTACH ONLY</t>
  </si>
  <si>
    <t>DIST-MISC MAPPING SYST MAINT</t>
  </si>
  <si>
    <t>DIST-OPER SHOP TIME DUE TO WEATHER</t>
  </si>
  <si>
    <t>DIST-OPER CREW MTGS</t>
  </si>
  <si>
    <t>DIST-MAINT SAFETY MEETINGS</t>
  </si>
  <si>
    <t>DIST-LEASES</t>
  </si>
  <si>
    <t>DIST-MAINT O/H</t>
  </si>
  <si>
    <t>DIST-MAINT PLAN</t>
  </si>
  <si>
    <t>DIST-MAINT SUPER &amp; ENG OUTAGE EXP</t>
  </si>
  <si>
    <t>DIST-MAINT PLAN REST TIME</t>
  </si>
  <si>
    <t>DIST-MAINT OF STATION EQUIPMENT</t>
  </si>
  <si>
    <t>DIST-MAINT OVERHEAD</t>
  </si>
  <si>
    <t>DIST-MAINT O/H LINES</t>
  </si>
  <si>
    <t>DIST-MAINT OF O/H LINES MAJOR OUTAGE</t>
  </si>
  <si>
    <t>DIST-MAINT OF O/H LINES ROW</t>
  </si>
  <si>
    <t>DIST-MAINT STRAY VOLTAGE</t>
  </si>
  <si>
    <t>DIST-MAINT OF O/H LINES REGULAR OUTAGE</t>
  </si>
  <si>
    <t>DIST-MAINT OUTAGES CAUSED BY CUTOUTS</t>
  </si>
  <si>
    <t>DIST-MAINT WEC LABOR FOR ROW</t>
  </si>
  <si>
    <t>DIST-MAINT REST TIME</t>
  </si>
  <si>
    <t>DIST-MAINT TELE CO SHARE OF ROW</t>
  </si>
  <si>
    <t>DIST-MAINT OF U/G LINE</t>
  </si>
  <si>
    <t>DIST-MAINT OF LINE X-FORMERS</t>
  </si>
  <si>
    <t>DIST-MAINT DISP OF HAZ WASTE</t>
  </si>
  <si>
    <t>DIST-MAINT OF SECURITY LIGHTS 400W</t>
  </si>
  <si>
    <t>CUST ACC EXP-SUPER PLANNING &amp; EVA</t>
  </si>
  <si>
    <t>CUST ACC EXP-MTRS READ BY EMP</t>
  </si>
  <si>
    <t>CUST ACC EXP-MO MTR READ BY MTR</t>
  </si>
  <si>
    <t>CUST ACC EXP-OH, SUPPLIES ETC</t>
  </si>
  <si>
    <t>CUST ACC EXP-MAIL ROOM SVC NISC</t>
  </si>
  <si>
    <t>CUST ACC EXP-PYMT PROCESSING</t>
  </si>
  <si>
    <t>CUST ACC EXP-COLLECTIONS ALL</t>
  </si>
  <si>
    <t>CUST ACC EXP-COLL OF UNCOLL ACCT</t>
  </si>
  <si>
    <t>CUST ACC EXP-MAINT OF CUST RECS</t>
  </si>
  <si>
    <t>CUST ACC EXP-CONN/RECON</t>
  </si>
  <si>
    <t>CUST ACC EXP-BILL CALC</t>
  </si>
  <si>
    <t>CUST ACC EXP-CASH OVER/SHORT</t>
  </si>
  <si>
    <t>CUST ACC EXP-GEN BILL INQ</t>
  </si>
  <si>
    <t>CUST ACC EXP-NOTE DROPS</t>
  </si>
  <si>
    <t>CUST ACC EXP-HI/LO METER USAGE</t>
  </si>
  <si>
    <t>CUST ACC EXP-PAYROLL</t>
  </si>
  <si>
    <t>CUST ACC EXP-COLL EXP COURT FEE&amp;LEGAL</t>
  </si>
  <si>
    <t>CUST ACC EXP-COLL EXP TRAVEL ALLOC</t>
  </si>
  <si>
    <t xml:space="preserve">CUST ACC EXP-MISC </t>
  </si>
  <si>
    <t>EMS-GEN LABOR OVERHEAD</t>
  </si>
  <si>
    <t>CONSUMER ACCTS EXPENSE</t>
  </si>
  <si>
    <t>TOTAL CONSUMER ACCOUNTS</t>
  </si>
  <si>
    <t>CUSTOMER SERVICE</t>
  </si>
  <si>
    <t>NEW CONSTRUCTION</t>
  </si>
  <si>
    <t>PLEDGE IMPLEMENTATION &amp; MAINT</t>
  </si>
  <si>
    <t>EMS INDIR ALLOC OF POSTAGE-PHONE</t>
  </si>
  <si>
    <t>EMS MEMBER EDUC DIRECT LABOR</t>
  </si>
  <si>
    <t>INFOR &amp; INSTRUC EXP COOP CURR</t>
  </si>
  <si>
    <t>TOTAL CUSTOMER SERVICE</t>
  </si>
  <si>
    <t>ADMIN &amp; GEN-OVERHEADS</t>
  </si>
  <si>
    <t>ADMIN &amp; GEN-UNION NEGOTIATIONS</t>
  </si>
  <si>
    <t>ADMIN &amp; GEN-PLANT ACCTG LABOR</t>
  </si>
  <si>
    <t>ADMIN &amp; GEN-P/R PREP LABOR</t>
  </si>
  <si>
    <t>ADMIN &amp; GEN-MIS LABOR</t>
  </si>
  <si>
    <t>ADMIN &amp; GEN-WEB SITE</t>
  </si>
  <si>
    <t>ADMIN &amp; GEN-HUMAN RESOURCE</t>
  </si>
  <si>
    <t>ADMIN &amp; GEN-STAFF MTGS</t>
  </si>
  <si>
    <t>ADMIN &amp; GEN-CAPITAL CREDIT</t>
  </si>
  <si>
    <t>ADMIN &amp; GEN-CAP CRED DONAT</t>
  </si>
  <si>
    <t>ADMIN &amp; GEN-ABAND CAP CRED</t>
  </si>
  <si>
    <t>OUT SERV-LEGAL EXP</t>
  </si>
  <si>
    <t>OUT SERV-OTHER</t>
  </si>
  <si>
    <t>INJURIES &amp; LIABILITY INSURANCE</t>
  </si>
  <si>
    <t>REG COMM EXP</t>
  </si>
  <si>
    <t>REG EXP-OTHER DOCKETS</t>
  </si>
  <si>
    <t>MISC GEN EXP-AMORT ANN MTG EXP</t>
  </si>
  <si>
    <t>MISC GEN EXP AREA MTGS</t>
  </si>
  <si>
    <t>MISC GEN EXP-OTH OUTSIDE MTG</t>
  </si>
  <si>
    <t>PROPERTY TAX APPRAISALS-SYS WIDE</t>
  </si>
  <si>
    <t>MAINT GEN PL-OFFICE BUILDING</t>
  </si>
  <si>
    <t>MAINT GEN PL-NEW GARAGE</t>
  </si>
  <si>
    <t>MAINT GEN PL-OLD GARAGE</t>
  </si>
  <si>
    <t>MAINT GEN PL-COMM EQUIP</t>
  </si>
  <si>
    <t>DEPRECIATION EXP - COVENTRY</t>
  </si>
  <si>
    <t>DEPRECIATION EXP - HYDRO PLANT</t>
  </si>
  <si>
    <t>DEPRECIATION EXP - TRANSMISSION</t>
  </si>
  <si>
    <t>TAXES - FUEL GROSS RECEIPTS</t>
  </si>
  <si>
    <t>INTEREST - CFC CONSTR LOANS</t>
  </si>
  <si>
    <t>INTEREST - FFB</t>
  </si>
  <si>
    <t>INTEREST - COV</t>
  </si>
  <si>
    <t>INTEREST - CREBS LOAN</t>
  </si>
  <si>
    <t>OTHER INTEREST EXPENSE-CFC SHORT TERM</t>
  </si>
  <si>
    <t>OTHER INTEREST EXPENSE-CUST DEP</t>
  </si>
  <si>
    <t>AMORT DEBT EXP - CREBS LOAN</t>
  </si>
  <si>
    <t xml:space="preserve">POWER PRODUCTION </t>
  </si>
  <si>
    <t>TOTAL POWER PRODUCTION</t>
  </si>
  <si>
    <t>HYDRO OPER-ELEC EXP</t>
  </si>
  <si>
    <t>HYDRO OPER-MISC EXP</t>
  </si>
  <si>
    <t>HYDRO OPER-RENTS, LEASES</t>
  </si>
  <si>
    <t>HYDRO MAINT - SUPER &amp; ENG</t>
  </si>
  <si>
    <t>HYDRO MAINT - STRUCT BUILDINGS</t>
  </si>
  <si>
    <t>HYDRO MAINT - RESVRS, DAMS, WTRWY</t>
  </si>
  <si>
    <t>HYDRO MAINT - MAINT OF ELEC PLAN</t>
  </si>
  <si>
    <t>HYDRO MAINT - MAINT OF HYDRO PLA</t>
  </si>
  <si>
    <t>INTEREST &amp; DIV INCOME - VELCO</t>
  </si>
  <si>
    <t>INTEREST &amp; DIV INCOME - MISC</t>
  </si>
  <si>
    <t>REVENUES - MERCH JOBBING &amp; SERV</t>
  </si>
  <si>
    <t>REVENUE - POWER QUALITY SALES</t>
  </si>
  <si>
    <t>MAT &amp; LAB POWER QUALITY SALES</t>
  </si>
  <si>
    <t>LABOR TO INSTALL-PWR QUAL SALES</t>
  </si>
  <si>
    <t>REVENUE FROM ISP SALES</t>
  </si>
  <si>
    <t>COST &amp; EXP OF ISP SALES</t>
  </si>
  <si>
    <t>REVENUE-LONG DIST TEL SVC</t>
  </si>
  <si>
    <t>EXP LONG DIST TEL SVC</t>
  </si>
  <si>
    <t>EQUITY IN EARNIGS OF SUBSIDIARY</t>
  </si>
  <si>
    <t>GAIN ON DISP OF PROP</t>
  </si>
  <si>
    <t>LOSS ON DISP OF PROP</t>
  </si>
  <si>
    <t xml:space="preserve">OTHER CAP CREDITS </t>
  </si>
  <si>
    <t>CREBS FINANCING</t>
  </si>
  <si>
    <t>CWIP - OVERHEAD</t>
  </si>
  <si>
    <t>CWIP - CONTRACT WORK</t>
  </si>
  <si>
    <t>CWIP - DIRECT CHARGES</t>
  </si>
  <si>
    <t>ACC PROV DEPR - HYDRO PLANT</t>
  </si>
  <si>
    <t>ACC PROV DEPR - COVENTRY GEN</t>
  </si>
  <si>
    <t>ACC PROV DEPR - TRANS PLANT</t>
  </si>
  <si>
    <t>ACC PROV DEPR - DIST PLANT</t>
  </si>
  <si>
    <t>ACC PROV DEPR - GEN PLANT</t>
  </si>
  <si>
    <t>ACC PROV DEPR - BUILDING</t>
  </si>
  <si>
    <t>ACC PROV DEPR - RET WORK IN PROG</t>
  </si>
  <si>
    <t>PAT CAP - UUS</t>
  </si>
  <si>
    <t>PAT CAP - NRTC</t>
  </si>
  <si>
    <t>INVEST IN SUB CO - COV</t>
  </si>
  <si>
    <t>OTHER INVESTMENTS - CFC</t>
  </si>
  <si>
    <t>OTHER INVESTMENTS - VELCO</t>
  </si>
  <si>
    <t>OTHER INVESTMENTS - CCEC</t>
  </si>
  <si>
    <t>OTHER INVESTMENTS - RUR ELEC VT ASSOC</t>
  </si>
  <si>
    <t>OTHER INVESTMENTS - DC LINE</t>
  </si>
  <si>
    <t>CASH - GENERAL FUNDS-NSB</t>
  </si>
  <si>
    <t>CASH - PAYROLL CHIT</t>
  </si>
  <si>
    <t>CASH - CONSTR FUND ACCT - CHIT</t>
  </si>
  <si>
    <t>NOTES REC - MONTHLY</t>
  </si>
  <si>
    <t xml:space="preserve">CUSTOMER A/R - ENERGY   </t>
  </si>
  <si>
    <t>CUSTOMER A/R - MJS</t>
  </si>
  <si>
    <t>CUSTOMER A/R EMPLOYEE</t>
  </si>
  <si>
    <t>CUSTOMER A/R - TELEPHONE</t>
  </si>
  <si>
    <t>CUSTOMER A/R - DSMS UPS ETC</t>
  </si>
  <si>
    <t>CUSTOMER A/R - COVENTRY</t>
  </si>
  <si>
    <t>CUSTOMER A/R - ACCRUED REVENUE</t>
  </si>
  <si>
    <t>DSM NOTE CLEARING</t>
  </si>
  <si>
    <t>ACC PROV UNCOLL - N/R</t>
  </si>
  <si>
    <t>ACC PROV UNCOLL - ENERGY</t>
  </si>
  <si>
    <t>ACC PROV UNCOLL - OTHER A/R</t>
  </si>
  <si>
    <t>PLANT MATERIALS</t>
  </si>
  <si>
    <t>MERCHANDISE</t>
  </si>
  <si>
    <t>FUEL INVENTORY</t>
  </si>
  <si>
    <t>OTHER PREPAYMENTS - DUES</t>
  </si>
  <si>
    <t>OTHER PREPAYMENTS - MISC</t>
  </si>
  <si>
    <t>OTHER PREPAYMENTS - LEGAL</t>
  </si>
  <si>
    <t>2009-2012 WORK PLAN</t>
  </si>
  <si>
    <t>DEF DEBIT - PAST SERVICE PENSION</t>
  </si>
  <si>
    <t>DONATED CAPITAL - ABANDONED PROP</t>
  </si>
  <si>
    <t>RETIRED PAT CAPITAL-NO CHK</t>
  </si>
  <si>
    <t>RETIRED PAT CAPITAL-UNCLAIMED</t>
  </si>
  <si>
    <t>SUBTOTAL PAT CAPITAL</t>
  </si>
  <si>
    <t>NOTE PAY-CFC LOC ST</t>
  </si>
  <si>
    <t>CURRENT MAT-LTD</t>
  </si>
  <si>
    <t>CUST DEP - ACCUM INT</t>
  </si>
  <si>
    <t>TAXES ACCR - VT STATE SUTA</t>
  </si>
  <si>
    <t>TAXES ACCR - VT SALES &amp; USE</t>
  </si>
  <si>
    <t>TAXES ACCR - FUEL GROSS RECEIPTS</t>
  </si>
  <si>
    <t>TAXES ACCR - GROSS REV TAX</t>
  </si>
  <si>
    <t>EEU CHARGE</t>
  </si>
  <si>
    <t>PATRONAGE HOLDING ACCT</t>
  </si>
  <si>
    <t xml:space="preserve">SUBTOTAL </t>
  </si>
  <si>
    <t>ACCRUED PAYROLL</t>
  </si>
  <si>
    <t>ACCRUED SICK LEAVE</t>
  </si>
  <si>
    <t>ACCRUED VACATION</t>
  </si>
  <si>
    <t>OTH CUR LIAB - DONATED CC REFUND</t>
  </si>
  <si>
    <t>DEF CR - SPEC EQUIP COSTS</t>
  </si>
  <si>
    <t>INTANGIBLE PLANT - ORGANIZATION</t>
  </si>
  <si>
    <t>HYDRO PLANT - INTANGIBLE - ORGANIZATION</t>
  </si>
  <si>
    <t>HYDRO PLANT - STRUCT &amp; IMPROV</t>
  </si>
  <si>
    <t>HYDRO PLANT - STRUCT &amp; IMPRV BEACH, SRN</t>
  </si>
  <si>
    <t>HYDRO PLANT - RESERVOIRS, WATERWAYS</t>
  </si>
  <si>
    <t>HYDRO PLANT - PENSTOCK</t>
  </si>
  <si>
    <t>HYDRO PLANT - TAILRACE</t>
  </si>
  <si>
    <t>HYDRO PLANT - WHEELS, TURB GEN</t>
  </si>
  <si>
    <t>HYDRO PLANT - ACCESSORY EQUIP</t>
  </si>
  <si>
    <t>HYDRO PLANT - MISC POWER PLANT</t>
  </si>
  <si>
    <t>HYDRO PLANT - OFFICE EQUP-DEP</t>
  </si>
  <si>
    <t>OTHER PROD PLANT - STRUC &amp; IMPRO</t>
  </si>
  <si>
    <t>TRANS PLANT - LAND &amp; LAND RIGHTS</t>
  </si>
  <si>
    <t>TRANS PLANT - E MONT SWITCH STAT</t>
  </si>
  <si>
    <t>TRANS PLANT - NO TU SWITCH STAT</t>
  </si>
  <si>
    <t>TRANS PLANT - GRANITEVILLE STAT</t>
  </si>
  <si>
    <t>TRANS PLANT - AIRBREAK SWITCH</t>
  </si>
  <si>
    <t>TRANS PLANT - COV SUB</t>
  </si>
  <si>
    <t>TRANS PLANT - COV TOWER &amp; FIXT</t>
  </si>
  <si>
    <t>TRANS PLANT - POLES &amp; FIXT</t>
  </si>
  <si>
    <t>TRANS PLANT - OH COND &amp; DEVICES</t>
  </si>
  <si>
    <t>DIST PLANT - LAND &amp; LAND RIGHTS</t>
  </si>
  <si>
    <t>DIST PLANT - STAT EQUIP</t>
  </si>
  <si>
    <t>HYDRO PLANT - SUBSTATION</t>
  </si>
  <si>
    <t>DIST PLANT - MT KNOX SUB</t>
  </si>
  <si>
    <t>DIST PLANT - W DANVILLE SUB</t>
  </si>
  <si>
    <t>DIST PLANT - S WALDEN SUB</t>
  </si>
  <si>
    <t>DIST PLANT - JACKSON CNRS SUB</t>
  </si>
  <si>
    <t>DIST PLANT - MORETOWN SUB</t>
  </si>
  <si>
    <t>DIST PLANT - MAPLE CORNERS SUB</t>
  </si>
  <si>
    <t>DIST PLANT - NO TUNBRIDGE SUB</t>
  </si>
  <si>
    <t>DIST PLANT - POLES TOWERS &amp; FIXT</t>
  </si>
  <si>
    <t>DIST PLANT - OH COND &amp; DEVICES</t>
  </si>
  <si>
    <t>DIST PLANT - UG CONDCT &amp; DEV</t>
  </si>
  <si>
    <t>DIST PLANT - X FORMERS</t>
  </si>
  <si>
    <t>DIST PLANT - SERV</t>
  </si>
  <si>
    <t>DIST PLANT - METERS</t>
  </si>
  <si>
    <t>DIST PLANT - INST/CUST PREMISES</t>
  </si>
  <si>
    <t>DIST PLANT - ST LGHT &amp; SIGNAL SYS</t>
  </si>
  <si>
    <t>GEN PLANT - LAND &amp; LAND RIGHTS</t>
  </si>
  <si>
    <t>GEN PLANT - STRUCT - OFFICE BLDG</t>
  </si>
  <si>
    <t>GEN PLANT - STRUCT - RADIO SHACK</t>
  </si>
  <si>
    <t>GEN PLANT - STRUCT - NEW GARAGE</t>
  </si>
  <si>
    <t>GEN PLANT - STRUCT - POLE STORAGE RA</t>
  </si>
  <si>
    <t>GEN PLANT - OFFICE FURN &amp; EQUIP</t>
  </si>
  <si>
    <t>GEN PLANT - TRANS EQUIP</t>
  </si>
  <si>
    <t>GEN PLANT - STORES EQUIP</t>
  </si>
  <si>
    <t>GEN PLANT - TOOLS SHOP &amp; GARAGE EQ</t>
  </si>
  <si>
    <t>GEN PLANT - LAB EQUIP</t>
  </si>
  <si>
    <t>GEN PLANT - PHOTO EQUIP</t>
  </si>
  <si>
    <t>GEN PLANT - POWER OPERATED EQUIP</t>
  </si>
  <si>
    <t>GEN PLANT - COMMUN EQUIP</t>
  </si>
  <si>
    <t>GEN PLANT - MISC EQUIP</t>
  </si>
  <si>
    <t>ACC PROV DEPR - TRANS EQUIP</t>
  </si>
  <si>
    <t>POWER PRODUCTION EXP</t>
  </si>
  <si>
    <t>Washington Electric Cooperative Totals</t>
  </si>
  <si>
    <t>ADJ Rate Year</t>
  </si>
  <si>
    <t>WEC Power Costs</t>
  </si>
  <si>
    <t>WEC Transmission Costs</t>
  </si>
  <si>
    <t>On-Call, Meal Allow, Rest Time, Retro Adj</t>
  </si>
  <si>
    <t xml:space="preserve">INTEREST &amp; DIVIDEND INCOME;  </t>
  </si>
  <si>
    <t xml:space="preserve">OTHER REVENUES &amp; EXTRAORDINARY ITEMS;  </t>
  </si>
  <si>
    <t>UUS Patronage Capital - Equity</t>
  </si>
  <si>
    <t>Interest CREBS Loan</t>
  </si>
  <si>
    <t>Interest CFC Loans</t>
  </si>
  <si>
    <t>OTHER INTEREST EXPENSE-cust dep</t>
  </si>
  <si>
    <t xml:space="preserve">CWIP - </t>
  </si>
  <si>
    <t>CWIP -</t>
  </si>
  <si>
    <t xml:space="preserve">PAYROLL DISTRIBUTION DETAILS;  </t>
  </si>
  <si>
    <t>544.01 &amp; 545.01</t>
  </si>
  <si>
    <t xml:space="preserve">DISTRIBUTION OPERATION &amp; MAINTENANCE EXPENSE;  </t>
  </si>
  <si>
    <t>General Liability (100%)</t>
  </si>
  <si>
    <t>WEC Financials</t>
  </si>
  <si>
    <t>CWIP OH</t>
  </si>
  <si>
    <t>STORES CLEARING</t>
  </si>
  <si>
    <t>TRANS EXP - CLEAR</t>
  </si>
  <si>
    <t>DIST - STATION EXP</t>
  </si>
  <si>
    <t>DIST - O/H LINE EXP</t>
  </si>
  <si>
    <t>DIST - METER EXP</t>
  </si>
  <si>
    <t>Payroll Tax  (FICA, FUTA, SUTA)</t>
  </si>
  <si>
    <t>583.01</t>
  </si>
  <si>
    <t>593.03</t>
  </si>
  <si>
    <t>DIST MAINT - OH LINES ROW</t>
  </si>
  <si>
    <t>908.07</t>
  </si>
  <si>
    <t xml:space="preserve">TRANSMISSION &amp; POWER PROD </t>
  </si>
  <si>
    <t xml:space="preserve">TRANSMISSION </t>
  </si>
  <si>
    <t>Interest Coventry Loan (RUS &amp; FFB)</t>
  </si>
  <si>
    <t xml:space="preserve">Unamort. debt serv. </t>
  </si>
  <si>
    <t>Def Deb - Past Service Pension</t>
  </si>
  <si>
    <t>Misc Serv Rev - Disc Rec &amp; Col Fee</t>
  </si>
  <si>
    <t>454.02 &amp; 03</t>
  </si>
  <si>
    <t>Rent Rev - Tel Attach &amp; CCEC</t>
  </si>
  <si>
    <t>Sale of RECS</t>
  </si>
  <si>
    <t>NYPA Niagara</t>
  </si>
  <si>
    <t>NYPA St Lawrence</t>
  </si>
  <si>
    <t>Wrightsville Hydro</t>
  </si>
  <si>
    <t>Load &amp; Load Charges</t>
  </si>
  <si>
    <t>Settlement Load (in kWh)</t>
  </si>
  <si>
    <t>Misc Load Charges/Credits</t>
  </si>
  <si>
    <t>Reserve Market Settlement</t>
  </si>
  <si>
    <t>Auction Revenue Rights (ARRs)</t>
  </si>
  <si>
    <t>Other Load and Market Charges/(Credits)</t>
  </si>
  <si>
    <t>Transmission Charges</t>
  </si>
  <si>
    <t xml:space="preserve">GMP Transmission              </t>
  </si>
  <si>
    <t xml:space="preserve">Nepool/ISO Transmission       </t>
  </si>
  <si>
    <t xml:space="preserve">Phase 1                       </t>
  </si>
  <si>
    <t xml:space="preserve">Velco '91                     </t>
  </si>
  <si>
    <t>Other Charges/(Credits)</t>
  </si>
  <si>
    <t xml:space="preserve">HQ Participant Charges        </t>
  </si>
  <si>
    <t>kWh</t>
  </si>
  <si>
    <t>Resources</t>
  </si>
  <si>
    <t>Coventry Clean Energy Corp</t>
  </si>
  <si>
    <t>POWER SUPPLY</t>
  </si>
  <si>
    <t>WEC Power Production Costs</t>
  </si>
  <si>
    <t>POWER PRODUCTION</t>
  </si>
  <si>
    <t>Power Prod</t>
  </si>
  <si>
    <t>Transmisson</t>
  </si>
  <si>
    <t>Power Sup</t>
  </si>
  <si>
    <t xml:space="preserve">AMORTIZATION EXPENSE </t>
  </si>
  <si>
    <t>Deferral</t>
  </si>
  <si>
    <t>Debt Service Amortization</t>
  </si>
  <si>
    <t>Past Service Pension</t>
  </si>
  <si>
    <t>Existing Rates</t>
  </si>
  <si>
    <t>E.)  OTier Calculation C/B</t>
  </si>
  <si>
    <t>D.)  Cash Received - Retirement of Patronage Capital</t>
  </si>
  <si>
    <t xml:space="preserve">Allocate Vac, Hol, Sick </t>
  </si>
  <si>
    <t>(C +D) / B</t>
  </si>
  <si>
    <t>593.02</t>
  </si>
  <si>
    <t>See work area below</t>
  </si>
  <si>
    <t>Schedule 1 line 35</t>
  </si>
  <si>
    <t>Supporting Schedule</t>
  </si>
  <si>
    <t>OTHER OPERATING REVENUES</t>
  </si>
  <si>
    <t xml:space="preserve">OTHER OPERATING REVENUES </t>
  </si>
  <si>
    <t>TOTAL OTHER OPERATING REVENUES</t>
  </si>
  <si>
    <t>Gross Revenue &amp; Gross Receipts Tax</t>
  </si>
  <si>
    <t xml:space="preserve">SCHEDULE 15 </t>
  </si>
  <si>
    <t>GROSS REVENUE &amp; GROSS RECEIPTS TAX</t>
  </si>
  <si>
    <t>TOTAL GROSS RECEIPTS &amp; GROSS REVENUE</t>
  </si>
  <si>
    <t>Revenue at Existing Rates</t>
  </si>
  <si>
    <t xml:space="preserve">         Gross Receipts Tax Rate</t>
  </si>
  <si>
    <t xml:space="preserve">         Total Gross Receipts Tax</t>
  </si>
  <si>
    <t>Additional Revenue Requirement</t>
  </si>
  <si>
    <t>Total Member Revenues</t>
  </si>
  <si>
    <t>Gross Revenue Tax</t>
  </si>
  <si>
    <t xml:space="preserve">         Gross Revenue Tax Rate</t>
  </si>
  <si>
    <t xml:space="preserve">         Gross Receipts Tax</t>
  </si>
  <si>
    <t xml:space="preserve">         Prior Year Adjustment</t>
  </si>
  <si>
    <t xml:space="preserve">  Operating Revenues</t>
  </si>
  <si>
    <t xml:space="preserve">         Total Gross Revenue Tax</t>
  </si>
  <si>
    <t>OTHER INCOME &amp; EXPENSE</t>
  </si>
  <si>
    <t>TOTAL OTHER INCOME &amp; EXPENSES</t>
  </si>
  <si>
    <t>UUS Return of Patronage - Cash</t>
  </si>
  <si>
    <t>NRTC Return of Patronage - Cash</t>
  </si>
  <si>
    <t>Total Return of Patronage - Cash</t>
  </si>
  <si>
    <t>Patronage Allocations - Non Cash</t>
  </si>
  <si>
    <t>Retirement of Patronage Allocations - Cash Received</t>
  </si>
  <si>
    <t>CFC Cap Term Cert - Cash</t>
  </si>
  <si>
    <t>Schedule 10 Line 28</t>
  </si>
  <si>
    <t xml:space="preserve">PAYROLL &amp; BENEFITS SUPPORT: </t>
  </si>
  <si>
    <t>NET WEC IMPACT ON EQUITY</t>
  </si>
  <si>
    <t>SCHEDULE S1-A</t>
  </si>
  <si>
    <t>BREAKDOWN OF PROPOSED RATE INCREASE</t>
  </si>
  <si>
    <t>EXPENSE ITEMS</t>
  </si>
  <si>
    <t xml:space="preserve">    Change in O&amp;M Costs</t>
  </si>
  <si>
    <t xml:space="preserve">    Change in Depreciation Expense</t>
  </si>
  <si>
    <t xml:space="preserve">    Change in Interest Expense</t>
  </si>
  <si>
    <t>REVENUE ITEMS</t>
  </si>
  <si>
    <t xml:space="preserve">   Change in Interest &amp; Dividend Income</t>
  </si>
  <si>
    <t xml:space="preserve">   Change in Non Operating Income</t>
  </si>
  <si>
    <t xml:space="preserve">   Change in Operating Revenues</t>
  </si>
  <si>
    <t>Total Additional Revenue Requirement</t>
  </si>
  <si>
    <t>Base Revenue</t>
  </si>
  <si>
    <t>Percent Increase</t>
  </si>
  <si>
    <t>Revenue Requirement</t>
  </si>
  <si>
    <t>Increase</t>
  </si>
  <si>
    <t>Rate Increase</t>
  </si>
  <si>
    <t>Required</t>
  </si>
  <si>
    <t xml:space="preserve">   Change in Net Income</t>
  </si>
  <si>
    <t xml:space="preserve">    Change in Other Deductions</t>
  </si>
  <si>
    <t xml:space="preserve">   Change in Other Income &amp; Expense</t>
  </si>
  <si>
    <t xml:space="preserve">    Change in Gross Receipts &amp; Gross Rev Tax</t>
  </si>
  <si>
    <t>Percent of</t>
  </si>
  <si>
    <t>AMORTIZATION</t>
  </si>
  <si>
    <t>INTEREST EXPENSE ON DEBT</t>
  </si>
  <si>
    <t>CUSTOMER ACCOUNTS EXPENSE DETAIL</t>
  </si>
  <si>
    <t>A&amp;G EXPENSE DETAIL</t>
  </si>
  <si>
    <t>PAYROLL EXPENSE DETAIL SUMMARY</t>
  </si>
  <si>
    <t>RISK INSURANCE SUPPORT</t>
  </si>
  <si>
    <t>DEPRECIATION</t>
  </si>
  <si>
    <t>EXHIBIT: WEC - 1</t>
  </si>
  <si>
    <t>EXHIBIT: WEC-1</t>
  </si>
  <si>
    <t>RETIREMENT WORK IN PROG</t>
  </si>
  <si>
    <t>GEN TOOL EXP - CLEARING</t>
  </si>
  <si>
    <t xml:space="preserve">HYDRO OPER </t>
  </si>
  <si>
    <t>HYDRO MAINT - OTHER</t>
  </si>
  <si>
    <t>DIST-INSTALL COST NEW X-FORMRS</t>
  </si>
  <si>
    <t>DIST- OPER U/G LINE EXP</t>
  </si>
  <si>
    <t>DIST-INSTALL NEW MTRS(INC TESTING)</t>
  </si>
  <si>
    <t>DIST-MAINT OF STATION EQUIP</t>
  </si>
  <si>
    <t>DIST-MAINT OF O/H LINES MAJOR OUTAGES</t>
  </si>
  <si>
    <t>DIST-MAINT OF OH LINES REGULAR OUTAGE</t>
  </si>
  <si>
    <t>DIST-MAINT OF UG LINE</t>
  </si>
  <si>
    <t xml:space="preserve">DIST-MAINT OF SECURITY LIGHTS </t>
  </si>
  <si>
    <t>CUST ACC EXP-MTRS READ BY EMPL</t>
  </si>
  <si>
    <t>CUST ACC EXP-OH SUPPLIES ETC</t>
  </si>
  <si>
    <t>INFO &amp; INSTR ADV EXP</t>
  </si>
  <si>
    <t>ADMIN &amp; GEN CCEC LABOR</t>
  </si>
  <si>
    <t>TRAINING - IN HOUSE</t>
  </si>
  <si>
    <t>EQUITY MANAGEMENT</t>
  </si>
  <si>
    <t xml:space="preserve">Equity Management </t>
  </si>
  <si>
    <t>COMPANY</t>
  </si>
  <si>
    <t>TEST YEAR</t>
  </si>
  <si>
    <t>BILLING</t>
  </si>
  <si>
    <t>REVENUES</t>
  </si>
  <si>
    <t>PROPOSED</t>
  </si>
  <si>
    <t>PERCENT</t>
  </si>
  <si>
    <t>DESIGNATION</t>
  </si>
  <si>
    <t>RATES</t>
  </si>
  <si>
    <t>UNITS</t>
  </si>
  <si>
    <t>INCREASE</t>
  </si>
  <si>
    <t>=</t>
  </si>
  <si>
    <t>Residential Rate 01</t>
  </si>
  <si>
    <t xml:space="preserve">  Customer charge</t>
  </si>
  <si>
    <t>/mo.</t>
  </si>
  <si>
    <t>/kWh</t>
  </si>
  <si>
    <t xml:space="preserve">  Total</t>
  </si>
  <si>
    <t>Small Commercial Rate 06</t>
  </si>
  <si>
    <t xml:space="preserve">  KWH</t>
  </si>
  <si>
    <t>Large Power Rate 08</t>
  </si>
  <si>
    <t xml:space="preserve">  KW</t>
  </si>
  <si>
    <t>/kw</t>
  </si>
  <si>
    <t>Time of Day Rate /Off Peak Rate 007</t>
  </si>
  <si>
    <t>Time of Day Rate /Peak Rate 067</t>
  </si>
  <si>
    <t>Street and Highway Lighting Rate 05</t>
  </si>
  <si>
    <t>/mo</t>
  </si>
  <si>
    <t>GRAND TOTAL</t>
  </si>
  <si>
    <t xml:space="preserve">  Revenues</t>
  </si>
  <si>
    <t>Schedule 17</t>
  </si>
  <si>
    <t>Effect on Revenue - Test Yr vs. Rate Year</t>
  </si>
  <si>
    <t>Baseload Block</t>
  </si>
  <si>
    <t>Tail Block</t>
  </si>
  <si>
    <t xml:space="preserve">DATE </t>
  </si>
  <si>
    <t>ORIGINAL</t>
  </si>
  <si>
    <t>PRIN BAL</t>
  </si>
  <si>
    <t xml:space="preserve">Percentage of </t>
  </si>
  <si>
    <t>Weighted Average</t>
  </si>
  <si>
    <t>NOTE #</t>
  </si>
  <si>
    <t>ISSUED</t>
  </si>
  <si>
    <t>INTEREST</t>
  </si>
  <si>
    <t>PRINCIPAL</t>
  </si>
  <si>
    <t>Debt</t>
  </si>
  <si>
    <t>Cost</t>
  </si>
  <si>
    <t>RUS</t>
  </si>
  <si>
    <t>05-95</t>
  </si>
  <si>
    <t>9-96</t>
  </si>
  <si>
    <t>1A330</t>
  </si>
  <si>
    <t>CFC</t>
  </si>
  <si>
    <t>C9020</t>
  </si>
  <si>
    <t>09-85</t>
  </si>
  <si>
    <t>C9021</t>
  </si>
  <si>
    <t>12-86</t>
  </si>
  <si>
    <t>C9024</t>
  </si>
  <si>
    <t>06-90</t>
  </si>
  <si>
    <t>C9025</t>
  </si>
  <si>
    <t>12-92</t>
  </si>
  <si>
    <t>C26-01</t>
  </si>
  <si>
    <t>C26-02</t>
  </si>
  <si>
    <t>12-95</t>
  </si>
  <si>
    <t>C26-03</t>
  </si>
  <si>
    <t>2008</t>
  </si>
  <si>
    <t>F0040</t>
  </si>
  <si>
    <t>F0045</t>
  </si>
  <si>
    <t>Total Debt</t>
  </si>
  <si>
    <t>Weighted Average Cost of Debt</t>
  </si>
  <si>
    <t>Weighted Average Cost of Capital:</t>
  </si>
  <si>
    <t>Percentage of</t>
  </si>
  <si>
    <t>Monies</t>
  </si>
  <si>
    <t>Equity</t>
  </si>
  <si>
    <t>SCHEDULE 9A</t>
  </si>
  <si>
    <t>Long Term Debt - Weighted Average Cost of Capital</t>
  </si>
  <si>
    <t>SCHEDULE 18</t>
  </si>
  <si>
    <t>Rate Base Calc</t>
  </si>
  <si>
    <t>No.</t>
  </si>
  <si>
    <t>NET PLANT</t>
  </si>
  <si>
    <t>154-156</t>
  </si>
  <si>
    <t>MATERIALS INVENTORY</t>
  </si>
  <si>
    <t>PREPAYMENTS</t>
  </si>
  <si>
    <t>CASH WORKING CAPITAL</t>
  </si>
  <si>
    <t>DEFERRED DEBITS</t>
  </si>
  <si>
    <t>181-186</t>
  </si>
  <si>
    <t>DEFERRED CREDITS</t>
  </si>
  <si>
    <t>252-254</t>
  </si>
  <si>
    <t>TOTAL RATE BASE</t>
  </si>
  <si>
    <t>TOTAL HYDRO</t>
  </si>
  <si>
    <t>TOTAL OTHER</t>
  </si>
  <si>
    <t>TOTAL TRANSMISSION</t>
  </si>
  <si>
    <t>TOTAL DISTRIBUTION</t>
  </si>
  <si>
    <t>TOTAL GENERAL PLANT</t>
  </si>
  <si>
    <t>TOTAL UTILITY PLANT</t>
  </si>
  <si>
    <t>WEC Amortization Schedules</t>
  </si>
  <si>
    <t>**</t>
  </si>
  <si>
    <t>** Cash Working Capital estimated as 45 days of O&amp;M expense</t>
  </si>
  <si>
    <t>ARRA GRANT ADMIN EXP</t>
  </si>
  <si>
    <t>PREPAYMENTS - PROPERTY &amp; LIABILITY</t>
  </si>
  <si>
    <t>PREPAYMENTS - ACCIDENT &amp; SICKNESS</t>
  </si>
  <si>
    <t>TAXES ACCR - VT STATE FUTA</t>
  </si>
  <si>
    <t>INTEREST ACCRUED - CFC  LT</t>
  </si>
  <si>
    <t>REG EXP-RATE CASE</t>
  </si>
  <si>
    <t>583.04 &amp; 583.05</t>
  </si>
  <si>
    <t>OTHER INTEREST EXPENSE - CFC</t>
  </si>
  <si>
    <t xml:space="preserve">ADMIN &amp; GEN-CCEC </t>
  </si>
  <si>
    <t>REG EXP IRP/LRP</t>
  </si>
  <si>
    <t>ARRA GRAND ADMIN EXP</t>
  </si>
  <si>
    <t>Vermont Wind</t>
  </si>
  <si>
    <t>F0050</t>
  </si>
  <si>
    <t>F0055</t>
  </si>
  <si>
    <t>F0060</t>
  </si>
  <si>
    <t>F0065</t>
  </si>
  <si>
    <t>F0070</t>
  </si>
  <si>
    <t>F0075</t>
  </si>
  <si>
    <t>Interest FFB Loans (excludes Coventry)</t>
  </si>
  <si>
    <t>Base Salary and Step Rate Adj</t>
  </si>
  <si>
    <t xml:space="preserve">DIST-MAINT MUTUAL AID </t>
  </si>
  <si>
    <t>OTHER PURCH POWER - PYROLL</t>
  </si>
  <si>
    <t>CASH - NCFCU</t>
  </si>
  <si>
    <t>CASH - ONE CREDIT UNION</t>
  </si>
  <si>
    <t>TRANS CLEARING - SM TOOLS</t>
  </si>
  <si>
    <t>F0080</t>
  </si>
  <si>
    <t>F0085</t>
  </si>
  <si>
    <t>TRANS-OPER - O/H PROPERTY TAX</t>
  </si>
  <si>
    <t>CUST ACC EXP-AMI READS</t>
  </si>
  <si>
    <t>920.0</t>
  </si>
  <si>
    <t>ADMIN &amp; GENERAL - OVERHEAD</t>
  </si>
  <si>
    <t>920.01</t>
  </si>
  <si>
    <t>ADMN &amp; GEN- GEN &amp; COST ACCT LABO</t>
  </si>
  <si>
    <t>920.05</t>
  </si>
  <si>
    <t>ADMN &amp; GEN-PLANT ACCTG LABOR</t>
  </si>
  <si>
    <t>920.06</t>
  </si>
  <si>
    <t>ADMIN &amp; GEN-P/R PREP-LABOR</t>
  </si>
  <si>
    <t>920.07</t>
  </si>
  <si>
    <t>AMDIN &amp; GEN-MIS LABOR</t>
  </si>
  <si>
    <t>920.08</t>
  </si>
  <si>
    <t>920.09</t>
  </si>
  <si>
    <t>ADMIN &amp; GEN - HUMAN RESOURCES</t>
  </si>
  <si>
    <t>920.11</t>
  </si>
  <si>
    <t>ADMIN &amp; GEN-STAFF MEETS</t>
  </si>
  <si>
    <t>921.01</t>
  </si>
  <si>
    <t>ADMIN &amp; GEN - OFFICE SUPP EXP</t>
  </si>
  <si>
    <t>921.02</t>
  </si>
  <si>
    <t>HYDRO A &amp; G - OFFICE EXPENSE</t>
  </si>
  <si>
    <t>921.1</t>
  </si>
  <si>
    <t>921.11</t>
  </si>
  <si>
    <t>ADMIN &amp; GEN-CAP CRED DONATIONS D</t>
  </si>
  <si>
    <t>921.12</t>
  </si>
  <si>
    <t>ADMIN &amp; GEN-ABAND CAPITAL CREDIT</t>
  </si>
  <si>
    <t>923.03</t>
  </si>
  <si>
    <t>OUT SERV-AUDITING FIRM</t>
  </si>
  <si>
    <t>923.04</t>
  </si>
  <si>
    <t>923.06</t>
  </si>
  <si>
    <t>923.4</t>
  </si>
  <si>
    <t>OUTSIDE SERVICES - LEGAL -BOARD</t>
  </si>
  <si>
    <t>925.01</t>
  </si>
  <si>
    <t>925.02</t>
  </si>
  <si>
    <t>HYDRO A &amp; G - LIABILITY INSURANC</t>
  </si>
  <si>
    <t>926.02</t>
  </si>
  <si>
    <t>EMP TRAI SCHOOL &amp; PROG</t>
  </si>
  <si>
    <t>926.05</t>
  </si>
  <si>
    <t>928.04</t>
  </si>
  <si>
    <t>928.07</t>
  </si>
  <si>
    <t>REG EXP-IRP/2010 LRP</t>
  </si>
  <si>
    <t>928.12</t>
  </si>
  <si>
    <t>929.01</t>
  </si>
  <si>
    <t>DUPE CHGS-POWER/IN HOUSE</t>
  </si>
  <si>
    <t>930.01</t>
  </si>
  <si>
    <t>930.02</t>
  </si>
  <si>
    <t>MISC GEN EXP-AMOR DUES TO ORGAN</t>
  </si>
  <si>
    <t>930.04</t>
  </si>
  <si>
    <t>930.07</t>
  </si>
  <si>
    <t>MISC GEN EXP-OTH OUTSIDE MEETS</t>
  </si>
  <si>
    <t>930.08</t>
  </si>
  <si>
    <t>MISC GEN EXPENSE - ALL OTHER</t>
  </si>
  <si>
    <t>930.11</t>
  </si>
  <si>
    <t>PROP TAX APPRAISALS-SYSTEM WIDE</t>
  </si>
  <si>
    <t>930.2</t>
  </si>
  <si>
    <t>MISC GEN EXP PROPERTY TAX</t>
  </si>
  <si>
    <t>930.21</t>
  </si>
  <si>
    <t>MISC GEN EXP DIR REG MTG</t>
  </si>
  <si>
    <t>930.22</t>
  </si>
  <si>
    <t>MISC GEN EXP DIRECT COMM MTGS</t>
  </si>
  <si>
    <t>930.23</t>
  </si>
  <si>
    <t>MISC GEN EXP DIRECT EDU &amp; TRAV</t>
  </si>
  <si>
    <t>932.01</t>
  </si>
  <si>
    <t>932.02</t>
  </si>
  <si>
    <t>932.03</t>
  </si>
  <si>
    <t>932.04</t>
  </si>
  <si>
    <t>DEPRECIATION EXP - DISTRIBUTION</t>
  </si>
  <si>
    <t>DEPRECIATION EXP - GENERAL</t>
  </si>
  <si>
    <t>CCEC GENERATION OPER EXP</t>
  </si>
  <si>
    <t>PREPMTS/NRECA R&amp;S, 401(K) ADMIN</t>
  </si>
  <si>
    <t>CONSTRUCTION WORK PLAN</t>
  </si>
  <si>
    <t>OTHER REGULATORY ASSETS</t>
  </si>
  <si>
    <t>DEF DEBIT - 2013 RS PREPAYMENT</t>
  </si>
  <si>
    <t>224.02</t>
  </si>
  <si>
    <t>LT DEBT RUS CONSTR NOTE - COV</t>
  </si>
  <si>
    <t>224.08</t>
  </si>
  <si>
    <t>LT DEBT-FFB GEN</t>
  </si>
  <si>
    <t>224.09</t>
  </si>
  <si>
    <t>FFB NOTES EXECUTED-DEBIT</t>
  </si>
  <si>
    <t>224.12</t>
  </si>
  <si>
    <t>OTHER LT DEBT-CFC</t>
  </si>
  <si>
    <t>SUBTOTAL NOTES &amp; CM</t>
  </si>
  <si>
    <t>232.01</t>
  </si>
  <si>
    <t>ACCTS PAYABLE</t>
  </si>
  <si>
    <t>341.05</t>
  </si>
  <si>
    <t>350.01</t>
  </si>
  <si>
    <t>353.01</t>
  </si>
  <si>
    <t>TRANS PLANT/E MONT SWITCH STAT</t>
  </si>
  <si>
    <t>353.02</t>
  </si>
  <si>
    <t>TRANS PLANT/NO TU SWITCH STAT</t>
  </si>
  <si>
    <t>353.03</t>
  </si>
  <si>
    <t>TRANS PLANT/GRANITEVILLE STAT</t>
  </si>
  <si>
    <t>353.04</t>
  </si>
  <si>
    <t>TRANS PLANT/AIRBREAK SWITCH</t>
  </si>
  <si>
    <t>353.05</t>
  </si>
  <si>
    <t>TRANS PLANT/COV SUB</t>
  </si>
  <si>
    <t>353.8</t>
  </si>
  <si>
    <t>TRANS PLANT/ARRA/SWITCHING STATIONS</t>
  </si>
  <si>
    <t>354.05</t>
  </si>
  <si>
    <t>TRANS PLANT/COV TOWER &amp; FIXT</t>
  </si>
  <si>
    <t>355.01</t>
  </si>
  <si>
    <t>356.01</t>
  </si>
  <si>
    <t>TRANS PLANT/OH COND &amp; DEVICES</t>
  </si>
  <si>
    <t>360.01</t>
  </si>
  <si>
    <t>362.01</t>
  </si>
  <si>
    <t>DIST PLANT/E MONT SUB</t>
  </si>
  <si>
    <t>362.02</t>
  </si>
  <si>
    <t>HYDRO PLANT/SUBSTATION</t>
  </si>
  <si>
    <t>362.03</t>
  </si>
  <si>
    <t>DIST PLANT/MT KNOX SUB</t>
  </si>
  <si>
    <t>362.04</t>
  </si>
  <si>
    <t>DIST PLANT/W DANVILLE SUB</t>
  </si>
  <si>
    <t>362.05</t>
  </si>
  <si>
    <t>DIST PLANT/S WALDEN SUB</t>
  </si>
  <si>
    <t>362.08</t>
  </si>
  <si>
    <t>DIST PLANT/JACKSON CORNERS SUB</t>
  </si>
  <si>
    <t>362.09</t>
  </si>
  <si>
    <t>DIST PLANT/MORETOWN SUB</t>
  </si>
  <si>
    <t>362.1</t>
  </si>
  <si>
    <t>DIST PLANT/MAPLE CORNERS SUB</t>
  </si>
  <si>
    <t>362.11</t>
  </si>
  <si>
    <t>DIST PLANT/NO TUNBRIDGE SUB</t>
  </si>
  <si>
    <t>362.12</t>
  </si>
  <si>
    <t>DIST PLNT/JONES BROOK AMI PLATFRM&amp;EQUIP</t>
  </si>
  <si>
    <t>362.8</t>
  </si>
  <si>
    <t>DIST PLANT/ARRA/E MONT SUB</t>
  </si>
  <si>
    <t>362.9</t>
  </si>
  <si>
    <t>DIST PLANT/SPARE EQUIP FOR SUBST @ WHSE</t>
  </si>
  <si>
    <t>364.01</t>
  </si>
  <si>
    <t>DIST PLANT/POLES TOWERS &amp; FIXTURES</t>
  </si>
  <si>
    <t>365.01</t>
  </si>
  <si>
    <t>DIST PLANT-O/H COND &amp; DEVICES</t>
  </si>
  <si>
    <t>365.8</t>
  </si>
  <si>
    <t>DIST PLANT/ARRA RECLOSERS</t>
  </si>
  <si>
    <t>367.01</t>
  </si>
  <si>
    <t>DISTR PLANT-U/G CONDCT &amp; DEV</t>
  </si>
  <si>
    <t>368.01</t>
  </si>
  <si>
    <t>DIST PLANT-X-FORMERS</t>
  </si>
  <si>
    <t>368.8</t>
  </si>
  <si>
    <t>DIST PLANT/ARRA REGULATORS</t>
  </si>
  <si>
    <t>369.01</t>
  </si>
  <si>
    <t>DIST PLANT-SERV</t>
  </si>
  <si>
    <t>370.01</t>
  </si>
  <si>
    <t>DIST PLANT-METERS</t>
  </si>
  <si>
    <t>370.02</t>
  </si>
  <si>
    <t>DIST PLANT/AMI METERS &amp; ASSOC EQUIP</t>
  </si>
  <si>
    <t>370.03</t>
  </si>
  <si>
    <t>DIST PLANT/AMI EQUIP INSTALLED @ SUBS</t>
  </si>
  <si>
    <t>370.04</t>
  </si>
  <si>
    <t>DIST PLANT/AMI EQUIP INSTALLED ON LINES</t>
  </si>
  <si>
    <t>370.05</t>
  </si>
  <si>
    <t>DIST PLANT/AMI COMPUTER SOFTWARE</t>
  </si>
  <si>
    <t>370.8</t>
  </si>
  <si>
    <t>DIST PLANT/ARRA AMI COMM EQUIP @ SUBS</t>
  </si>
  <si>
    <t>370.81</t>
  </si>
  <si>
    <t>DIST PLANT/ARRA AMI COMM EQUIP/SOFTWARE</t>
  </si>
  <si>
    <t>371.01</t>
  </si>
  <si>
    <t>DIST PLANT-INST/CUST PREMISES</t>
  </si>
  <si>
    <t>373.01</t>
  </si>
  <si>
    <t>DIST PLANT-ST LGHT &amp; SIGNAL SYS</t>
  </si>
  <si>
    <t>389.01</t>
  </si>
  <si>
    <t>GEN PLANT-LAND &amp; LAND RIGHTS</t>
  </si>
  <si>
    <t>390.01</t>
  </si>
  <si>
    <t>GEN PLANT-STRUCT-OFFICE BUILD.</t>
  </si>
  <si>
    <t>390.02</t>
  </si>
  <si>
    <t>GEN PLANT-STRUCT-RADIO SHACK</t>
  </si>
  <si>
    <t>390.03</t>
  </si>
  <si>
    <t>GEN PLANT-STRUCT -OLD GARAGE</t>
  </si>
  <si>
    <t>390.04</t>
  </si>
  <si>
    <t>GEN PLANT-STRUCT-NEW GARAGE</t>
  </si>
  <si>
    <t>390.05</t>
  </si>
  <si>
    <t>GEN PLANT-STRUCT-POLE STORAGE RA</t>
  </si>
  <si>
    <t>391.01</t>
  </si>
  <si>
    <t>GEN PLANT-OFFICE FURN &amp; EQUIP</t>
  </si>
  <si>
    <t>392.01</t>
  </si>
  <si>
    <t>GEN PLNT-TRANSP EQUIP</t>
  </si>
  <si>
    <t>393.01</t>
  </si>
  <si>
    <t>GEN PLANT-STORES EQUIP</t>
  </si>
  <si>
    <t>394.01</t>
  </si>
  <si>
    <t>GEN PLANT-TOOLS SHOP &amp; GARAGE EQ</t>
  </si>
  <si>
    <t>395.01</t>
  </si>
  <si>
    <t>GEN PLANT-LAB EQUIP</t>
  </si>
  <si>
    <t>395.02</t>
  </si>
  <si>
    <t>GEN PLANT PHOTO EQUIP</t>
  </si>
  <si>
    <t>396.01</t>
  </si>
  <si>
    <t>GEN PLANT-POWER OPERATED EQUIP</t>
  </si>
  <si>
    <t>397.01</t>
  </si>
  <si>
    <t>GEN PLANT-COMMUN EQUIP</t>
  </si>
  <si>
    <t>397.05</t>
  </si>
  <si>
    <t>GEN PLANT/SHARED COMM LINK TO HQ</t>
  </si>
  <si>
    <t>397.06</t>
  </si>
  <si>
    <t>GEN PLANT/DEDICATED COMM LINK TO HQ</t>
  </si>
  <si>
    <t>398.01</t>
  </si>
  <si>
    <t>GEN PLANT-MISC EQUIP</t>
  </si>
  <si>
    <t>HYDRO OPER - ELEC EXP</t>
  </si>
  <si>
    <t>TRANS - OPER OH PROP TAX</t>
  </si>
  <si>
    <t>MISC CUST ACCTS EXP</t>
  </si>
  <si>
    <t>MISC GEN EXP PROP TAX</t>
  </si>
  <si>
    <t>OUT SERV - AUDIT FIRM</t>
  </si>
  <si>
    <t>Pension Prepayment Amortizaton</t>
  </si>
  <si>
    <t>DIST-MAINT MUTUAL AID  OTHER SYST</t>
  </si>
  <si>
    <t>Auto &amp; Contractors Equip (100%)</t>
  </si>
  <si>
    <t>2012 Refinance</t>
  </si>
  <si>
    <t>9032-11</t>
  </si>
  <si>
    <t>9032-12</t>
  </si>
  <si>
    <t>9032-13</t>
  </si>
  <si>
    <t>9032-14</t>
  </si>
  <si>
    <t>9032-15</t>
  </si>
  <si>
    <t>9032-16</t>
  </si>
  <si>
    <t>9032-17</t>
  </si>
  <si>
    <t>9032-18</t>
  </si>
  <si>
    <t>9032-19</t>
  </si>
  <si>
    <t>2013 RS Prepayment</t>
  </si>
  <si>
    <t>F0090</t>
  </si>
  <si>
    <t>F0095</t>
  </si>
  <si>
    <t>F0100</t>
  </si>
  <si>
    <t>FFB</t>
  </si>
  <si>
    <t>B.  Test Year Depreciation</t>
  </si>
  <si>
    <t>LTD &amp; STD &amp; BTA</t>
  </si>
  <si>
    <t>Def Deb - 2013 RS Prepayment</t>
  </si>
  <si>
    <t>(1)</t>
  </si>
  <si>
    <t>(2)</t>
  </si>
  <si>
    <t xml:space="preserve">Account Amortized </t>
  </si>
  <si>
    <t>Prepayment of RS Pension Plan</t>
  </si>
  <si>
    <t>various - follows payroll</t>
  </si>
  <si>
    <t>capitalized - 107.04</t>
  </si>
  <si>
    <t>expense - 428.03</t>
  </si>
  <si>
    <t>expense - 926.01</t>
  </si>
  <si>
    <t>Notes:</t>
  </si>
  <si>
    <t>Other Deductions</t>
  </si>
  <si>
    <t>Remove - not recoverable</t>
  </si>
  <si>
    <t>NON OPERATING (INCOME)/EXPENSE</t>
  </si>
  <si>
    <t>CUMULATIVE EFFECT ON PRIOR YEAR CHANGE</t>
  </si>
  <si>
    <t xml:space="preserve">   Total Operating Revenues</t>
  </si>
  <si>
    <t>A.)  Net Margins</t>
  </si>
  <si>
    <t>B.) Interest Expense</t>
  </si>
  <si>
    <t>A.)  Operating Margins</t>
  </si>
  <si>
    <t>Hydro Oper - Elec Exp Property Tax Only</t>
  </si>
  <si>
    <t>CCEC Generation Oper Exp Property Tax Only</t>
  </si>
  <si>
    <t>C.) Depreciation &amp; Amortization</t>
  </si>
  <si>
    <t>D.) Debt Service Payments</t>
  </si>
  <si>
    <t>(A + B + C) / D</t>
  </si>
  <si>
    <t>E.) DSC Calculation</t>
  </si>
  <si>
    <t>A.) Operating Margins</t>
  </si>
  <si>
    <t>S11</t>
  </si>
  <si>
    <t>Velco-Substation participation</t>
  </si>
  <si>
    <t>Debt Service (principal)</t>
  </si>
  <si>
    <t>RETURN ON RATE BASE</t>
  </si>
  <si>
    <t>Total Property Tax Expense/Year</t>
  </si>
  <si>
    <t>Change from Prior Year</t>
  </si>
  <si>
    <t>% Increase</t>
  </si>
  <si>
    <t>S1 - Revenue Requirement</t>
  </si>
  <si>
    <t xml:space="preserve">   Change in Cumulative Effect on Prior Year Change</t>
  </si>
  <si>
    <t>F0110</t>
  </si>
  <si>
    <t>Schedule 1</t>
  </si>
  <si>
    <t xml:space="preserve">Schedule 1 </t>
  </si>
  <si>
    <t>Schedule 1 line 25</t>
  </si>
  <si>
    <t>Schedule 1 line 31</t>
  </si>
  <si>
    <t>Schedule 1 line 25 plus line 18</t>
  </si>
  <si>
    <t>Schedule 1  Line 17</t>
  </si>
  <si>
    <t>Schedule 1  Line 19</t>
  </si>
  <si>
    <t>Trial Balance</t>
  </si>
  <si>
    <t>Schedule 8 Line 10</t>
  </si>
  <si>
    <t>Schedule 1 Line 13</t>
  </si>
  <si>
    <t>Schedule 1, Line 29</t>
  </si>
  <si>
    <t>OTIER Calculation  - RUS Loan Covenant Requirement        -         1.10</t>
  </si>
  <si>
    <t>DSC Calculation - RUS Loan Covenant Requirement          -        1.25</t>
  </si>
  <si>
    <t>ODSC Calculation - RUS Loan Covenant Requirement             -       1.10</t>
  </si>
  <si>
    <t>TIER Calculation - RUS Loan Covenant Requirement       -         1.25</t>
  </si>
  <si>
    <t>F.)  Sub Total</t>
  </si>
  <si>
    <t>A.)  Depreciation &amp; Amortization</t>
  </si>
  <si>
    <t>C.)  Operating Margins</t>
  </si>
  <si>
    <t>D.)  Non Operating Interest</t>
  </si>
  <si>
    <t>E.)  Other Capital Credits &amp; Patronage Div</t>
  </si>
  <si>
    <t xml:space="preserve">G.)  Invest In Assoc Org - Pat Cap </t>
  </si>
  <si>
    <t>H.)  Invest in Assoc Org - Pat Cap Prior Year</t>
  </si>
  <si>
    <t>I.)   Change in Investment Total</t>
  </si>
  <si>
    <t>J.) Debt Service Payments</t>
  </si>
  <si>
    <t>K. ) MDSC Calculation</t>
  </si>
  <si>
    <t>(F - I) / J</t>
  </si>
  <si>
    <t>VEPPI: Ryegate</t>
  </si>
  <si>
    <t>Schedule 2 Assumptions</t>
  </si>
  <si>
    <t>Less Early Retirement Payout</t>
  </si>
  <si>
    <t>CCEC GENERATION MAINT OF STRUCTURES</t>
  </si>
  <si>
    <t>TRANS-OPER-O/H LINE EXP</t>
  </si>
  <si>
    <t>COST &amp; EXP-MJS-MTL</t>
  </si>
  <si>
    <t>COST &amp; EXP MJS GENERAL</t>
  </si>
  <si>
    <t>A/P - RETAINAGE</t>
  </si>
  <si>
    <t>555.01</t>
  </si>
  <si>
    <t>CWIP - NET METER</t>
  </si>
  <si>
    <t>TRANS EXP-EXTRA MAINT</t>
  </si>
  <si>
    <t xml:space="preserve">TRANS CLEARING - DIGGER </t>
  </si>
  <si>
    <t>538.01 &amp; 539.01</t>
  </si>
  <si>
    <t>563.01 &amp; 563.03</t>
  </si>
  <si>
    <t>DIST MAINT OF OH LINES - ROW</t>
  </si>
  <si>
    <t>CRC Patronage Capital - Equity</t>
  </si>
  <si>
    <t>CRC Retorn of Patronage - Cash</t>
  </si>
  <si>
    <t>CWIP - Net Meter</t>
  </si>
  <si>
    <t>F0105</t>
  </si>
  <si>
    <t>F0115</t>
  </si>
  <si>
    <t>Inc Ded - Donation</t>
  </si>
  <si>
    <t>401(k) (includes admin fee)</t>
  </si>
  <si>
    <t>CCED MAINT GEN &amp; ELECT EQUIP</t>
  </si>
  <si>
    <t>CCED MAINT MISC PWR GEN PLANT</t>
  </si>
  <si>
    <t>FIELD AUDIT-TELE CO &amp; CABLE TV</t>
  </si>
  <si>
    <t>DIST-MAINT OF METERS AT SHOP</t>
  </si>
  <si>
    <t>CWIP - NET METER 2ND INSTALL</t>
  </si>
  <si>
    <t>PAT CAP - CRC</t>
  </si>
  <si>
    <t>OTHER INVESTMENTS - CRC</t>
  </si>
  <si>
    <t>COMM PAPER - CFC GENERAL FUNDS</t>
  </si>
  <si>
    <t>OTHER AR/LIFE &amp; AD/D EMPL CONTR</t>
  </si>
  <si>
    <t>PREPAYMENTS - RET SEC &amp; LIFE</t>
  </si>
  <si>
    <t>PREPAYMENTS - INS - TRAVEL ACCIDENT</t>
  </si>
  <si>
    <t>PREPAYMENTS - LONG TERM DISABILITY</t>
  </si>
  <si>
    <t>PREPAYMENT - HYDRO INS</t>
  </si>
  <si>
    <t>CLEARING EXP - SICK LEAVE</t>
  </si>
  <si>
    <t xml:space="preserve">CLEARING EXP - HOLIDAY </t>
  </si>
  <si>
    <t>TRANS EXP - MISC</t>
  </si>
  <si>
    <t>TAXES ACCR - PROPERTY</t>
  </si>
  <si>
    <t>INTEREST ACCRUED - FFB</t>
  </si>
  <si>
    <t>WARMTH PROGRAM COLL</t>
  </si>
  <si>
    <t>ACCRUED OTHER</t>
  </si>
  <si>
    <t>ACCRUED UNITED WAY</t>
  </si>
  <si>
    <t>ACCRUED OPERATION ROUNDUP</t>
  </si>
  <si>
    <t>OTHER CURRENT LIABILITY</t>
  </si>
  <si>
    <t>CUST ADV FOR CONSTR OTHER</t>
  </si>
  <si>
    <t>NRTC Patronage Capital - Equity</t>
  </si>
  <si>
    <t>TRANSMISSION - ROW</t>
  </si>
  <si>
    <t>S6</t>
  </si>
  <si>
    <t>Schedule</t>
  </si>
  <si>
    <t xml:space="preserve">Inc Ded - Lobbying </t>
  </si>
  <si>
    <r>
      <t xml:space="preserve">FIVE YEAR AVERAGE  </t>
    </r>
    <r>
      <rPr>
        <b/>
        <sz val="10"/>
        <rFont val="Arial"/>
        <family val="2"/>
      </rPr>
      <t>**(1)**</t>
    </r>
  </si>
  <si>
    <t xml:space="preserve">OUT SERV-AUDIT  </t>
  </si>
  <si>
    <t>F0120</t>
  </si>
  <si>
    <t xml:space="preserve">========   </t>
  </si>
  <si>
    <t>Payroll Accrual/Vacancy Factor</t>
  </si>
  <si>
    <t>Interest NCREBS Loan</t>
  </si>
  <si>
    <t xml:space="preserve">Interest FFB loan new  CWP draws  </t>
  </si>
  <si>
    <t>Life Insurance</t>
  </si>
  <si>
    <t>Adjusted Rate Year</t>
  </si>
  <si>
    <t>ProForma Adjustment  (A - B)</t>
  </si>
  <si>
    <t>VEPPI</t>
  </si>
  <si>
    <t xml:space="preserve">RATIO CALCULATION;  </t>
  </si>
  <si>
    <t xml:space="preserve">Firm &amp; Estimated REC sales </t>
  </si>
  <si>
    <t>RENEWABLE ENERGY CREDIT EXP</t>
  </si>
  <si>
    <t>DIST-OPER INSTALL COST NEW X-FORMERS</t>
  </si>
  <si>
    <t>TIER III EXPENSES</t>
  </si>
  <si>
    <t>920.10</t>
  </si>
  <si>
    <t>ADMIN &amp; GEN - MIS SECURITY AUDIT</t>
  </si>
  <si>
    <t>ADMIN - INCLEMENT WEATHER</t>
  </si>
  <si>
    <t>TIER 3 Requirements (non payroll)</t>
  </si>
  <si>
    <t>E.) Debt Service Payments</t>
  </si>
  <si>
    <t>F.) ODSC Calculation</t>
  </si>
  <si>
    <t>CWIP - SPECIAL EQUIP</t>
  </si>
  <si>
    <t>COMM PAPER - CFC DEFERRED REV</t>
  </si>
  <si>
    <t>OTHER AR EE PERSONAL LIFE INS</t>
  </si>
  <si>
    <t>A/P - MISC</t>
  </si>
  <si>
    <t>PAYROLL CLEARING ACCOUNT</t>
  </si>
  <si>
    <t>OTHER REGULATORY LIABILITY</t>
  </si>
  <si>
    <t>OTHER REGULATORY LIABILITY - OATT</t>
  </si>
  <si>
    <t>DIST PLNT/SCADA LOAD CONTROL EQU</t>
  </si>
  <si>
    <t>DIST PLNT/SCADA LOAD CONTROL SOFTWR</t>
  </si>
  <si>
    <t>F0125</t>
  </si>
  <si>
    <t>F0130</t>
  </si>
  <si>
    <t>F0135</t>
  </si>
  <si>
    <t>F0140</t>
  </si>
  <si>
    <t>9035-1</t>
  </si>
  <si>
    <t>2016</t>
  </si>
  <si>
    <t xml:space="preserve">DISTRIBUTION OPERATION - PROPERTY TAXES </t>
  </si>
  <si>
    <t>Other Purch Power</t>
  </si>
  <si>
    <t>OTHER LOBBYING</t>
  </si>
  <si>
    <t>Payroll - Lobbying not recoverable</t>
  </si>
  <si>
    <t>920.04</t>
  </si>
  <si>
    <t>ADMN &amp; GEN-PLANT UNION NEG</t>
  </si>
  <si>
    <t>NSB 2017 CAP CREDIT REFUND ACCT</t>
  </si>
  <si>
    <t>INTEREST ACCRUED - ST</t>
  </si>
  <si>
    <t>CWP begin amortizing 2018-2021</t>
  </si>
  <si>
    <t>F145</t>
  </si>
  <si>
    <t>TRANSMISSION - PROPERTY TAXES (#105)</t>
  </si>
  <si>
    <t>Other Regulatory Asset - Deferred REC revenue</t>
  </si>
  <si>
    <t>Other Regulatory Liability - Open Access Trans Tariff</t>
  </si>
  <si>
    <t>B1)  Velco Dividend Income (Account 419.01)</t>
  </si>
  <si>
    <t>(A + B + B1)</t>
  </si>
  <si>
    <t>(A + B + B1 + C + D) / E</t>
  </si>
  <si>
    <t>Schedule 11  Line 1</t>
  </si>
  <si>
    <t>STORM DAMAGE EXPENSE(Major) -- Non Payroll Related Costs.  Costs have been reduced by FEMA reimbused amounts.</t>
  </si>
  <si>
    <t>All Non Payroll Related Cost</t>
  </si>
  <si>
    <t>Adjustment Calculated from Below</t>
  </si>
  <si>
    <t>2018-2021 CWP</t>
  </si>
  <si>
    <t xml:space="preserve">2018-2021 CWP </t>
  </si>
  <si>
    <t>Billing Units</t>
  </si>
  <si>
    <t>Estimated kwh</t>
  </si>
  <si>
    <t xml:space="preserve">PROPERTY TAX </t>
  </si>
  <si>
    <t>PROPERTY TAX</t>
  </si>
  <si>
    <t>PROPERTY TAXES - WVILLE</t>
  </si>
  <si>
    <t>PROPERTY TAXES - COVENTRY</t>
  </si>
  <si>
    <t>See work are below</t>
  </si>
  <si>
    <t>TOTAL PROPERTY TAX</t>
  </si>
  <si>
    <t>Schedule S14</t>
  </si>
  <si>
    <t>Contracted Audit Fees</t>
  </si>
  <si>
    <t>Gain On Disposition of Property</t>
  </si>
  <si>
    <t>No known sales</t>
  </si>
  <si>
    <t>Amort of Debt Exp CREBs</t>
  </si>
  <si>
    <t>Schedule S8A</t>
  </si>
  <si>
    <t>NA</t>
  </si>
  <si>
    <t>Total Asset</t>
  </si>
  <si>
    <t>Total Liability</t>
  </si>
  <si>
    <t>Amortization Expense - Regulatory Liability</t>
  </si>
  <si>
    <t>Schedule S8A - OATT</t>
  </si>
  <si>
    <t>On Peak Market Purchase</t>
  </si>
  <si>
    <t>Load Energy Charges (Vermont Zone)</t>
  </si>
  <si>
    <t>Load Capacity Charges (FCM)</t>
  </si>
  <si>
    <t>Operating Reserves (NCPC)</t>
  </si>
  <si>
    <t>Winter Reliability Charges</t>
  </si>
  <si>
    <t>VEPPI OATT</t>
  </si>
  <si>
    <t>Metering Adjustment</t>
  </si>
  <si>
    <t>UNCLASSIFIED A/R ADJ</t>
  </si>
  <si>
    <t>Twelve Months</t>
  </si>
  <si>
    <t>920.04 &amp;920.05</t>
  </si>
  <si>
    <t>930.04 &amp; 930.07</t>
  </si>
  <si>
    <t>F150</t>
  </si>
  <si>
    <t>F155</t>
  </si>
  <si>
    <t>F160</t>
  </si>
  <si>
    <t>Deferred REC Revenues</t>
  </si>
  <si>
    <t xml:space="preserve">Total </t>
  </si>
  <si>
    <t>Schedule S8A - Def REC Revenue</t>
  </si>
  <si>
    <t>Estimate 2019 Taxes</t>
  </si>
  <si>
    <t>Transco Dividends (Non Utility Operations)</t>
  </si>
  <si>
    <t xml:space="preserve">    Change in Power Production</t>
  </si>
  <si>
    <t xml:space="preserve">    Change in Purchased Power </t>
  </si>
  <si>
    <t xml:space="preserve">   Change in Capital Credits</t>
  </si>
  <si>
    <t>ADMIN &amp; GEN - UNION NEGOTIATIONS (Non Payroll)</t>
  </si>
  <si>
    <t>Next Negotiation 2020</t>
  </si>
  <si>
    <t>Expense Labor</t>
  </si>
  <si>
    <t>Capitalized Labor</t>
  </si>
  <si>
    <t>Overheads/Benefits</t>
  </si>
  <si>
    <t>Total Payroll</t>
  </si>
  <si>
    <t>Expense %</t>
  </si>
  <si>
    <t>Capital %</t>
  </si>
  <si>
    <t>Adj Test Year</t>
  </si>
  <si>
    <t>Five Year Average</t>
  </si>
  <si>
    <t>Total Test Year</t>
  </si>
  <si>
    <t>Revenues</t>
  </si>
  <si>
    <t>REG EXP - IRP (non payroll)</t>
  </si>
  <si>
    <t>Five Year Average Increase</t>
  </si>
  <si>
    <t>Open Access Trans Tariff Revs (OATT) as of July 1 2018</t>
  </si>
  <si>
    <t>2018 Deferred OATT Revenue (January 2018 - June 2018)</t>
  </si>
  <si>
    <t xml:space="preserve">      Total Deferred OATT Revenue</t>
  </si>
  <si>
    <t>2017 Deferred OATT Revenue (August 2017 - December 2017)</t>
  </si>
  <si>
    <t>Total OATT Revenues</t>
  </si>
  <si>
    <t>**used 5 year average instead</t>
  </si>
  <si>
    <t>VELCO Service Fees</t>
  </si>
  <si>
    <t>VELCO Market Settlement (VELCO Services)</t>
  </si>
  <si>
    <t>NSB 2019 CAP CREDIT REFUND ACCT</t>
  </si>
  <si>
    <t>CUST DEP - ENG FEE</t>
  </si>
  <si>
    <t>HYDRO HYDRAULIC EXP</t>
  </si>
  <si>
    <t>OTHER PURCH POWER - CONSULTING</t>
  </si>
  <si>
    <t>TRANS-MAINT OH LINES</t>
  </si>
  <si>
    <t>EMS MONITOR AND EVAL</t>
  </si>
  <si>
    <t>Equity % on 8/31/19</t>
  </si>
  <si>
    <t>2020 Projection</t>
  </si>
  <si>
    <t>5-8</t>
  </si>
  <si>
    <t>5-9</t>
  </si>
  <si>
    <t>5-10</t>
  </si>
  <si>
    <t>Sept 1, 2018 -  Dec 31, 2018</t>
  </si>
  <si>
    <t>Loss on Disp of Property</t>
  </si>
  <si>
    <t>Wrightsville</t>
  </si>
  <si>
    <t>Coventry</t>
  </si>
  <si>
    <t>400 Watt HPS</t>
  </si>
  <si>
    <t>100 Watt HPS</t>
  </si>
  <si>
    <t>30-40 Watt LED</t>
  </si>
  <si>
    <t>40-50 Watt LED</t>
  </si>
  <si>
    <t>50-60 Watt LED</t>
  </si>
  <si>
    <t>60-70 Watt LED</t>
  </si>
  <si>
    <t>Net Meter Adjustments</t>
  </si>
  <si>
    <t xml:space="preserve">  Net Meter Adjustments</t>
  </si>
  <si>
    <t>Calendar Year</t>
  </si>
  <si>
    <t>Lobbying</t>
  </si>
  <si>
    <t>557.01, 03, 04</t>
  </si>
  <si>
    <t xml:space="preserve">  Kilowatt Hours Estimated</t>
  </si>
  <si>
    <t xml:space="preserve">Consultant for IRP </t>
  </si>
  <si>
    <t>Net Meter Impacts</t>
  </si>
  <si>
    <t>VELCO Tariff Allocation (ISO Misc)</t>
  </si>
  <si>
    <t xml:space="preserve">   </t>
  </si>
  <si>
    <t>Year</t>
  </si>
  <si>
    <t>Number Members</t>
  </si>
  <si>
    <t>Installed kW</t>
  </si>
  <si>
    <t>Cumulative (kW)</t>
  </si>
  <si>
    <t>Pre 2017 (Legacy)</t>
  </si>
  <si>
    <t>Gross Cumulative</t>
  </si>
  <si>
    <t>Aged Cumulative</t>
  </si>
  <si>
    <t>Days</t>
  </si>
  <si>
    <t>KW installed in Test Year</t>
  </si>
  <si>
    <t>kWh in TY ===&gt;</t>
  </si>
  <si>
    <t>Adjustment to Rate Year (kWh from all TY kW)</t>
  </si>
  <si>
    <t>New Rate Year KW (assume same pace as TY</t>
  </si>
  <si>
    <t>Total KWh Adjustment to RY</t>
  </si>
  <si>
    <t>Avoided Retail Rate</t>
  </si>
  <si>
    <t>Reduction in Revenue gross</t>
  </si>
  <si>
    <t>Total Members</t>
  </si>
  <si>
    <t>Monthly Customer Charge Revenue</t>
  </si>
  <si>
    <t>Net Effect</t>
  </si>
  <si>
    <t>Losses</t>
  </si>
  <si>
    <t>NM Load Adjustment w/Losses</t>
  </si>
  <si>
    <t>LOSS OF LOAD/NET METER</t>
  </si>
  <si>
    <t xml:space="preserve">   Loss of Load/Net Meter</t>
  </si>
  <si>
    <t>SCHEDULE 16</t>
  </si>
  <si>
    <t>Net Metering</t>
  </si>
  <si>
    <t>HYDRO OPER-SUPER &amp; ENG</t>
  </si>
  <si>
    <t>TRANS-MAINT OH STRUCT</t>
  </si>
  <si>
    <t>ALLOC OF INS,,BENE,ETC</t>
  </si>
  <si>
    <t>EE BENE 401K CONTRIB</t>
  </si>
  <si>
    <t>MISC MANAGER SEARCH</t>
  </si>
  <si>
    <t>PAYROLL CHECKING NSB</t>
  </si>
  <si>
    <t>NSB 2022 CAP CREDIT REFUND ACCT</t>
  </si>
  <si>
    <t>OTH SPEC FUNDS</t>
  </si>
  <si>
    <t>MISC AR EMP PR WAGE ASSIGNMENT</t>
  </si>
  <si>
    <t>MISC AR INET SERV PROVIDER</t>
  </si>
  <si>
    <t>OTH AR EMPL CONT 401K</t>
  </si>
  <si>
    <t>PSI CHRGS 2000 RATE CASE</t>
  </si>
  <si>
    <t>TAXES ACCR FICA EMPLOYER</t>
  </si>
  <si>
    <t>TAX COLL PAY FEDERAL INCOME</t>
  </si>
  <si>
    <t>TAX COLL PAY  FICA</t>
  </si>
  <si>
    <t>TAX COLL PAY VT</t>
  </si>
  <si>
    <t>DEF CREDITS ANNUAL MEETING</t>
  </si>
  <si>
    <t>TEST YEAR:  July 1, 2021 - June 30, 2022</t>
  </si>
  <si>
    <t>HYDRO OPER SUPER &amp; ENG</t>
  </si>
  <si>
    <t>TRANS-MAINT STRUCT</t>
  </si>
  <si>
    <t>DIST-MISC EXP CUD BROADBAND ASSIST</t>
  </si>
  <si>
    <t>6-5</t>
  </si>
  <si>
    <t>6-4</t>
  </si>
  <si>
    <t>6-3</t>
  </si>
  <si>
    <t>6-2</t>
  </si>
  <si>
    <t>6-1</t>
  </si>
  <si>
    <t>5-11</t>
  </si>
  <si>
    <t>6/30/22 Balance</t>
  </si>
  <si>
    <t>A.  Depreciation Expense on 6/30/2022</t>
  </si>
  <si>
    <t>Asset Value 6/30/22</t>
  </si>
  <si>
    <t>Equity on 6/30/22</t>
  </si>
  <si>
    <t>11/1/22-10/31/23</t>
  </si>
  <si>
    <t>Adjustment</t>
  </si>
  <si>
    <t>7/1/21 - 6/30/22</t>
  </si>
  <si>
    <t>7/1/22 - 12/31/22</t>
  </si>
  <si>
    <t>2023</t>
  </si>
  <si>
    <t>Input cells</t>
  </si>
  <si>
    <t>July 1 2021 - December 31, 2021</t>
  </si>
  <si>
    <t>January 1, 2022 - June 30, 2022</t>
  </si>
  <si>
    <t>ADJUSTED Rate YEAR:  Nov 1, 2021 - Oct 31, 2022</t>
  </si>
  <si>
    <t xml:space="preserve">  </t>
  </si>
  <si>
    <t>Ending 6/30/22</t>
  </si>
  <si>
    <t>thru Dec 2021 VT Transco LLC Investment</t>
  </si>
  <si>
    <t xml:space="preserve">11/1/22 - 10/31/23                         Adjusted Rate Year </t>
  </si>
  <si>
    <t xml:space="preserve">7/1/21 -6/30/22                                            Test Year    </t>
  </si>
  <si>
    <t>mWh</t>
  </si>
  <si>
    <t>HQUS contract</t>
  </si>
  <si>
    <t>REC purchases</t>
  </si>
  <si>
    <t>Regulation services</t>
  </si>
  <si>
    <t>Marginal loss revenue</t>
  </si>
  <si>
    <t>vTA refund</t>
  </si>
  <si>
    <t>Marginal loss revenues</t>
  </si>
  <si>
    <t>VPPSA fees</t>
  </si>
  <si>
    <t>Power plan exp</t>
  </si>
  <si>
    <t>WEC labor</t>
  </si>
  <si>
    <t>Phone lines to subs</t>
  </si>
  <si>
    <t>GMP bills Graniteville</t>
  </si>
  <si>
    <t>GIS costs</t>
  </si>
  <si>
    <t>ISONE self fund</t>
  </si>
  <si>
    <t>Deferred Revenue</t>
  </si>
  <si>
    <t>from</t>
  </si>
  <si>
    <t>to</t>
  </si>
  <si>
    <t># DAYS</t>
  </si>
  <si>
    <t>TEST year</t>
  </si>
  <si>
    <t>RATE year</t>
  </si>
  <si>
    <t>kw AC</t>
  </si>
  <si>
    <t>S/C $</t>
  </si>
  <si>
    <t>kw installed in TEST YEAR</t>
  </si>
  <si>
    <t>kwh in TEST YEAR</t>
  </si>
  <si>
    <t>New RATE YEAR KW/same pace</t>
  </si>
  <si>
    <t>total kwh adjustment to RATE YEAR</t>
  </si>
  <si>
    <t>REDUCTION REV gross</t>
  </si>
  <si>
    <t>losses</t>
  </si>
  <si>
    <t>Bill Powell Provided this Calc</t>
  </si>
  <si>
    <t>Approved Rates</t>
  </si>
  <si>
    <t>test year modified for phase-in</t>
  </si>
  <si>
    <t>Rate Year Projected = 2021 * 5 yr avg % Increase</t>
  </si>
  <si>
    <t>PPP Grant Amortization</t>
  </si>
  <si>
    <t>2022 Calendar Year TIER 3 filing</t>
  </si>
  <si>
    <t>2022 Current bills coming in less than 2021.  Include reduction</t>
  </si>
  <si>
    <t>in 5 year average</t>
  </si>
  <si>
    <t>CCEC taxes estimated high at beg</t>
  </si>
  <si>
    <t>of 2021/no expense recognized Sept</t>
  </si>
  <si>
    <t xml:space="preserve">   Rate Increase effective 11/1/2022</t>
  </si>
  <si>
    <t>Included Below</t>
  </si>
  <si>
    <t>Included below</t>
  </si>
  <si>
    <t>Rate Year Projection</t>
  </si>
  <si>
    <t>Broadband/AMI Smart Grid Projects</t>
  </si>
  <si>
    <t>Coventry 2022 Tax Invoice</t>
  </si>
  <si>
    <t>Plant in Service as of 6/30/22 depreciates on 5/31/2022</t>
  </si>
  <si>
    <t xml:space="preserve">Rate Adjustment effective 7/1/2022 effect on Test Year Revenue.  This amount estimates revenues that would be earned in the rate year. </t>
  </si>
  <si>
    <t>LOAD FORECAST</t>
  </si>
  <si>
    <t>November 1, 2022 - October 31, 2023</t>
  </si>
  <si>
    <t>MDSC Calculation - National Rural Utilities Cooperative Finance Corp (CFC) Loan Covenant  Requirement        -      1.35</t>
  </si>
  <si>
    <t>S2 Tab</t>
  </si>
  <si>
    <t>S3 Tab</t>
  </si>
  <si>
    <t>S4 Tab</t>
  </si>
  <si>
    <t>S5 Tab</t>
  </si>
  <si>
    <t>S6 Tab</t>
  </si>
  <si>
    <t>S8 Tab</t>
  </si>
  <si>
    <t>line 33 below</t>
  </si>
  <si>
    <t>S9 Tab</t>
  </si>
  <si>
    <t>S11 Tab</t>
  </si>
  <si>
    <t>S10 Tab</t>
  </si>
  <si>
    <t>S16 Tab</t>
  </si>
  <si>
    <t>S17 Tab</t>
  </si>
  <si>
    <t>S12 Tab</t>
  </si>
  <si>
    <t>S15 Tab</t>
  </si>
  <si>
    <t>to Dec of 2021 in test year</t>
  </si>
  <si>
    <t>omit 2018 costs of $769,949 as they were highly unusual</t>
  </si>
  <si>
    <t>of test year ratio.</t>
  </si>
  <si>
    <t>Used 5 year Avg</t>
  </si>
  <si>
    <t>OATT per rates effective 11/1/2022</t>
  </si>
  <si>
    <t>See Four Year Avg Calculation Below</t>
  </si>
  <si>
    <t>EXHIBIT: WEC - 1- NATIVE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</si>
</sst>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0"/>
    <numFmt numFmtId="166" formatCode="#,##0.0000"/>
    <numFmt numFmtId="167" formatCode="[$-409]mmm\-yy;@"/>
    <numFmt numFmtId="168" formatCode="&quot;$&quot;#,##0.00"/>
    <numFmt numFmtId="169" formatCode="0.00_);[Red]\(0.00\)"/>
    <numFmt numFmtId="170" formatCode="[$$-409]#,##0"/>
    <numFmt numFmtId="171" formatCode="[$$-409]#,##0_);\([$$-409]#,##0\)"/>
    <numFmt numFmtId="172" formatCode="_(* #,##0_);_(* \(#,##0\);_(* &quot;-&quot;??_);_(@_)"/>
    <numFmt numFmtId="173" formatCode="_(&quot;$&quot;* #,##0_);_(&quot;$&quot;* \(#,##0\);_(&quot;$&quot;* &quot;-&quot;??_);_(@_)"/>
    <numFmt numFmtId="174" formatCode="0.000%"/>
    <numFmt numFmtId="175" formatCode="_(&quot;$&quot;* #,##0.0000_);_(&quot;$&quot;* \(#,##0.0000\);_(&quot;$&quot;* &quot;-&quot;??_);_(@_)"/>
    <numFmt numFmtId="176" formatCode="&quot;$&quot;#,##0.0000_);[Red]\(&quot;$&quot;#,##0.0000\)"/>
    <numFmt numFmtId="177" formatCode="0.0000%"/>
    <numFmt numFmtId="178" formatCode="#,##0.0000_);\(#,##0.0000\)"/>
    <numFmt numFmtId="179" formatCode="[$$-409]#,##0.00"/>
    <numFmt numFmtId="180" formatCode="&quot;$&quot;#,##0.00000"/>
    <numFmt numFmtId="181" formatCode="&quot;$&quot;#,##0.0000"/>
    <numFmt numFmtId="182" formatCode="&quot;$&quot;#,##0.000000"/>
    <numFmt numFmtId="183" formatCode="&quot;$&quot;#,##0.000_);\(&quot;$&quot;#,##0.000\)"/>
    <numFmt numFmtId="184" formatCode="&quot;$&quot;#,##0"/>
    <numFmt numFmtId="185" formatCode="0.000"/>
    <numFmt numFmtId="186" formatCode="_(&quot;$&quot;* #,##0.00000_);_(&quot;$&quot;* \(#,##0.00000\);_(&quot;$&quot;* &quot;-&quot;??_);_(@_)"/>
    <numFmt numFmtId="187" formatCode="[$-409]dd\-mmm\-yy;@"/>
    <numFmt numFmtId="188" formatCode="[$-409]mmmm\-yy;@"/>
    <numFmt numFmtId="189" formatCode="0_);\(0\)"/>
    <numFmt numFmtId="190" formatCode="#,##0.00000"/>
  </numFmts>
  <fonts count="12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name val="Helv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u val="singleAccounting"/>
      <sz val="10"/>
      <color rgb="FFFF0000"/>
      <name val="Arial"/>
      <family val="2"/>
    </font>
    <font>
      <u val="doubleAccounting"/>
      <sz val="10"/>
      <color rgb="FFFF0000"/>
      <name val="Arial"/>
      <family val="2"/>
    </font>
    <font>
      <b/>
      <u val="doubleAccounting"/>
      <sz val="10"/>
      <color rgb="FFFF0000"/>
      <name val="Arial"/>
      <family val="2"/>
    </font>
    <font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sz val="10"/>
      <color indexed="0"/>
      <name val="Arial"/>
      <family val="2"/>
    </font>
    <font>
      <sz val="9"/>
      <name val="Times New Roman"/>
      <family val="1"/>
    </font>
    <font>
      <sz val="11"/>
      <color rgb="FFFF0000"/>
      <name val="Arial"/>
      <family val="2"/>
    </font>
    <font>
      <u/>
      <sz val="14"/>
      <color rgb="FFFF0000"/>
      <name val="Arial"/>
      <family val="2"/>
    </font>
    <font>
      <sz val="10"/>
      <color indexed="0"/>
      <name val="Arial"/>
      <family val="2"/>
    </font>
    <font>
      <b/>
      <sz val="10"/>
      <color theme="1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2"/>
      <color theme="0"/>
      <name val="Arial"/>
      <family val="2"/>
    </font>
    <font>
      <b/>
      <u/>
      <sz val="12"/>
      <color rgb="FFFF0000"/>
      <name val="Arial"/>
      <family val="2"/>
    </font>
    <font>
      <u val="double"/>
      <sz val="10"/>
      <color rgb="FFFF0000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u val="double"/>
      <sz val="10"/>
      <name val="Arial"/>
      <family val="2"/>
    </font>
    <font>
      <b/>
      <u val="singleAccounting"/>
      <sz val="10"/>
      <name val="Arial"/>
      <family val="2"/>
    </font>
    <font>
      <sz val="13"/>
      <name val="Arial"/>
      <family val="2"/>
    </font>
    <font>
      <u/>
      <sz val="14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</fills>
  <borders count="67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">
    <xf numFmtId="0" fontId="0" fillId="0" borderId="0">
      <alignment vertical="top"/>
    </xf>
    <xf numFmtId="4" fontId="23" fillId="2" borderId="0" applyProtection="0"/>
    <xf numFmtId="43" fontId="47" fillId="0" borderId="0" applyFont="0" applyFill="0" applyBorder="0" applyAlignment="0" applyProtection="0"/>
    <xf numFmtId="4" fontId="45" fillId="2" borderId="0" applyProtection="0"/>
    <xf numFmtId="4" fontId="18" fillId="2" borderId="0" applyProtection="0"/>
    <xf numFmtId="43" fontId="23" fillId="0" borderId="0" applyFont="0" applyFill="0" applyBorder="0" applyAlignment="0" applyProtection="0"/>
    <xf numFmtId="3" fontId="12" fillId="2" borderId="0"/>
    <xf numFmtId="3" fontId="44" fillId="2" borderId="0"/>
    <xf numFmtId="7" fontId="23" fillId="2" borderId="0" applyProtection="0"/>
    <xf numFmtId="44" fontId="47" fillId="0" borderId="0" applyFont="0" applyFill="0" applyBorder="0" applyAlignment="0" applyProtection="0"/>
    <xf numFmtId="7" fontId="45" fillId="2" borderId="0" applyProtection="0"/>
    <xf numFmtId="7" fontId="18" fillId="2" borderId="0" applyProtection="0"/>
    <xf numFmtId="44" fontId="13" fillId="0" borderId="0" applyFont="0" applyFill="0" applyBorder="0" applyAlignment="0" applyProtection="0"/>
    <xf numFmtId="5" fontId="12" fillId="2" borderId="0"/>
    <xf numFmtId="5" fontId="44" fillId="2" borderId="0"/>
    <xf numFmtId="0" fontId="23" fillId="2" borderId="0" applyProtection="0"/>
    <xf numFmtId="0" fontId="45" fillId="2" borderId="0" applyProtection="0"/>
    <xf numFmtId="0" fontId="18" fillId="2" borderId="0" applyProtection="0"/>
    <xf numFmtId="2" fontId="23" fillId="2" borderId="0" applyProtection="0"/>
    <xf numFmtId="2" fontId="45" fillId="2" borderId="0" applyProtection="0"/>
    <xf numFmtId="2" fontId="18" fillId="2" borderId="0" applyProtection="0"/>
    <xf numFmtId="0" fontId="23" fillId="2" borderId="0" applyNumberFormat="0" applyFont="0" applyFill="0" applyBorder="0" applyAlignment="0" applyProtection="0"/>
    <xf numFmtId="0" fontId="45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1" fillId="2" borderId="0" applyProtection="0"/>
    <xf numFmtId="0" fontId="25" fillId="2" borderId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7" fillId="0" borderId="0"/>
    <xf numFmtId="0" fontId="18" fillId="0" borderId="0">
      <alignment vertical="top"/>
    </xf>
    <xf numFmtId="0" fontId="23" fillId="0" borderId="0"/>
    <xf numFmtId="10" fontId="23" fillId="2" borderId="0" applyProtection="0"/>
    <xf numFmtId="10" fontId="45" fillId="2" borderId="0" applyProtection="0"/>
    <xf numFmtId="10" fontId="18" fillId="2" borderId="0" applyProtection="0"/>
    <xf numFmtId="0" fontId="23" fillId="2" borderId="1" applyProtection="0"/>
    <xf numFmtId="0" fontId="45" fillId="2" borderId="1" applyProtection="0"/>
    <xf numFmtId="0" fontId="18" fillId="2" borderId="1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/>
    <xf numFmtId="0" fontId="9" fillId="0" borderId="0"/>
    <xf numFmtId="44" fontId="9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8" fillId="0" borderId="0"/>
    <xf numFmtId="44" fontId="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9" fontId="67" fillId="0" borderId="0" applyFont="0" applyFill="0" applyBorder="0" applyAlignment="0" applyProtection="0"/>
    <xf numFmtId="0" fontId="6" fillId="0" borderId="0"/>
    <xf numFmtId="0" fontId="6" fillId="0" borderId="0"/>
    <xf numFmtId="0" fontId="68" fillId="0" borderId="0" applyNumberFormat="0" applyFill="0" applyBorder="0" applyAlignment="0" applyProtection="0"/>
    <xf numFmtId="0" fontId="69" fillId="0" borderId="49" applyNumberFormat="0" applyFill="0" applyAlignment="0" applyProtection="0"/>
    <xf numFmtId="0" fontId="70" fillId="0" borderId="50" applyNumberFormat="0" applyFill="0" applyAlignment="0" applyProtection="0"/>
    <xf numFmtId="0" fontId="71" fillId="0" borderId="51" applyNumberFormat="0" applyFill="0" applyAlignment="0" applyProtection="0"/>
    <xf numFmtId="0" fontId="71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3" fillId="14" borderId="0" applyNumberFormat="0" applyBorder="0" applyAlignment="0" applyProtection="0"/>
    <xf numFmtId="0" fontId="74" fillId="15" borderId="0" applyNumberFormat="0" applyBorder="0" applyAlignment="0" applyProtection="0"/>
    <xf numFmtId="0" fontId="75" fillId="16" borderId="52" applyNumberFormat="0" applyAlignment="0" applyProtection="0"/>
    <xf numFmtId="0" fontId="76" fillId="17" borderId="53" applyNumberFormat="0" applyAlignment="0" applyProtection="0"/>
    <xf numFmtId="0" fontId="77" fillId="17" borderId="52" applyNumberFormat="0" applyAlignment="0" applyProtection="0"/>
    <xf numFmtId="0" fontId="78" fillId="0" borderId="54" applyNumberFormat="0" applyFill="0" applyAlignment="0" applyProtection="0"/>
    <xf numFmtId="0" fontId="79" fillId="18" borderId="55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2" fillId="43" borderId="0" applyNumberFormat="0" applyBorder="0" applyAlignment="0" applyProtection="0"/>
    <xf numFmtId="0" fontId="18" fillId="0" borderId="0">
      <alignment vertical="top"/>
    </xf>
    <xf numFmtId="0" fontId="18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9" borderId="56" applyNumberFormat="0" applyFont="0" applyAlignment="0" applyProtection="0"/>
    <xf numFmtId="0" fontId="84" fillId="0" borderId="57" applyNumberFormat="0" applyFill="0" applyAlignment="0" applyProtection="0"/>
    <xf numFmtId="0" fontId="83" fillId="0" borderId="0"/>
    <xf numFmtId="43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6" borderId="0" applyNumberFormat="0" applyBorder="0" applyAlignment="0" applyProtection="0"/>
    <xf numFmtId="0" fontId="85" fillId="46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5" fillId="26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0" borderId="0" applyNumberFormat="0" applyBorder="0" applyAlignment="0" applyProtection="0"/>
    <xf numFmtId="0" fontId="86" fillId="49" borderId="0" applyNumberFormat="0" applyBorder="0" applyAlignment="0" applyProtection="0"/>
    <xf numFmtId="0" fontId="86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1" borderId="0" applyNumberFormat="0" applyBorder="0" applyAlignment="0" applyProtection="0"/>
    <xf numFmtId="0" fontId="86" fillId="49" borderId="0" applyNumberFormat="0" applyBorder="0" applyAlignment="0" applyProtection="0"/>
    <xf numFmtId="0" fontId="82" fillId="40" borderId="0" applyNumberFormat="0" applyBorder="0" applyAlignment="0" applyProtection="0"/>
    <xf numFmtId="0" fontId="86" fillId="52" borderId="0" applyNumberFormat="0" applyBorder="0" applyAlignment="0" applyProtection="0"/>
    <xf numFmtId="0" fontId="73" fillId="14" borderId="0" applyNumberFormat="0" applyBorder="0" applyAlignment="0" applyProtection="0"/>
    <xf numFmtId="0" fontId="87" fillId="53" borderId="0" applyNumberFormat="0" applyBorder="0" applyAlignment="0" applyProtection="0"/>
    <xf numFmtId="0" fontId="88" fillId="54" borderId="59" applyNumberFormat="0" applyAlignment="0" applyProtection="0"/>
    <xf numFmtId="0" fontId="89" fillId="55" borderId="6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90" fillId="0" borderId="0" applyNumberFormat="0" applyFill="0" applyBorder="0" applyAlignment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0" fontId="72" fillId="13" borderId="0" applyNumberFormat="0" applyBorder="0" applyAlignment="0" applyProtection="0"/>
    <xf numFmtId="0" fontId="91" fillId="56" borderId="0" applyNumberFormat="0" applyBorder="0" applyAlignment="0" applyProtection="0"/>
    <xf numFmtId="0" fontId="92" fillId="0" borderId="61" applyNumberFormat="0" applyFill="0" applyAlignment="0" applyProtection="0"/>
    <xf numFmtId="0" fontId="93" fillId="0" borderId="62" applyNumberFormat="0" applyFill="0" applyAlignment="0" applyProtection="0"/>
    <xf numFmtId="0" fontId="94" fillId="0" borderId="63" applyNumberFormat="0" applyFill="0" applyAlignment="0" applyProtection="0"/>
    <xf numFmtId="0" fontId="94" fillId="0" borderId="0" applyNumberForma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95" fillId="47" borderId="59" applyNumberFormat="0" applyAlignment="0" applyProtection="0"/>
    <xf numFmtId="0" fontId="96" fillId="0" borderId="64" applyNumberFormat="0" applyFill="0" applyAlignment="0" applyProtection="0"/>
    <xf numFmtId="0" fontId="74" fillId="15" borderId="0" applyNumberFormat="0" applyBorder="0" applyAlignment="0" applyProtection="0"/>
    <xf numFmtId="0" fontId="97" fillId="57" borderId="0" applyNumberFormat="0" applyBorder="0" applyAlignment="0" applyProtection="0"/>
    <xf numFmtId="0" fontId="13" fillId="0" borderId="0"/>
    <xf numFmtId="0" fontId="13" fillId="0" borderId="0"/>
    <xf numFmtId="0" fontId="83" fillId="0" borderId="0"/>
    <xf numFmtId="0" fontId="83" fillId="0" borderId="0"/>
    <xf numFmtId="0" fontId="5" fillId="0" borderId="0"/>
    <xf numFmtId="0" fontId="46" fillId="0" borderId="0"/>
    <xf numFmtId="0" fontId="83" fillId="0" borderId="0"/>
    <xf numFmtId="0" fontId="18" fillId="0" borderId="0"/>
    <xf numFmtId="0" fontId="83" fillId="0" borderId="0"/>
    <xf numFmtId="0" fontId="83" fillId="0" borderId="0"/>
    <xf numFmtId="0" fontId="5" fillId="0" borderId="0"/>
    <xf numFmtId="0" fontId="13" fillId="0" borderId="0"/>
    <xf numFmtId="0" fontId="61" fillId="0" borderId="0"/>
    <xf numFmtId="0" fontId="18" fillId="0" borderId="0"/>
    <xf numFmtId="0" fontId="18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58" borderId="58" applyNumberFormat="0" applyFont="0" applyAlignment="0" applyProtection="0"/>
    <xf numFmtId="0" fontId="98" fillId="54" borderId="6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3" fillId="0" borderId="0" applyNumberFormat="0" applyBorder="0" applyAlignment="0"/>
    <xf numFmtId="0" fontId="83" fillId="0" borderId="0" applyNumberFormat="0" applyBorder="0" applyAlignment="0"/>
    <xf numFmtId="0" fontId="99" fillId="0" borderId="0" applyNumberFormat="0" applyFill="0" applyBorder="0" applyAlignment="0" applyProtection="0"/>
    <xf numFmtId="0" fontId="100" fillId="0" borderId="66" applyNumberFormat="0" applyFill="0" applyAlignment="0" applyProtection="0"/>
    <xf numFmtId="0" fontId="101" fillId="0" borderId="0" applyNumberFormat="0" applyFill="0" applyBorder="0" applyAlignment="0" applyProtection="0"/>
    <xf numFmtId="0" fontId="18" fillId="0" borderId="0">
      <alignment vertical="top"/>
    </xf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>
      <alignment vertical="top"/>
    </xf>
    <xf numFmtId="43" fontId="1" fillId="0" borderId="0" applyFont="0" applyFill="0" applyBorder="0" applyAlignment="0" applyProtection="0"/>
    <xf numFmtId="4" fontId="18" fillId="2" borderId="0" applyProtection="0"/>
    <xf numFmtId="3" fontId="12" fillId="2" borderId="0"/>
    <xf numFmtId="44" fontId="1" fillId="0" borderId="0" applyFont="0" applyFill="0" applyBorder="0" applyAlignment="0" applyProtection="0"/>
    <xf numFmtId="7" fontId="18" fillId="2" borderId="0" applyProtection="0"/>
    <xf numFmtId="5" fontId="12" fillId="2" borderId="0"/>
    <xf numFmtId="0" fontId="11" fillId="2" borderId="0" applyProtection="0"/>
    <xf numFmtId="0" fontId="1" fillId="0" borderId="0"/>
    <xf numFmtId="10" fontId="18" fillId="2" borderId="0" applyProtection="0"/>
    <xf numFmtId="0" fontId="18" fillId="2" borderId="1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9" borderId="56" applyNumberFormat="0" applyFont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2">
    <xf numFmtId="0" fontId="0" fillId="2" borderId="0" xfId="0" applyFill="1" applyAlignment="1"/>
    <xf numFmtId="0" fontId="14" fillId="3" borderId="0" xfId="0" applyFont="1" applyFill="1" applyBorder="1" applyAlignment="1"/>
    <xf numFmtId="0" fontId="12" fillId="3" borderId="0" xfId="0" applyFont="1" applyFill="1" applyBorder="1" applyAlignment="1"/>
    <xf numFmtId="5" fontId="12" fillId="3" borderId="0" xfId="0" applyNumberFormat="1" applyFont="1" applyFill="1" applyBorder="1" applyAlignment="1"/>
    <xf numFmtId="0" fontId="14" fillId="4" borderId="0" xfId="0" applyFont="1" applyFill="1" applyBorder="1" applyAlignment="1"/>
    <xf numFmtId="0" fontId="14" fillId="3" borderId="0" xfId="0" applyFont="1" applyFill="1" applyAlignment="1"/>
    <xf numFmtId="0" fontId="12" fillId="4" borderId="0" xfId="0" applyFont="1" applyFill="1" applyBorder="1" applyAlignment="1"/>
    <xf numFmtId="3" fontId="12" fillId="3" borderId="0" xfId="0" applyNumberFormat="1" applyFont="1" applyFill="1" applyBorder="1" applyAlignment="1"/>
    <xf numFmtId="0" fontId="0" fillId="3" borderId="0" xfId="0" applyFill="1" applyAlignment="1"/>
    <xf numFmtId="0" fontId="12" fillId="3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center"/>
    </xf>
    <xf numFmtId="3" fontId="12" fillId="3" borderId="0" xfId="6" applyFill="1"/>
    <xf numFmtId="5" fontId="12" fillId="3" borderId="0" xfId="13" applyFill="1"/>
    <xf numFmtId="3" fontId="14" fillId="3" borderId="0" xfId="0" applyNumberFormat="1" applyFont="1" applyFill="1" applyBorder="1" applyAlignment="1"/>
    <xf numFmtId="3" fontId="12" fillId="4" borderId="0" xfId="0" applyNumberFormat="1" applyFont="1" applyFill="1" applyBorder="1" applyAlignment="1"/>
    <xf numFmtId="0" fontId="12" fillId="3" borderId="0" xfId="0" applyNumberFormat="1" applyFont="1" applyFill="1" applyBorder="1" applyAlignment="1"/>
    <xf numFmtId="0" fontId="0" fillId="0" borderId="0" xfId="0" applyFill="1" applyAlignment="1"/>
    <xf numFmtId="0" fontId="18" fillId="0" borderId="0" xfId="0" applyFont="1" applyFill="1" applyAlignment="1"/>
    <xf numFmtId="5" fontId="14" fillId="0" borderId="0" xfId="0" applyNumberFormat="1" applyFont="1" applyFill="1" applyBorder="1" applyAlignment="1"/>
    <xf numFmtId="0" fontId="18" fillId="0" borderId="2" xfId="0" applyFont="1" applyFill="1" applyBorder="1" applyAlignment="1"/>
    <xf numFmtId="0" fontId="18" fillId="0" borderId="0" xfId="0" applyFont="1" applyFill="1" applyBorder="1" applyAlignment="1"/>
    <xf numFmtId="5" fontId="18" fillId="0" borderId="0" xfId="0" applyNumberFormat="1" applyFont="1" applyFill="1" applyBorder="1" applyAlignment="1"/>
    <xf numFmtId="0" fontId="18" fillId="0" borderId="3" xfId="0" applyFont="1" applyFill="1" applyBorder="1" applyAlignment="1"/>
    <xf numFmtId="0" fontId="18" fillId="0" borderId="0" xfId="0" applyFont="1" applyFill="1" applyBorder="1" applyAlignment="1">
      <alignment horizontal="center"/>
    </xf>
    <xf numFmtId="3" fontId="18" fillId="0" borderId="2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/>
    <xf numFmtId="0" fontId="14" fillId="0" borderId="0" xfId="0" applyFont="1" applyFill="1" applyAlignment="1"/>
    <xf numFmtId="3" fontId="14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9" fontId="14" fillId="0" borderId="0" xfId="0" applyNumberFormat="1" applyFont="1" applyFill="1" applyBorder="1" applyAlignment="1">
      <alignment horizontal="center"/>
    </xf>
    <xf numFmtId="0" fontId="14" fillId="0" borderId="0" xfId="6" applyNumberFormat="1" applyFont="1" applyFill="1"/>
    <xf numFmtId="0" fontId="13" fillId="0" borderId="0" xfId="0" applyFont="1" applyFill="1" applyAlignment="1"/>
    <xf numFmtId="0" fontId="18" fillId="0" borderId="0" xfId="0" applyFont="1" applyFill="1" applyBorder="1" applyAlignment="1">
      <alignment horizontal="left"/>
    </xf>
    <xf numFmtId="0" fontId="13" fillId="3" borderId="0" xfId="0" applyFont="1" applyFill="1" applyAlignment="1"/>
    <xf numFmtId="0" fontId="18" fillId="0" borderId="5" xfId="0" applyFont="1" applyFill="1" applyBorder="1" applyAlignment="1"/>
    <xf numFmtId="5" fontId="18" fillId="0" borderId="0" xfId="0" applyNumberFormat="1" applyFont="1" applyFill="1" applyBorder="1" applyAlignment="1">
      <alignment horizontal="center"/>
    </xf>
    <xf numFmtId="0" fontId="18" fillId="0" borderId="0" xfId="0" quotePrefix="1" applyFont="1" applyFill="1" applyBorder="1" applyAlignment="1">
      <alignment horizontal="left"/>
    </xf>
    <xf numFmtId="5" fontId="13" fillId="0" borderId="0" xfId="0" applyNumberFormat="1" applyFont="1" applyFill="1" applyBorder="1" applyAlignment="1"/>
    <xf numFmtId="0" fontId="0" fillId="0" borderId="0" xfId="0">
      <alignment vertical="top"/>
    </xf>
    <xf numFmtId="0" fontId="14" fillId="0" borderId="0" xfId="0" applyFont="1">
      <alignment vertical="top"/>
    </xf>
    <xf numFmtId="0" fontId="0" fillId="0" borderId="0" xfId="0" applyFill="1">
      <alignment vertical="top"/>
    </xf>
    <xf numFmtId="0" fontId="25" fillId="0" borderId="0" xfId="0" applyFont="1" applyFill="1" applyBorder="1" applyAlignment="1"/>
    <xf numFmtId="0" fontId="16" fillId="0" borderId="0" xfId="0" applyFont="1">
      <alignment vertical="top"/>
    </xf>
    <xf numFmtId="2" fontId="25" fillId="0" borderId="0" xfId="0" applyNumberFormat="1" applyFont="1">
      <alignment vertical="top"/>
    </xf>
    <xf numFmtId="2" fontId="16" fillId="0" borderId="0" xfId="0" applyNumberFormat="1" applyFont="1">
      <alignment vertical="top"/>
    </xf>
    <xf numFmtId="0" fontId="20" fillId="0" borderId="0" xfId="0" applyFont="1" applyFill="1" applyBorder="1" applyAlignment="1">
      <alignment horizontal="center"/>
    </xf>
    <xf numFmtId="5" fontId="13" fillId="0" borderId="0" xfId="13" applyFont="1" applyFill="1" applyBorder="1"/>
    <xf numFmtId="0" fontId="13" fillId="0" borderId="0" xfId="0" applyFont="1" applyFill="1" applyBorder="1" applyAlignment="1">
      <alignment horizontal="center"/>
    </xf>
    <xf numFmtId="10" fontId="13" fillId="0" borderId="0" xfId="38" applyFont="1" applyFill="1" applyBorder="1"/>
    <xf numFmtId="0" fontId="13" fillId="3" borderId="0" xfId="0" applyFont="1" applyFill="1" applyBorder="1" applyAlignment="1"/>
    <xf numFmtId="5" fontId="13" fillId="3" borderId="0" xfId="13" applyFont="1" applyFill="1" applyBorder="1"/>
    <xf numFmtId="3" fontId="13" fillId="3" borderId="0" xfId="0" applyNumberFormat="1" applyFont="1" applyFill="1" applyBorder="1" applyAlignment="1"/>
    <xf numFmtId="3" fontId="13" fillId="3" borderId="0" xfId="0" applyNumberFormat="1" applyFont="1" applyFill="1" applyBorder="1" applyAlignment="1">
      <alignment horizontal="right"/>
    </xf>
    <xf numFmtId="0" fontId="20" fillId="0" borderId="0" xfId="0" applyFont="1" applyFill="1" applyBorder="1" applyAlignment="1"/>
    <xf numFmtId="0" fontId="19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169" fontId="13" fillId="0" borderId="0" xfId="0" applyNumberFormat="1" applyFont="1" applyAlignment="1">
      <alignment vertical="top" shrinkToFit="1"/>
    </xf>
    <xf numFmtId="0" fontId="13" fillId="0" borderId="0" xfId="0" applyFont="1">
      <alignment vertical="top"/>
    </xf>
    <xf numFmtId="0" fontId="13" fillId="0" borderId="0" xfId="0" applyFont="1" applyFill="1" applyAlignment="1">
      <alignment horizontal="center"/>
    </xf>
    <xf numFmtId="4" fontId="13" fillId="2" borderId="0" xfId="1" applyFont="1"/>
    <xf numFmtId="4" fontId="13" fillId="3" borderId="0" xfId="0" applyNumberFormat="1" applyFont="1" applyFill="1" applyAlignment="1"/>
    <xf numFmtId="4" fontId="13" fillId="0" borderId="0" xfId="0" applyNumberFormat="1" applyFont="1" applyFill="1" applyBorder="1" applyAlignment="1"/>
    <xf numFmtId="17" fontId="13" fillId="3" borderId="0" xfId="0" applyNumberFormat="1" applyFont="1" applyFill="1" applyAlignment="1"/>
    <xf numFmtId="3" fontId="13" fillId="3" borderId="0" xfId="1" applyNumberFormat="1" applyFont="1" applyFill="1"/>
    <xf numFmtId="0" fontId="13" fillId="3" borderId="0" xfId="0" applyFont="1" applyFill="1" applyAlignment="1">
      <alignment horizontal="left"/>
    </xf>
    <xf numFmtId="3" fontId="13" fillId="2" borderId="0" xfId="1" applyNumberFormat="1" applyFont="1"/>
    <xf numFmtId="0" fontId="13" fillId="0" borderId="0" xfId="0" quotePrefix="1" applyFont="1" applyFill="1" applyAlignment="1"/>
    <xf numFmtId="2" fontId="13" fillId="0" borderId="0" xfId="0" applyNumberFormat="1" applyFont="1" applyFill="1" applyAlignment="1"/>
    <xf numFmtId="0" fontId="13" fillId="0" borderId="8" xfId="0" applyFont="1" applyFill="1" applyBorder="1" applyAlignment="1"/>
    <xf numFmtId="2" fontId="13" fillId="0" borderId="8" xfId="0" applyNumberFormat="1" applyFont="1" applyFill="1" applyBorder="1" applyAlignment="1"/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0" fontId="14" fillId="2" borderId="0" xfId="0" applyFont="1" applyFill="1" applyAlignment="1"/>
    <xf numFmtId="3" fontId="14" fillId="3" borderId="0" xfId="6" applyFont="1" applyFill="1"/>
    <xf numFmtId="10" fontId="14" fillId="3" borderId="0" xfId="0" applyNumberFormat="1" applyFont="1" applyFill="1" applyBorder="1" applyAlignment="1"/>
    <xf numFmtId="0" fontId="14" fillId="0" borderId="0" xfId="6" applyNumberFormat="1" applyFont="1" applyFill="1" applyAlignment="1"/>
    <xf numFmtId="3" fontId="15" fillId="3" borderId="0" xfId="6" applyFont="1" applyFill="1" applyBorder="1" applyAlignment="1">
      <alignment horizontal="center"/>
    </xf>
    <xf numFmtId="0" fontId="26" fillId="0" borderId="0" xfId="0" applyFont="1" applyFill="1" applyBorder="1" applyAlignment="1">
      <alignment horizontal="left"/>
    </xf>
    <xf numFmtId="0" fontId="25" fillId="2" borderId="0" xfId="0" applyFont="1" applyFill="1" applyBorder="1" applyAlignment="1"/>
    <xf numFmtId="0" fontId="18" fillId="3" borderId="0" xfId="0" applyFont="1" applyFill="1" applyAlignment="1"/>
    <xf numFmtId="0" fontId="18" fillId="0" borderId="0" xfId="0" applyFont="1" applyFill="1" applyAlignment="1">
      <alignment horizontal="left"/>
    </xf>
    <xf numFmtId="0" fontId="26" fillId="0" borderId="0" xfId="0" applyFont="1" applyFill="1" applyBorder="1" applyAlignment="1"/>
    <xf numFmtId="0" fontId="27" fillId="0" borderId="0" xfId="0" applyFont="1" applyFill="1" applyBorder="1" applyAlignment="1"/>
    <xf numFmtId="0" fontId="28" fillId="0" borderId="0" xfId="0" applyFont="1" applyFill="1" applyBorder="1" applyAlignment="1"/>
    <xf numFmtId="0" fontId="18" fillId="0" borderId="0" xfId="0" applyFont="1">
      <alignment vertical="top"/>
    </xf>
    <xf numFmtId="0" fontId="24" fillId="2" borderId="0" xfId="0" applyFont="1" applyFill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/>
    </xf>
    <xf numFmtId="0" fontId="29" fillId="2" borderId="0" xfId="0" applyFont="1" applyFill="1" applyAlignment="1"/>
    <xf numFmtId="37" fontId="29" fillId="2" borderId="0" xfId="0" applyNumberFormat="1" applyFont="1" applyFill="1" applyAlignment="1"/>
    <xf numFmtId="0" fontId="25" fillId="0" borderId="0" xfId="0" applyFont="1">
      <alignment vertical="top"/>
    </xf>
    <xf numFmtId="4" fontId="13" fillId="0" borderId="0" xfId="0" applyNumberFormat="1" applyFont="1" applyFill="1" applyBorder="1" applyAlignment="1">
      <alignment horizontal="center"/>
    </xf>
    <xf numFmtId="4" fontId="13" fillId="0" borderId="0" xfId="0" applyNumberFormat="1" applyFont="1" applyFill="1" applyBorder="1" applyAlignment="1">
      <alignment horizontal="left"/>
    </xf>
    <xf numFmtId="3" fontId="13" fillId="0" borderId="0" xfId="6" applyFont="1" applyFill="1" applyAlignment="1"/>
    <xf numFmtId="0" fontId="13" fillId="0" borderId="9" xfId="0" applyFont="1" applyFill="1" applyBorder="1" applyAlignment="1">
      <alignment horizontal="center"/>
    </xf>
    <xf numFmtId="4" fontId="13" fillId="0" borderId="9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3" fontId="13" fillId="0" borderId="0" xfId="0" applyNumberFormat="1" applyFont="1" applyFill="1" applyBorder="1" applyAlignment="1"/>
    <xf numFmtId="3" fontId="13" fillId="0" borderId="2" xfId="0" applyNumberFormat="1" applyFont="1" applyFill="1" applyBorder="1" applyAlignment="1"/>
    <xf numFmtId="4" fontId="13" fillId="0" borderId="0" xfId="0" applyNumberFormat="1" applyFont="1" applyFill="1" applyBorder="1" applyAlignment="1">
      <alignment horizontal="right"/>
    </xf>
    <xf numFmtId="43" fontId="13" fillId="0" borderId="0" xfId="1" applyNumberFormat="1" applyFont="1" applyFill="1" applyBorder="1" applyAlignment="1">
      <alignment horizontal="right"/>
    </xf>
    <xf numFmtId="0" fontId="24" fillId="2" borderId="0" xfId="0" applyFont="1" applyFill="1" applyAlignment="1"/>
    <xf numFmtId="0" fontId="16" fillId="7" borderId="0" xfId="0" applyFont="1" applyFill="1">
      <alignment vertical="top"/>
    </xf>
    <xf numFmtId="3" fontId="16" fillId="0" borderId="0" xfId="0" applyNumberFormat="1" applyFont="1">
      <alignment vertical="top"/>
    </xf>
    <xf numFmtId="0" fontId="16" fillId="0" borderId="0" xfId="0" applyFont="1" applyAlignment="1">
      <alignment horizontal="left" vertical="top" indent="1"/>
    </xf>
    <xf numFmtId="3" fontId="0" fillId="0" borderId="0" xfId="0" applyNumberFormat="1" applyFill="1">
      <alignment vertical="top"/>
    </xf>
    <xf numFmtId="2" fontId="16" fillId="0" borderId="0" xfId="0" applyNumberFormat="1" applyFont="1" applyFill="1">
      <alignment vertical="top"/>
    </xf>
    <xf numFmtId="0" fontId="19" fillId="7" borderId="0" xfId="0" applyFont="1" applyFill="1" applyAlignment="1">
      <alignment horizontal="center"/>
    </xf>
    <xf numFmtId="3" fontId="19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 vertical="top"/>
    </xf>
    <xf numFmtId="0" fontId="20" fillId="0" borderId="0" xfId="0" applyFont="1" applyAlignment="1">
      <alignment horizontal="center"/>
    </xf>
    <xf numFmtId="38" fontId="18" fillId="0" borderId="0" xfId="0" applyNumberFormat="1" applyFont="1">
      <alignment vertical="top"/>
    </xf>
    <xf numFmtId="0" fontId="18" fillId="2" borderId="0" xfId="0" applyFont="1" applyFill="1" applyAlignment="1"/>
    <xf numFmtId="0" fontId="30" fillId="0" borderId="0" xfId="0" applyFont="1" applyFill="1" applyBorder="1" applyAlignment="1">
      <alignment horizontal="center"/>
    </xf>
    <xf numFmtId="0" fontId="31" fillId="0" borderId="0" xfId="0" applyFont="1" applyFill="1" applyBorder="1" applyAlignment="1"/>
    <xf numFmtId="3" fontId="26" fillId="0" borderId="0" xfId="0" applyNumberFormat="1" applyFont="1" applyFill="1" applyBorder="1" applyAlignment="1">
      <alignment horizontal="right"/>
    </xf>
    <xf numFmtId="3" fontId="25" fillId="0" borderId="0" xfId="1" applyNumberFormat="1" applyFont="1" applyFill="1"/>
    <xf numFmtId="0" fontId="32" fillId="0" borderId="0" xfId="0" applyFont="1" applyFill="1" applyBorder="1" applyAlignment="1"/>
    <xf numFmtId="0" fontId="33" fillId="0" borderId="0" xfId="0" applyFont="1" applyFill="1" applyBorder="1" applyAlignment="1"/>
    <xf numFmtId="0" fontId="13" fillId="2" borderId="0" xfId="0" applyFont="1" applyFill="1" applyAlignment="1"/>
    <xf numFmtId="0" fontId="22" fillId="0" borderId="0" xfId="0" applyFont="1" applyFill="1" applyBorder="1" applyAlignment="1">
      <alignment horizontal="center"/>
    </xf>
    <xf numFmtId="0" fontId="21" fillId="0" borderId="0" xfId="0" applyFont="1" applyFill="1" applyBorder="1" applyAlignment="1"/>
    <xf numFmtId="0" fontId="13" fillId="0" borderId="0" xfId="0" quotePrefix="1" applyFont="1" applyFill="1" applyBorder="1" applyAlignment="1"/>
    <xf numFmtId="42" fontId="13" fillId="0" borderId="0" xfId="8" applyNumberFormat="1" applyFont="1" applyFill="1" applyBorder="1"/>
    <xf numFmtId="9" fontId="13" fillId="0" borderId="0" xfId="38" applyNumberFormat="1" applyFont="1" applyFill="1" applyBorder="1"/>
    <xf numFmtId="173" fontId="13" fillId="0" borderId="0" xfId="8" applyNumberFormat="1" applyFont="1" applyFill="1" applyBorder="1"/>
    <xf numFmtId="172" fontId="13" fillId="0" borderId="0" xfId="1" applyNumberFormat="1" applyFont="1" applyFill="1" applyBorder="1"/>
    <xf numFmtId="0" fontId="21" fillId="0" borderId="0" xfId="0" applyFont="1" applyFill="1" applyBorder="1" applyAlignment="1">
      <alignment horizontal="right"/>
    </xf>
    <xf numFmtId="0" fontId="22" fillId="0" borderId="0" xfId="0" applyFont="1" applyFill="1" applyBorder="1">
      <alignment vertical="top"/>
    </xf>
    <xf numFmtId="42" fontId="22" fillId="0" borderId="0" xfId="8" applyNumberFormat="1" applyFont="1" applyFill="1" applyBorder="1"/>
    <xf numFmtId="173" fontId="13" fillId="0" borderId="0" xfId="0" applyNumberFormat="1" applyFont="1" applyFill="1" applyBorder="1">
      <alignment vertical="top"/>
    </xf>
    <xf numFmtId="42" fontId="13" fillId="0" borderId="0" xfId="0" applyNumberFormat="1" applyFont="1" applyFill="1" applyBorder="1">
      <alignment vertical="top"/>
    </xf>
    <xf numFmtId="0" fontId="13" fillId="0" borderId="0" xfId="0" applyFont="1" applyFill="1" applyBorder="1">
      <alignment vertical="top"/>
    </xf>
    <xf numFmtId="41" fontId="13" fillId="0" borderId="0" xfId="0" applyNumberFormat="1" applyFont="1" applyFill="1" applyBorder="1">
      <alignment vertical="top"/>
    </xf>
    <xf numFmtId="0" fontId="13" fillId="0" borderId="0" xfId="0" applyFont="1" applyFill="1" applyBorder="1" applyAlignment="1">
      <alignment horizontal="right"/>
    </xf>
    <xf numFmtId="44" fontId="13" fillId="0" borderId="0" xfId="0" applyNumberFormat="1" applyFont="1" applyFill="1" applyBorder="1" applyAlignment="1">
      <alignment horizontal="center"/>
    </xf>
    <xf numFmtId="173" fontId="13" fillId="0" borderId="0" xfId="0" applyNumberFormat="1" applyFont="1" applyFill="1" applyBorder="1" applyAlignment="1">
      <alignment horizontal="right"/>
    </xf>
    <xf numFmtId="44" fontId="13" fillId="0" borderId="0" xfId="0" applyNumberFormat="1" applyFont="1" applyFill="1" applyBorder="1" applyAlignment="1">
      <alignment horizontal="right"/>
    </xf>
    <xf numFmtId="0" fontId="13" fillId="0" borderId="0" xfId="0" quotePrefix="1" applyFont="1" applyFill="1" applyBorder="1">
      <alignment vertical="top"/>
    </xf>
    <xf numFmtId="172" fontId="13" fillId="0" borderId="0" xfId="0" applyNumberFormat="1" applyFont="1" applyFill="1" applyBorder="1" applyAlignment="1">
      <alignment horizontal="center"/>
    </xf>
    <xf numFmtId="175" fontId="13" fillId="0" borderId="0" xfId="8" applyNumberFormat="1" applyFont="1" applyFill="1" applyBorder="1"/>
    <xf numFmtId="0" fontId="18" fillId="0" borderId="7" xfId="0" applyFont="1" applyFill="1" applyBorder="1">
      <alignment vertical="top"/>
    </xf>
    <xf numFmtId="0" fontId="18" fillId="6" borderId="6" xfId="0" applyFont="1" applyFill="1" applyBorder="1">
      <alignment vertical="top"/>
    </xf>
    <xf numFmtId="0" fontId="18" fillId="0" borderId="15" xfId="0" applyFont="1" applyFill="1" applyBorder="1">
      <alignment vertical="top"/>
    </xf>
    <xf numFmtId="0" fontId="18" fillId="6" borderId="16" xfId="0" applyFont="1" applyFill="1" applyBorder="1">
      <alignment vertical="top"/>
    </xf>
    <xf numFmtId="0" fontId="18" fillId="6" borderId="0" xfId="0" applyFont="1" applyFill="1">
      <alignment vertical="top"/>
    </xf>
    <xf numFmtId="167" fontId="18" fillId="6" borderId="0" xfId="0" applyNumberFormat="1" applyFont="1" applyFill="1">
      <alignment vertical="top"/>
    </xf>
    <xf numFmtId="0" fontId="18" fillId="0" borderId="0" xfId="0" applyFont="1" applyFill="1" applyBorder="1">
      <alignment vertical="top"/>
    </xf>
    <xf numFmtId="0" fontId="25" fillId="0" borderId="21" xfId="0" applyFont="1" applyFill="1" applyBorder="1">
      <alignment vertical="top"/>
    </xf>
    <xf numFmtId="0" fontId="18" fillId="0" borderId="22" xfId="0" applyFont="1" applyFill="1" applyBorder="1">
      <alignment vertical="top"/>
    </xf>
    <xf numFmtId="0" fontId="18" fillId="0" borderId="0" xfId="0" applyFont="1" applyFill="1" applyBorder="1" applyAlignment="1">
      <alignment horizontal="right"/>
    </xf>
    <xf numFmtId="0" fontId="25" fillId="0" borderId="23" xfId="0" applyFont="1" applyFill="1" applyBorder="1">
      <alignment vertical="top"/>
    </xf>
    <xf numFmtId="0" fontId="18" fillId="0" borderId="23" xfId="0" applyFont="1" applyFill="1" applyBorder="1">
      <alignment vertical="top"/>
    </xf>
    <xf numFmtId="0" fontId="25" fillId="0" borderId="24" xfId="0" applyFont="1" applyFill="1" applyBorder="1">
      <alignment vertical="top"/>
    </xf>
    <xf numFmtId="0" fontId="18" fillId="0" borderId="25" xfId="0" applyFont="1" applyFill="1" applyBorder="1">
      <alignment vertical="top"/>
    </xf>
    <xf numFmtId="0" fontId="18" fillId="0" borderId="0" xfId="0" applyFont="1" applyFill="1">
      <alignment vertical="top"/>
    </xf>
    <xf numFmtId="0" fontId="14" fillId="0" borderId="0" xfId="0" applyFont="1" applyFill="1">
      <alignment vertical="top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18" fillId="0" borderId="0" xfId="0" applyFont="1" applyBorder="1">
      <alignment vertical="top"/>
    </xf>
    <xf numFmtId="38" fontId="18" fillId="0" borderId="19" xfId="0" applyNumberFormat="1" applyFont="1" applyBorder="1">
      <alignment vertical="top"/>
    </xf>
    <xf numFmtId="38" fontId="18" fillId="0" borderId="0" xfId="0" applyNumberFormat="1" applyFont="1" applyBorder="1">
      <alignment vertical="top"/>
    </xf>
    <xf numFmtId="38" fontId="18" fillId="0" borderId="20" xfId="0" applyNumberFormat="1" applyFont="1" applyBorder="1">
      <alignment vertical="top"/>
    </xf>
    <xf numFmtId="38" fontId="26" fillId="0" borderId="19" xfId="0" applyNumberFormat="1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38" fontId="26" fillId="0" borderId="0" xfId="0" applyNumberFormat="1" applyFont="1" applyBorder="1" applyAlignment="1">
      <alignment horizontal="center"/>
    </xf>
    <xf numFmtId="38" fontId="26" fillId="0" borderId="20" xfId="0" applyNumberFormat="1" applyFont="1" applyBorder="1" applyAlignment="1">
      <alignment horizontal="center"/>
    </xf>
    <xf numFmtId="3" fontId="14" fillId="0" borderId="0" xfId="0" applyNumberFormat="1" applyFont="1">
      <alignment vertical="top"/>
    </xf>
    <xf numFmtId="3" fontId="14" fillId="0" borderId="0" xfId="0" applyNumberFormat="1" applyFont="1" applyFill="1">
      <alignment vertical="top"/>
    </xf>
    <xf numFmtId="3" fontId="34" fillId="0" borderId="0" xfId="0" applyNumberFormat="1" applyFont="1" applyFill="1" applyBorder="1" applyAlignment="1"/>
    <xf numFmtId="10" fontId="34" fillId="3" borderId="0" xfId="0" applyNumberFormat="1" applyFont="1" applyFill="1" applyBorder="1" applyAlignment="1"/>
    <xf numFmtId="0" fontId="34" fillId="3" borderId="0" xfId="0" applyFont="1" applyFill="1" applyBorder="1" applyAlignment="1"/>
    <xf numFmtId="3" fontId="14" fillId="3" borderId="0" xfId="1" applyNumberFormat="1" applyFont="1" applyFill="1" applyBorder="1"/>
    <xf numFmtId="0" fontId="21" fillId="0" borderId="0" xfId="0" applyFont="1" applyAlignment="1">
      <alignment horizontal="center" vertical="top"/>
    </xf>
    <xf numFmtId="0" fontId="21" fillId="0" borderId="0" xfId="0" applyFont="1">
      <alignment vertical="top"/>
    </xf>
    <xf numFmtId="0" fontId="13" fillId="2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38" fontId="13" fillId="0" borderId="0" xfId="0" applyNumberFormat="1" applyFont="1">
      <alignment vertical="top"/>
    </xf>
    <xf numFmtId="10" fontId="13" fillId="0" borderId="0" xfId="0" applyNumberFormat="1" applyFont="1">
      <alignment vertical="top"/>
    </xf>
    <xf numFmtId="0" fontId="13" fillId="0" borderId="0" xfId="0" applyFont="1" applyBorder="1" applyAlignment="1">
      <alignment horizontal="center" vertical="center"/>
    </xf>
    <xf numFmtId="0" fontId="13" fillId="0" borderId="30" xfId="0" applyFont="1" applyBorder="1">
      <alignment vertical="top"/>
    </xf>
    <xf numFmtId="0" fontId="13" fillId="0" borderId="31" xfId="0" applyFont="1" applyBorder="1">
      <alignment vertical="top"/>
    </xf>
    <xf numFmtId="0" fontId="13" fillId="0" borderId="32" xfId="0" applyFont="1" applyBorder="1">
      <alignment vertical="top"/>
    </xf>
    <xf numFmtId="0" fontId="13" fillId="0" borderId="33" xfId="0" applyFont="1" applyBorder="1">
      <alignment vertical="top"/>
    </xf>
    <xf numFmtId="0" fontId="13" fillId="0" borderId="34" xfId="0" applyFont="1" applyBorder="1">
      <alignment vertical="top"/>
    </xf>
    <xf numFmtId="0" fontId="13" fillId="0" borderId="35" xfId="0" applyFont="1" applyBorder="1">
      <alignment vertical="top"/>
    </xf>
    <xf numFmtId="0" fontId="13" fillId="0" borderId="0" xfId="0" applyFont="1" applyBorder="1">
      <alignment vertical="top"/>
    </xf>
    <xf numFmtId="0" fontId="21" fillId="0" borderId="32" xfId="0" applyFont="1" applyBorder="1">
      <alignment vertical="top"/>
    </xf>
    <xf numFmtId="0" fontId="21" fillId="0" borderId="0" xfId="0" applyFont="1" applyBorder="1" applyAlignment="1">
      <alignment horizontal="center" vertical="top"/>
    </xf>
    <xf numFmtId="0" fontId="13" fillId="0" borderId="36" xfId="0" applyFont="1" applyBorder="1">
      <alignment vertical="top"/>
    </xf>
    <xf numFmtId="40" fontId="18" fillId="0" borderId="0" xfId="0" applyNumberFormat="1" applyFont="1" applyFill="1" applyBorder="1" applyAlignment="1"/>
    <xf numFmtId="5" fontId="48" fillId="0" borderId="0" xfId="0" applyNumberFormat="1" applyFont="1" applyFill="1" applyBorder="1" applyAlignment="1"/>
    <xf numFmtId="0" fontId="48" fillId="0" borderId="0" xfId="0" applyFont="1" applyFill="1" applyBorder="1" applyAlignment="1">
      <alignment horizontal="center"/>
    </xf>
    <xf numFmtId="3" fontId="48" fillId="0" borderId="0" xfId="0" applyNumberFormat="1" applyFont="1" applyFill="1" applyBorder="1" applyAlignment="1"/>
    <xf numFmtId="0" fontId="48" fillId="0" borderId="0" xfId="0" applyFont="1" applyFill="1" applyBorder="1" applyAlignment="1"/>
    <xf numFmtId="0" fontId="48" fillId="0" borderId="0" xfId="0" applyFont="1" applyFill="1" applyAlignment="1"/>
    <xf numFmtId="0" fontId="48" fillId="0" borderId="0" xfId="0" quotePrefix="1" applyFont="1" applyFill="1" applyBorder="1" applyAlignment="1">
      <alignment horizontal="left"/>
    </xf>
    <xf numFmtId="0" fontId="49" fillId="0" borderId="0" xfId="0" applyFont="1" applyFill="1" applyBorder="1" applyAlignment="1"/>
    <xf numFmtId="5" fontId="49" fillId="0" borderId="0" xfId="0" applyNumberFormat="1" applyFont="1" applyFill="1" applyBorder="1" applyAlignment="1"/>
    <xf numFmtId="0" fontId="49" fillId="0" borderId="0" xfId="0" applyFont="1" applyFill="1" applyAlignment="1"/>
    <xf numFmtId="5" fontId="49" fillId="0" borderId="0" xfId="8" applyNumberFormat="1" applyFont="1" applyFill="1" applyBorder="1"/>
    <xf numFmtId="3" fontId="49" fillId="0" borderId="0" xfId="0" applyNumberFormat="1" applyFont="1" applyFill="1" applyBorder="1" applyAlignment="1"/>
    <xf numFmtId="0" fontId="49" fillId="0" borderId="0" xfId="0" quotePrefix="1" applyFont="1" applyFill="1" applyBorder="1" applyAlignment="1"/>
    <xf numFmtId="0" fontId="50" fillId="0" borderId="0" xfId="0" applyFont="1" applyFill="1" applyBorder="1" applyAlignment="1"/>
    <xf numFmtId="0" fontId="51" fillId="0" borderId="0" xfId="0" applyFont="1" applyFill="1" applyBorder="1" applyAlignment="1"/>
    <xf numFmtId="0" fontId="49" fillId="2" borderId="0" xfId="0" applyFont="1" applyFill="1" applyAlignment="1"/>
    <xf numFmtId="0" fontId="51" fillId="0" borderId="0" xfId="0" applyFont="1" applyFill="1" applyBorder="1" applyAlignment="1">
      <alignment horizontal="center"/>
    </xf>
    <xf numFmtId="0" fontId="52" fillId="0" borderId="0" xfId="0" applyFont="1" applyFill="1" applyBorder="1" applyAlignment="1"/>
    <xf numFmtId="5" fontId="49" fillId="0" borderId="0" xfId="13" applyFont="1" applyFill="1"/>
    <xf numFmtId="164" fontId="49" fillId="0" borderId="0" xfId="0" applyNumberFormat="1" applyFont="1" applyFill="1" applyBorder="1" applyAlignment="1">
      <alignment horizontal="center"/>
    </xf>
    <xf numFmtId="3" fontId="49" fillId="0" borderId="0" xfId="0" applyNumberFormat="1" applyFont="1" applyFill="1" applyAlignment="1"/>
    <xf numFmtId="0" fontId="51" fillId="0" borderId="0" xfId="0" applyFont="1" applyFill="1" applyAlignment="1"/>
    <xf numFmtId="5" fontId="49" fillId="0" borderId="0" xfId="0" applyNumberFormat="1" applyFont="1" applyFill="1" applyAlignment="1"/>
    <xf numFmtId="3" fontId="49" fillId="0" borderId="0" xfId="6" applyFont="1" applyFill="1"/>
    <xf numFmtId="0" fontId="49" fillId="0" borderId="0" xfId="6" applyNumberFormat="1" applyFont="1" applyFill="1"/>
    <xf numFmtId="10" fontId="49" fillId="0" borderId="0" xfId="0" applyNumberFormat="1" applyFont="1" applyFill="1" applyBorder="1" applyAlignment="1"/>
    <xf numFmtId="0" fontId="49" fillId="0" borderId="0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left"/>
    </xf>
    <xf numFmtId="0" fontId="49" fillId="0" borderId="0" xfId="0" applyFont="1" applyFill="1" applyAlignment="1">
      <alignment horizontal="left"/>
    </xf>
    <xf numFmtId="0" fontId="49" fillId="0" borderId="0" xfId="0" applyFont="1">
      <alignment vertical="top"/>
    </xf>
    <xf numFmtId="0" fontId="53" fillId="0" borderId="0" xfId="0" applyFont="1" applyFill="1" applyBorder="1" applyAlignment="1">
      <alignment horizontal="left"/>
    </xf>
    <xf numFmtId="0" fontId="49" fillId="0" borderId="0" xfId="0" applyFont="1" applyFill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2" borderId="0" xfId="0" applyFont="1" applyFill="1" applyAlignment="1">
      <alignment horizontal="center"/>
    </xf>
    <xf numFmtId="0" fontId="48" fillId="0" borderId="0" xfId="0" applyFont="1">
      <alignment vertical="top"/>
    </xf>
    <xf numFmtId="0" fontId="51" fillId="0" borderId="0" xfId="0" applyFont="1">
      <alignment vertical="top"/>
    </xf>
    <xf numFmtId="3" fontId="51" fillId="0" borderId="0" xfId="0" applyNumberFormat="1" applyFont="1">
      <alignment vertical="top"/>
    </xf>
    <xf numFmtId="3" fontId="51" fillId="7" borderId="0" xfId="0" applyNumberFormat="1" applyFont="1" applyFill="1">
      <alignment vertical="top"/>
    </xf>
    <xf numFmtId="3" fontId="51" fillId="0" borderId="0" xfId="0" applyNumberFormat="1" applyFont="1" applyFill="1">
      <alignment vertical="top"/>
    </xf>
    <xf numFmtId="0" fontId="51" fillId="9" borderId="0" xfId="0" applyFont="1" applyFill="1">
      <alignment vertical="top"/>
    </xf>
    <xf numFmtId="0" fontId="51" fillId="0" borderId="0" xfId="0" applyFont="1" applyAlignment="1">
      <alignment horizontal="left" vertical="top" indent="1"/>
    </xf>
    <xf numFmtId="0" fontId="48" fillId="0" borderId="0" xfId="0" applyFont="1" applyFill="1">
      <alignment vertical="top"/>
    </xf>
    <xf numFmtId="0" fontId="48" fillId="2" borderId="0" xfId="0" applyFont="1" applyFill="1" applyAlignment="1"/>
    <xf numFmtId="0" fontId="51" fillId="7" borderId="0" xfId="0" applyFont="1" applyFill="1" applyAlignment="1">
      <alignment horizontal="center" vertical="top"/>
    </xf>
    <xf numFmtId="0" fontId="51" fillId="0" borderId="0" xfId="0" applyFont="1" applyFill="1">
      <alignment vertical="top"/>
    </xf>
    <xf numFmtId="0" fontId="48" fillId="0" borderId="0" xfId="0" quotePrefix="1" applyFont="1">
      <alignment vertical="top"/>
    </xf>
    <xf numFmtId="2" fontId="51" fillId="0" borderId="0" xfId="0" applyNumberFormat="1" applyFont="1">
      <alignment vertical="top"/>
    </xf>
    <xf numFmtId="2" fontId="51" fillId="0" borderId="0" xfId="0" applyNumberFormat="1" applyFont="1" applyFill="1">
      <alignment vertical="top"/>
    </xf>
    <xf numFmtId="0" fontId="50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14" fontId="50" fillId="0" borderId="0" xfId="0" applyNumberFormat="1" applyFont="1" applyAlignment="1">
      <alignment horizontal="center"/>
    </xf>
    <xf numFmtId="2" fontId="49" fillId="0" borderId="0" xfId="0" quotePrefix="1" applyNumberFormat="1" applyFont="1" applyFill="1" applyBorder="1" applyAlignment="1">
      <alignment horizontal="left"/>
    </xf>
    <xf numFmtId="5" fontId="49" fillId="0" borderId="0" xfId="8" applyNumberFormat="1" applyFont="1" applyFill="1"/>
    <xf numFmtId="4" fontId="49" fillId="0" borderId="0" xfId="0" applyNumberFormat="1" applyFont="1" applyFill="1" applyBorder="1" applyAlignment="1"/>
    <xf numFmtId="0" fontId="49" fillId="2" borderId="0" xfId="0" applyFont="1" applyFill="1" applyAlignment="1">
      <alignment vertical="top" shrinkToFit="1"/>
    </xf>
    <xf numFmtId="6" fontId="49" fillId="0" borderId="0" xfId="0" applyNumberFormat="1" applyFont="1" applyAlignment="1">
      <alignment vertical="top"/>
    </xf>
    <xf numFmtId="37" fontId="48" fillId="2" borderId="0" xfId="0" applyNumberFormat="1" applyFont="1" applyFill="1" applyAlignment="1"/>
    <xf numFmtId="0" fontId="48" fillId="0" borderId="0" xfId="0" applyFont="1" applyFill="1" applyAlignment="1">
      <alignment horizontal="center"/>
    </xf>
    <xf numFmtId="0" fontId="48" fillId="2" borderId="0" xfId="0" applyFont="1" applyFill="1" applyAlignment="1">
      <alignment horizontal="center"/>
    </xf>
    <xf numFmtId="37" fontId="49" fillId="0" borderId="0" xfId="0" applyNumberFormat="1" applyFont="1" applyFill="1" applyBorder="1" applyAlignment="1" applyProtection="1">
      <protection locked="0"/>
    </xf>
    <xf numFmtId="3" fontId="49" fillId="0" borderId="0" xfId="6" applyFont="1" applyFill="1" applyAlignment="1"/>
    <xf numFmtId="3" fontId="49" fillId="0" borderId="0" xfId="6" applyFont="1" applyFill="1" applyBorder="1" applyAlignment="1"/>
    <xf numFmtId="1" fontId="49" fillId="0" borderId="0" xfId="0" applyNumberFormat="1" applyFont="1" applyFill="1" applyBorder="1" applyAlignment="1"/>
    <xf numFmtId="0" fontId="49" fillId="0" borderId="37" xfId="0" applyFont="1" applyFill="1" applyBorder="1" applyAlignment="1"/>
    <xf numFmtId="0" fontId="49" fillId="0" borderId="23" xfId="0" applyFont="1" applyFill="1" applyBorder="1" applyAlignment="1"/>
    <xf numFmtId="3" fontId="49" fillId="0" borderId="38" xfId="0" applyNumberFormat="1" applyFont="1" applyFill="1" applyBorder="1" applyAlignment="1"/>
    <xf numFmtId="4" fontId="14" fillId="0" borderId="0" xfId="0" applyNumberFormat="1" applyFont="1" applyFill="1" applyBorder="1" applyAlignment="1"/>
    <xf numFmtId="39" fontId="49" fillId="0" borderId="0" xfId="0" applyNumberFormat="1" applyFont="1" applyFill="1" applyBorder="1" applyAlignment="1"/>
    <xf numFmtId="4" fontId="54" fillId="2" borderId="0" xfId="1" applyFont="1" applyAlignment="1">
      <alignment horizontal="left"/>
    </xf>
    <xf numFmtId="39" fontId="55" fillId="0" borderId="0" xfId="0" applyNumberFormat="1" applyFont="1" applyFill="1" applyAlignment="1">
      <alignment horizontal="right"/>
    </xf>
    <xf numFmtId="4" fontId="49" fillId="2" borderId="0" xfId="1" applyFont="1" applyAlignment="1">
      <alignment horizontal="left"/>
    </xf>
    <xf numFmtId="4" fontId="49" fillId="2" borderId="0" xfId="1" applyFont="1"/>
    <xf numFmtId="39" fontId="49" fillId="2" borderId="0" xfId="1" applyNumberFormat="1" applyFont="1"/>
    <xf numFmtId="41" fontId="49" fillId="0" borderId="0" xfId="0" applyNumberFormat="1" applyFont="1" applyFill="1" applyAlignment="1"/>
    <xf numFmtId="41" fontId="49" fillId="0" borderId="0" xfId="1" applyNumberFormat="1" applyFont="1" applyFill="1" applyBorder="1"/>
    <xf numFmtId="41" fontId="55" fillId="0" borderId="0" xfId="0" applyNumberFormat="1" applyFont="1" applyFill="1" applyAlignment="1"/>
    <xf numFmtId="41" fontId="55" fillId="0" borderId="0" xfId="1" applyNumberFormat="1" applyFont="1" applyFill="1" applyBorder="1"/>
    <xf numFmtId="4" fontId="49" fillId="2" borderId="0" xfId="1" applyFont="1" applyAlignment="1">
      <alignment horizontal="left" indent="1"/>
    </xf>
    <xf numFmtId="41" fontId="56" fillId="0" borderId="0" xfId="0" applyNumberFormat="1" applyFont="1" applyFill="1" applyAlignment="1"/>
    <xf numFmtId="41" fontId="50" fillId="0" borderId="0" xfId="0" applyNumberFormat="1" applyFont="1" applyFill="1" applyAlignment="1"/>
    <xf numFmtId="41" fontId="50" fillId="0" borderId="0" xfId="1" applyNumberFormat="1" applyFont="1" applyFill="1" applyBorder="1"/>
    <xf numFmtId="41" fontId="56" fillId="0" borderId="0" xfId="1" applyNumberFormat="1" applyFont="1" applyFill="1"/>
    <xf numFmtId="4" fontId="51" fillId="2" borderId="0" xfId="1" applyFont="1" applyBorder="1" applyAlignment="1">
      <alignment horizontal="left"/>
    </xf>
    <xf numFmtId="4" fontId="51" fillId="2" borderId="0" xfId="1" applyFont="1" applyBorder="1"/>
    <xf numFmtId="39" fontId="51" fillId="0" borderId="0" xfId="0" applyNumberFormat="1" applyFont="1" applyFill="1" applyBorder="1" applyAlignment="1"/>
    <xf numFmtId="41" fontId="57" fillId="0" borderId="0" xfId="0" applyNumberFormat="1" applyFont="1" applyFill="1" applyBorder="1" applyAlignment="1"/>
    <xf numFmtId="41" fontId="57" fillId="0" borderId="0" xfId="1" applyNumberFormat="1" applyFont="1" applyFill="1" applyBorder="1"/>
    <xf numFmtId="39" fontId="49" fillId="2" borderId="0" xfId="1" applyNumberFormat="1" applyFont="1" applyBorder="1"/>
    <xf numFmtId="0" fontId="49" fillId="0" borderId="0" xfId="0" applyFont="1" applyFill="1" applyBorder="1">
      <alignment vertical="top"/>
    </xf>
    <xf numFmtId="173" fontId="49" fillId="0" borderId="0" xfId="8" applyNumberFormat="1" applyFont="1" applyFill="1" applyBorder="1"/>
    <xf numFmtId="4" fontId="14" fillId="0" borderId="0" xfId="0" applyNumberFormat="1" applyFont="1" applyFill="1" applyBorder="1" applyAlignment="1">
      <alignment horizontal="left"/>
    </xf>
    <xf numFmtId="37" fontId="13" fillId="0" borderId="0" xfId="0" applyNumberFormat="1" applyFont="1" applyFill="1" applyBorder="1" applyAlignment="1" applyProtection="1">
      <protection locked="0"/>
    </xf>
    <xf numFmtId="37" fontId="13" fillId="0" borderId="0" xfId="0" applyNumberFormat="1" applyFont="1" applyFill="1" applyAlignment="1"/>
    <xf numFmtId="0" fontId="58" fillId="0" borderId="0" xfId="0" applyFont="1" applyFill="1" applyBorder="1" applyAlignment="1"/>
    <xf numFmtId="0" fontId="16" fillId="0" borderId="0" xfId="0" applyFont="1" applyAlignment="1">
      <alignment horizontal="left" vertical="top" indent="4"/>
    </xf>
    <xf numFmtId="0" fontId="16" fillId="7" borderId="0" xfId="0" applyFont="1" applyFill="1" applyAlignment="1">
      <alignment horizontal="left" indent="4"/>
    </xf>
    <xf numFmtId="5" fontId="13" fillId="0" borderId="0" xfId="0" applyNumberFormat="1" applyFont="1" applyFill="1" applyAlignment="1"/>
    <xf numFmtId="0" fontId="25" fillId="0" borderId="0" xfId="0" applyFont="1" applyAlignment="1">
      <alignment horizontal="right"/>
    </xf>
    <xf numFmtId="37" fontId="18" fillId="2" borderId="0" xfId="0" applyNumberFormat="1" applyFont="1" applyFill="1" applyAlignment="1"/>
    <xf numFmtId="0" fontId="13" fillId="0" borderId="0" xfId="0" quotePrefix="1" applyFont="1" applyFill="1" applyBorder="1" applyAlignment="1">
      <alignment horizontal="left"/>
    </xf>
    <xf numFmtId="2" fontId="13" fillId="0" borderId="0" xfId="0" quotePrefix="1" applyNumberFormat="1" applyFont="1" applyFill="1" applyBorder="1" applyAlignment="1">
      <alignment horizontal="left"/>
    </xf>
    <xf numFmtId="0" fontId="20" fillId="0" borderId="0" xfId="0" applyFont="1" applyAlignment="1">
      <alignment horizontal="center" vertical="top"/>
    </xf>
    <xf numFmtId="3" fontId="16" fillId="9" borderId="0" xfId="0" applyNumberFormat="1" applyFont="1" applyFill="1">
      <alignment vertical="top"/>
    </xf>
    <xf numFmtId="2" fontId="18" fillId="2" borderId="0" xfId="0" applyNumberFormat="1" applyFont="1" applyFill="1" applyAlignment="1">
      <alignment horizontal="left"/>
    </xf>
    <xf numFmtId="0" fontId="16" fillId="0" borderId="0" xfId="0" applyFont="1" applyFill="1" applyBorder="1" applyAlignment="1"/>
    <xf numFmtId="43" fontId="16" fillId="0" borderId="0" xfId="5" applyFont="1" applyBorder="1"/>
    <xf numFmtId="0" fontId="16" fillId="0" borderId="0" xfId="0" applyFont="1" applyBorder="1">
      <alignment vertical="top"/>
    </xf>
    <xf numFmtId="0" fontId="16" fillId="0" borderId="0" xfId="0" applyFont="1" applyFill="1">
      <alignment vertical="top"/>
    </xf>
    <xf numFmtId="2" fontId="13" fillId="0" borderId="0" xfId="0" applyNumberFormat="1" applyFont="1" applyFill="1" applyBorder="1" applyAlignment="1">
      <alignment horizontal="left"/>
    </xf>
    <xf numFmtId="0" fontId="25" fillId="2" borderId="0" xfId="0" applyFont="1" applyFill="1" applyAlignment="1">
      <alignment horizontal="left"/>
    </xf>
    <xf numFmtId="0" fontId="13" fillId="0" borderId="0" xfId="0" applyFont="1" applyFill="1">
      <alignment vertical="top"/>
    </xf>
    <xf numFmtId="0" fontId="16" fillId="9" borderId="0" xfId="0" applyFont="1" applyFill="1" applyAlignment="1">
      <alignment horizontal="left" vertical="top" indent="4"/>
    </xf>
    <xf numFmtId="0" fontId="16" fillId="7" borderId="0" xfId="0" applyFont="1" applyFill="1" applyAlignment="1">
      <alignment horizontal="left" vertical="top"/>
    </xf>
    <xf numFmtId="0" fontId="16" fillId="9" borderId="0" xfId="0" applyFont="1" applyFill="1" applyAlignment="1">
      <alignment horizontal="left" vertical="top" indent="3"/>
    </xf>
    <xf numFmtId="0" fontId="25" fillId="0" borderId="0" xfId="0" applyFont="1" applyAlignment="1">
      <alignment horizontal="left"/>
    </xf>
    <xf numFmtId="0" fontId="18" fillId="7" borderId="0" xfId="0" applyFont="1" applyFill="1" applyAlignment="1">
      <alignment horizontal="center" vertical="top"/>
    </xf>
    <xf numFmtId="0" fontId="18" fillId="10" borderId="41" xfId="0" applyFont="1" applyFill="1" applyBorder="1" applyAlignment="1">
      <alignment horizontal="center"/>
    </xf>
    <xf numFmtId="0" fontId="18" fillId="10" borderId="0" xfId="0" applyFont="1" applyFill="1" applyBorder="1" applyAlignment="1">
      <alignment horizontal="center"/>
    </xf>
    <xf numFmtId="0" fontId="18" fillId="0" borderId="42" xfId="0" applyFont="1" applyFill="1" applyBorder="1" applyAlignment="1">
      <alignment wrapText="1"/>
    </xf>
    <xf numFmtId="42" fontId="18" fillId="0" borderId="0" xfId="0" applyNumberFormat="1" applyFont="1">
      <alignment vertical="top"/>
    </xf>
    <xf numFmtId="0" fontId="18" fillId="0" borderId="0" xfId="0" applyFont="1" applyFill="1" applyBorder="1" applyAlignment="1">
      <alignment wrapText="1"/>
    </xf>
    <xf numFmtId="2" fontId="35" fillId="0" borderId="0" xfId="0" quotePrefix="1" applyNumberFormat="1" applyFont="1" applyFill="1" applyBorder="1" applyAlignment="1"/>
    <xf numFmtId="2" fontId="18" fillId="0" borderId="0" xfId="0" quotePrefix="1" applyNumberFormat="1" applyFont="1" applyFill="1" applyBorder="1" applyAlignment="1">
      <alignment horizontal="left"/>
    </xf>
    <xf numFmtId="0" fontId="24" fillId="0" borderId="0" xfId="0" applyFont="1" applyFill="1" applyBorder="1" applyAlignment="1"/>
    <xf numFmtId="5" fontId="13" fillId="0" borderId="0" xfId="13" applyFont="1" applyFill="1"/>
    <xf numFmtId="37" fontId="18" fillId="0" borderId="0" xfId="0" applyNumberFormat="1" applyFont="1" applyFill="1" applyAlignment="1"/>
    <xf numFmtId="0" fontId="18" fillId="2" borderId="0" xfId="0" quotePrefix="1" applyFont="1" applyFill="1" applyAlignment="1">
      <alignment horizontal="left"/>
    </xf>
    <xf numFmtId="0" fontId="20" fillId="0" borderId="0" xfId="0" applyFont="1">
      <alignment vertical="top"/>
    </xf>
    <xf numFmtId="0" fontId="36" fillId="0" borderId="0" xfId="34" applyFont="1"/>
    <xf numFmtId="0" fontId="37" fillId="0" borderId="0" xfId="34" applyFont="1"/>
    <xf numFmtId="0" fontId="26" fillId="6" borderId="16" xfId="0" applyFont="1" applyFill="1" applyBorder="1">
      <alignment vertical="top"/>
    </xf>
    <xf numFmtId="0" fontId="38" fillId="6" borderId="44" xfId="0" applyFont="1" applyFill="1" applyBorder="1">
      <alignment vertical="top"/>
    </xf>
    <xf numFmtId="4" fontId="19" fillId="2" borderId="0" xfId="1" applyFont="1" applyAlignment="1">
      <alignment horizontal="left"/>
    </xf>
    <xf numFmtId="2" fontId="25" fillId="0" borderId="0" xfId="0" applyNumberFormat="1" applyFont="1" applyFill="1">
      <alignment vertical="top"/>
    </xf>
    <xf numFmtId="0" fontId="25" fillId="0" borderId="0" xfId="0" applyFont="1" applyFill="1">
      <alignment vertical="top"/>
    </xf>
    <xf numFmtId="4" fontId="13" fillId="2" borderId="0" xfId="1" applyFont="1" applyAlignment="1">
      <alignment horizontal="left"/>
    </xf>
    <xf numFmtId="4" fontId="13" fillId="2" borderId="0" xfId="1" applyFont="1" applyAlignment="1">
      <alignment horizontal="left" indent="1"/>
    </xf>
    <xf numFmtId="39" fontId="13" fillId="2" borderId="0" xfId="1" applyNumberFormat="1" applyFont="1"/>
    <xf numFmtId="0" fontId="49" fillId="2" borderId="0" xfId="0" applyFont="1" applyFill="1" applyAlignment="1"/>
    <xf numFmtId="0" fontId="16" fillId="0" borderId="0" xfId="0" applyFont="1" applyFill="1" applyAlignment="1"/>
    <xf numFmtId="37" fontId="48" fillId="0" borderId="0" xfId="0" applyNumberFormat="1" applyFont="1" applyFill="1" applyAlignment="1"/>
    <xf numFmtId="0" fontId="26" fillId="0" borderId="0" xfId="0" applyFont="1" applyFill="1" applyAlignment="1"/>
    <xf numFmtId="0" fontId="29" fillId="0" borderId="0" xfId="0" applyFont="1" applyFill="1" applyAlignment="1"/>
    <xf numFmtId="0" fontId="49" fillId="2" borderId="0" xfId="0" applyFont="1" applyFill="1" applyBorder="1" applyAlignment="1"/>
    <xf numFmtId="7" fontId="13" fillId="2" borderId="0" xfId="0" applyNumberFormat="1" applyFont="1" applyFill="1" applyAlignment="1"/>
    <xf numFmtId="0" fontId="26" fillId="2" borderId="0" xfId="0" applyFont="1" applyFill="1" applyAlignment="1"/>
    <xf numFmtId="0" fontId="40" fillId="2" borderId="0" xfId="0" applyFont="1" applyFill="1" applyAlignment="1"/>
    <xf numFmtId="0" fontId="41" fillId="2" borderId="0" xfId="0" applyFont="1" applyFill="1" applyAlignment="1">
      <alignment horizontal="center"/>
    </xf>
    <xf numFmtId="0" fontId="42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left" vertical="top"/>
    </xf>
    <xf numFmtId="37" fontId="13" fillId="0" borderId="0" xfId="0" applyNumberFormat="1" applyFont="1" applyFill="1" applyBorder="1" applyAlignment="1">
      <alignment horizontal="right"/>
    </xf>
    <xf numFmtId="7" fontId="13" fillId="0" borderId="0" xfId="0" applyNumberFormat="1" applyFont="1" applyFill="1" applyAlignment="1"/>
    <xf numFmtId="0" fontId="43" fillId="2" borderId="0" xfId="0" applyFont="1" applyFill="1" applyAlignment="1"/>
    <xf numFmtId="0" fontId="43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5" fontId="18" fillId="0" borderId="0" xfId="8" applyNumberFormat="1" applyFont="1" applyFill="1"/>
    <xf numFmtId="2" fontId="25" fillId="0" borderId="0" xfId="0" applyNumberFormat="1" applyFont="1" applyFill="1" applyAlignment="1">
      <alignment horizontal="left"/>
    </xf>
    <xf numFmtId="2" fontId="18" fillId="0" borderId="0" xfId="0" applyNumberFormat="1" applyFont="1" applyFill="1" applyAlignment="1">
      <alignment horizontal="left"/>
    </xf>
    <xf numFmtId="0" fontId="25" fillId="0" borderId="0" xfId="0" applyFont="1" applyFill="1" applyAlignment="1"/>
    <xf numFmtId="0" fontId="16" fillId="9" borderId="0" xfId="0" applyFont="1" applyFill="1" applyAlignment="1">
      <alignment horizontal="left" vertical="top" indent="1"/>
    </xf>
    <xf numFmtId="38" fontId="13" fillId="0" borderId="0" xfId="0" applyNumberFormat="1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10" fontId="13" fillId="0" borderId="0" xfId="0" applyNumberFormat="1" applyFont="1" applyBorder="1" applyAlignment="1">
      <alignment horizontal="center" vertical="top"/>
    </xf>
    <xf numFmtId="38" fontId="13" fillId="0" borderId="0" xfId="0" applyNumberFormat="1" applyFont="1" applyFill="1" applyBorder="1" applyAlignment="1">
      <alignment horizontal="center" vertical="top"/>
    </xf>
    <xf numFmtId="38" fontId="13" fillId="0" borderId="0" xfId="0" applyNumberFormat="1" applyFont="1" applyBorder="1">
      <alignment vertical="top"/>
    </xf>
    <xf numFmtId="0" fontId="13" fillId="0" borderId="0" xfId="0" applyFont="1" applyBorder="1" applyAlignment="1">
      <alignment horizontal="center"/>
    </xf>
    <xf numFmtId="0" fontId="21" fillId="0" borderId="0" xfId="0" applyFont="1" applyBorder="1">
      <alignment vertical="top"/>
    </xf>
    <xf numFmtId="0" fontId="49" fillId="0" borderId="0" xfId="0" applyFont="1" applyBorder="1">
      <alignment vertical="top"/>
    </xf>
    <xf numFmtId="40" fontId="13" fillId="0" borderId="0" xfId="0" applyNumberFormat="1" applyFont="1" applyBorder="1" applyAlignment="1">
      <alignment horizontal="center" vertical="top"/>
    </xf>
    <xf numFmtId="0" fontId="19" fillId="0" borderId="0" xfId="0" applyFont="1">
      <alignment vertical="top"/>
    </xf>
    <xf numFmtId="0" fontId="19" fillId="0" borderId="0" xfId="0" applyFont="1" applyBorder="1">
      <alignment vertical="top"/>
    </xf>
    <xf numFmtId="0" fontId="13" fillId="0" borderId="0" xfId="0" applyFont="1" applyBorder="1" applyAlignment="1">
      <alignment vertical="center"/>
    </xf>
    <xf numFmtId="0" fontId="16" fillId="0" borderId="0" xfId="0" applyFont="1" applyAlignment="1">
      <alignment horizontal="center" vertical="top"/>
    </xf>
    <xf numFmtId="0" fontId="13" fillId="0" borderId="0" xfId="0" applyFont="1" applyAlignment="1"/>
    <xf numFmtId="0" fontId="19" fillId="0" borderId="0" xfId="0" applyFont="1" applyAlignment="1">
      <alignment horizontal="center" vertical="top"/>
    </xf>
    <xf numFmtId="0" fontId="18" fillId="0" borderId="0" xfId="34" applyNumberFormat="1" applyFont="1" applyAlignment="1">
      <alignment horizontal="center"/>
    </xf>
    <xf numFmtId="0" fontId="18" fillId="0" borderId="0" xfId="34" applyFont="1" applyFill="1"/>
    <xf numFmtId="0" fontId="18" fillId="0" borderId="0" xfId="34" applyFont="1"/>
    <xf numFmtId="1" fontId="13" fillId="0" borderId="0" xfId="0" applyNumberFormat="1" applyFont="1" applyFill="1" applyBorder="1" applyAlignment="1">
      <alignment horizontal="center"/>
    </xf>
    <xf numFmtId="10" fontId="49" fillId="0" borderId="0" xfId="0" applyNumberFormat="1" applyFont="1">
      <alignment vertical="top"/>
    </xf>
    <xf numFmtId="0" fontId="58" fillId="0" borderId="0" xfId="0" applyFont="1" applyFill="1" applyBorder="1" applyAlignment="1">
      <alignment horizontal="center"/>
    </xf>
    <xf numFmtId="0" fontId="52" fillId="0" borderId="0" xfId="0" applyFont="1" applyFill="1" applyBorder="1" applyAlignment="1">
      <alignment horizontal="center"/>
    </xf>
    <xf numFmtId="37" fontId="49" fillId="0" borderId="0" xfId="0" applyNumberFormat="1" applyFont="1" applyFill="1" applyBorder="1" applyAlignment="1"/>
    <xf numFmtId="37" fontId="49" fillId="0" borderId="0" xfId="0" applyNumberFormat="1" applyFont="1" applyFill="1" applyAlignment="1"/>
    <xf numFmtId="0" fontId="49" fillId="3" borderId="0" xfId="0" applyFont="1" applyFill="1" applyAlignment="1"/>
    <xf numFmtId="38" fontId="48" fillId="0" borderId="8" xfId="0" applyNumberFormat="1" applyFont="1" applyBorder="1">
      <alignment vertical="top"/>
    </xf>
    <xf numFmtId="0" fontId="48" fillId="0" borderId="8" xfId="0" applyFont="1" applyBorder="1">
      <alignment vertical="top"/>
    </xf>
    <xf numFmtId="38" fontId="49" fillId="0" borderId="0" xfId="0" applyNumberFormat="1" applyFont="1">
      <alignment vertical="top"/>
    </xf>
    <xf numFmtId="3" fontId="51" fillId="9" borderId="0" xfId="0" applyNumberFormat="1" applyFont="1" applyFill="1">
      <alignment vertical="top"/>
    </xf>
    <xf numFmtId="0" fontId="51" fillId="7" borderId="0" xfId="0" applyFont="1" applyFill="1">
      <alignment vertical="top"/>
    </xf>
    <xf numFmtId="0" fontId="51" fillId="0" borderId="0" xfId="0" applyFont="1" applyFill="1" applyBorder="1">
      <alignment vertical="top"/>
    </xf>
    <xf numFmtId="172" fontId="48" fillId="0" borderId="0" xfId="5" applyNumberFormat="1" applyFont="1" applyBorder="1"/>
    <xf numFmtId="0" fontId="60" fillId="0" borderId="0" xfId="0" applyFont="1" applyAlignment="1"/>
    <xf numFmtId="0" fontId="48" fillId="0" borderId="0" xfId="0" applyFont="1" applyFill="1" applyAlignment="1">
      <alignment horizontal="left"/>
    </xf>
    <xf numFmtId="37" fontId="48" fillId="0" borderId="0" xfId="0" applyNumberFormat="1" applyFont="1" applyFill="1" applyAlignment="1">
      <alignment horizontal="right"/>
    </xf>
    <xf numFmtId="0" fontId="50" fillId="0" borderId="0" xfId="0" applyFont="1" applyFill="1" applyAlignment="1">
      <alignment horizontal="center"/>
    </xf>
    <xf numFmtId="7" fontId="49" fillId="2" borderId="0" xfId="8" applyFont="1"/>
    <xf numFmtId="39" fontId="49" fillId="2" borderId="0" xfId="0" applyNumberFormat="1" applyFont="1" applyFill="1" applyBorder="1" applyAlignment="1">
      <alignment horizontal="center"/>
    </xf>
    <xf numFmtId="7" fontId="51" fillId="2" borderId="0" xfId="8" applyFont="1"/>
    <xf numFmtId="0" fontId="48" fillId="0" borderId="0" xfId="34" applyNumberFormat="1" applyFont="1" applyFill="1" applyAlignment="1"/>
    <xf numFmtId="170" fontId="48" fillId="0" borderId="0" xfId="34" applyNumberFormat="1" applyFont="1" applyFill="1" applyAlignment="1"/>
    <xf numFmtId="3" fontId="48" fillId="0" borderId="0" xfId="34" applyNumberFormat="1" applyFont="1" applyFill="1" applyAlignment="1"/>
    <xf numFmtId="37" fontId="48" fillId="0" borderId="0" xfId="34" applyNumberFormat="1" applyFont="1" applyFill="1" applyAlignment="1"/>
    <xf numFmtId="0" fontId="48" fillId="0" borderId="0" xfId="34" applyFont="1"/>
    <xf numFmtId="3" fontId="49" fillId="0" borderId="2" xfId="6" applyFont="1" applyFill="1" applyBorder="1" applyAlignment="1"/>
    <xf numFmtId="0" fontId="49" fillId="0" borderId="2" xfId="0" applyFont="1" applyFill="1" applyBorder="1" applyAlignment="1"/>
    <xf numFmtId="0" fontId="13" fillId="0" borderId="0" xfId="0" applyFont="1" applyFill="1" applyAlignment="1"/>
    <xf numFmtId="37" fontId="51" fillId="0" borderId="0" xfId="0" applyNumberFormat="1" applyFont="1" applyFill="1" applyBorder="1" applyAlignment="1" applyProtection="1">
      <protection locked="0"/>
    </xf>
    <xf numFmtId="10" fontId="49" fillId="0" borderId="0" xfId="38" applyFont="1" applyFill="1" applyProtection="1">
      <protection locked="0"/>
    </xf>
    <xf numFmtId="0" fontId="13" fillId="0" borderId="2" xfId="0" applyFont="1" applyFill="1" applyBorder="1" applyAlignment="1"/>
    <xf numFmtId="0" fontId="13" fillId="0" borderId="0" xfId="0" applyFont="1" applyFill="1" applyAlignment="1"/>
    <xf numFmtId="2" fontId="11" fillId="0" borderId="0" xfId="0" applyNumberFormat="1" applyFont="1">
      <alignment vertical="top"/>
    </xf>
    <xf numFmtId="0" fontId="11" fillId="0" borderId="0" xfId="0" applyFont="1" applyFill="1">
      <alignment vertical="top"/>
    </xf>
    <xf numFmtId="0" fontId="13" fillId="0" borderId="0" xfId="0" applyFont="1" applyFill="1" applyAlignment="1"/>
    <xf numFmtId="0" fontId="13" fillId="2" borderId="0" xfId="0" applyFont="1" applyFill="1" applyAlignment="1">
      <alignment vertical="top"/>
    </xf>
    <xf numFmtId="0" fontId="18" fillId="6" borderId="0" xfId="0" applyFont="1" applyFill="1" applyBorder="1">
      <alignment vertical="top"/>
    </xf>
    <xf numFmtId="0" fontId="16" fillId="2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2" fontId="11" fillId="0" borderId="0" xfId="0" applyNumberFormat="1" applyFont="1" applyFill="1">
      <alignment vertical="top"/>
    </xf>
    <xf numFmtId="0" fontId="11" fillId="0" borderId="0" xfId="0" applyFont="1">
      <alignment vertical="top"/>
    </xf>
    <xf numFmtId="39" fontId="13" fillId="0" borderId="0" xfId="0" applyNumberFormat="1" applyFont="1" applyFill="1" applyAlignment="1"/>
    <xf numFmtId="0" fontId="20" fillId="0" borderId="0" xfId="0" applyFont="1" applyBorder="1" applyAlignment="1">
      <alignment horizontal="center" vertical="top"/>
    </xf>
    <xf numFmtId="0" fontId="20" fillId="0" borderId="33" xfId="0" applyFont="1" applyBorder="1" applyAlignment="1">
      <alignment horizontal="center" vertical="top"/>
    </xf>
    <xf numFmtId="0" fontId="18" fillId="2" borderId="0" xfId="36" applyFill="1" applyAlignment="1"/>
    <xf numFmtId="0" fontId="39" fillId="0" borderId="0" xfId="0" applyFont="1" applyFill="1" applyBorder="1" applyAlignment="1">
      <alignment horizontal="center"/>
    </xf>
    <xf numFmtId="0" fontId="39" fillId="0" borderId="0" xfId="0" applyFont="1" applyFill="1" applyBorder="1" applyAlignment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center"/>
    </xf>
    <xf numFmtId="0" fontId="48" fillId="0" borderId="0" xfId="34" applyNumberFormat="1" applyFont="1" applyAlignment="1"/>
    <xf numFmtId="0" fontId="48" fillId="0" borderId="0" xfId="34" applyFont="1" applyFill="1"/>
    <xf numFmtId="10" fontId="48" fillId="0" borderId="0" xfId="34" applyNumberFormat="1" applyFont="1" applyAlignment="1"/>
    <xf numFmtId="179" fontId="48" fillId="0" borderId="0" xfId="34" applyNumberFormat="1" applyFont="1" applyFill="1" applyAlignment="1"/>
    <xf numFmtId="179" fontId="48" fillId="0" borderId="0" xfId="34" applyNumberFormat="1" applyFont="1" applyFill="1" applyAlignment="1">
      <alignment horizontal="center"/>
    </xf>
    <xf numFmtId="0" fontId="49" fillId="0" borderId="0" xfId="0" applyFont="1" applyFill="1">
      <alignment vertical="top"/>
    </xf>
    <xf numFmtId="38" fontId="59" fillId="0" borderId="0" xfId="0" applyNumberFormat="1" applyFont="1" applyBorder="1">
      <alignment vertical="top"/>
    </xf>
    <xf numFmtId="0" fontId="13" fillId="0" borderId="0" xfId="0" applyFont="1" applyFill="1" applyAlignment="1"/>
    <xf numFmtId="0" fontId="13" fillId="0" borderId="0" xfId="0" applyFont="1" applyFill="1" applyAlignment="1"/>
    <xf numFmtId="4" fontId="16" fillId="0" borderId="0" xfId="0" applyNumberFormat="1" applyFont="1" applyFill="1" applyBorder="1" applyAlignment="1"/>
    <xf numFmtId="0" fontId="13" fillId="0" borderId="0" xfId="0" applyFont="1" applyFill="1" applyAlignment="1"/>
    <xf numFmtId="0" fontId="13" fillId="0" borderId="0" xfId="0" applyFont="1" applyFill="1" applyAlignment="1"/>
    <xf numFmtId="4" fontId="13" fillId="0" borderId="38" xfId="6" applyNumberFormat="1" applyFont="1" applyFill="1" applyBorder="1" applyAlignment="1">
      <alignment horizontal="left" indent="2"/>
    </xf>
    <xf numFmtId="4" fontId="13" fillId="0" borderId="38" xfId="6" applyNumberFormat="1" applyFont="1" applyFill="1" applyBorder="1" applyAlignment="1"/>
    <xf numFmtId="39" fontId="52" fillId="0" borderId="0" xfId="0" applyNumberFormat="1" applyFont="1" applyFill="1" applyBorder="1" applyAlignment="1">
      <alignment horizontal="center"/>
    </xf>
    <xf numFmtId="39" fontId="49" fillId="2" borderId="0" xfId="8" applyNumberFormat="1" applyFont="1"/>
    <xf numFmtId="0" fontId="59" fillId="0" borderId="0" xfId="0" applyFont="1" applyBorder="1">
      <alignment vertical="top"/>
    </xf>
    <xf numFmtId="4" fontId="59" fillId="0" borderId="0" xfId="0" applyNumberFormat="1" applyFont="1" applyBorder="1">
      <alignment vertical="top"/>
    </xf>
    <xf numFmtId="10" fontId="60" fillId="2" borderId="0" xfId="38" applyNumberFormat="1" applyFont="1"/>
    <xf numFmtId="0" fontId="60" fillId="0" borderId="0" xfId="0" applyFont="1" applyFill="1" applyAlignment="1"/>
    <xf numFmtId="6" fontId="49" fillId="0" borderId="0" xfId="0" applyNumberFormat="1" applyFont="1">
      <alignment vertical="top"/>
    </xf>
    <xf numFmtId="6" fontId="49" fillId="0" borderId="0" xfId="0" applyNumberFormat="1" applyFont="1" applyFill="1">
      <alignment vertical="top"/>
    </xf>
    <xf numFmtId="5" fontId="51" fillId="0" borderId="0" xfId="0" applyNumberFormat="1" applyFont="1" applyFill="1" applyAlignment="1"/>
    <xf numFmtId="179" fontId="48" fillId="0" borderId="0" xfId="34" applyNumberFormat="1" applyFont="1" applyAlignment="1"/>
    <xf numFmtId="170" fontId="48" fillId="0" borderId="0" xfId="34" applyNumberFormat="1" applyFont="1" applyFill="1"/>
    <xf numFmtId="0" fontId="48" fillId="2" borderId="0" xfId="36" applyFont="1" applyFill="1" applyAlignment="1"/>
    <xf numFmtId="173" fontId="48" fillId="0" borderId="0" xfId="34" applyNumberFormat="1" applyFont="1"/>
    <xf numFmtId="0" fontId="11" fillId="0" borderId="0" xfId="0" applyFont="1" applyAlignment="1">
      <alignment horizontal="left"/>
    </xf>
    <xf numFmtId="2" fontId="11" fillId="0" borderId="0" xfId="0" applyNumberFormat="1" applyFont="1" applyAlignment="1">
      <alignment horizontal="right" vertical="top"/>
    </xf>
    <xf numFmtId="2" fontId="25" fillId="0" borderId="0" xfId="0" applyNumberFormat="1" applyFont="1" applyFill="1" applyAlignment="1">
      <alignment horizontal="right" vertical="top"/>
    </xf>
    <xf numFmtId="0" fontId="13" fillId="3" borderId="0" xfId="0" applyFont="1" applyFill="1" applyBorder="1" applyAlignment="1">
      <alignment shrinkToFit="1"/>
    </xf>
    <xf numFmtId="2" fontId="13" fillId="3" borderId="0" xfId="0" applyNumberFormat="1" applyFont="1" applyFill="1" applyBorder="1" applyAlignment="1"/>
    <xf numFmtId="37" fontId="66" fillId="0" borderId="0" xfId="0" applyNumberFormat="1" applyFont="1" applyFill="1" applyBorder="1" applyAlignment="1" applyProtection="1">
      <protection locked="0"/>
    </xf>
    <xf numFmtId="0" fontId="62" fillId="0" borderId="0" xfId="139" applyNumberFormat="1" applyFont="1" applyFill="1" applyBorder="1" applyAlignment="1" applyProtection="1">
      <alignment vertical="top"/>
    </xf>
    <xf numFmtId="0" fontId="62" fillId="0" borderId="0" xfId="140" applyNumberFormat="1" applyFont="1" applyFill="1" applyBorder="1" applyAlignment="1" applyProtection="1">
      <alignment vertical="top"/>
    </xf>
    <xf numFmtId="0" fontId="62" fillId="0" borderId="0" xfId="141" applyNumberFormat="1" applyFont="1" applyFill="1" applyBorder="1" applyAlignment="1" applyProtection="1">
      <alignment vertical="top"/>
    </xf>
    <xf numFmtId="0" fontId="62" fillId="0" borderId="0" xfId="142" applyNumberFormat="1" applyFont="1" applyFill="1" applyBorder="1" applyAlignment="1" applyProtection="1">
      <alignment vertical="top"/>
    </xf>
    <xf numFmtId="0" fontId="62" fillId="0" borderId="0" xfId="144" applyNumberFormat="1" applyFont="1" applyFill="1" applyBorder="1" applyAlignment="1" applyProtection="1">
      <alignment vertical="top"/>
    </xf>
    <xf numFmtId="0" fontId="18" fillId="2" borderId="0" xfId="36" applyFont="1" applyFill="1" applyAlignment="1"/>
    <xf numFmtId="0" fontId="13" fillId="0" borderId="0" xfId="0" applyFont="1" applyFill="1" applyAlignment="1"/>
    <xf numFmtId="2" fontId="14" fillId="0" borderId="0" xfId="0" applyNumberFormat="1" applyFont="1">
      <alignment vertical="top"/>
    </xf>
    <xf numFmtId="0" fontId="19" fillId="0" borderId="0" xfId="0" applyFont="1" applyFill="1" applyAlignment="1"/>
    <xf numFmtId="0" fontId="18" fillId="2" borderId="0" xfId="0" applyFont="1" applyFill="1" applyAlignment="1">
      <alignment horizontal="left"/>
    </xf>
    <xf numFmtId="5" fontId="13" fillId="0" borderId="0" xfId="8" applyNumberFormat="1" applyFont="1" applyFill="1"/>
    <xf numFmtId="5" fontId="13" fillId="2" borderId="0" xfId="8" applyNumberFormat="1" applyFont="1"/>
    <xf numFmtId="7" fontId="13" fillId="2" borderId="0" xfId="8" applyFont="1"/>
    <xf numFmtId="0" fontId="20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0" fontId="20" fillId="0" borderId="0" xfId="0" applyFont="1" applyFill="1" applyBorder="1" applyAlignment="1">
      <alignment horizontal="center" vertical="top"/>
    </xf>
    <xf numFmtId="37" fontId="13" fillId="0" borderId="0" xfId="0" applyNumberFormat="1" applyFont="1" applyFill="1" applyBorder="1" applyAlignment="1">
      <alignment horizontal="center" vertical="top"/>
    </xf>
    <xf numFmtId="10" fontId="13" fillId="0" borderId="0" xfId="0" applyNumberFormat="1" applyFont="1" applyFill="1" applyBorder="1" applyAlignment="1">
      <alignment horizontal="center" vertical="top"/>
    </xf>
    <xf numFmtId="0" fontId="13" fillId="0" borderId="0" xfId="0" applyFont="1" applyFill="1" applyBorder="1" applyAlignment="1">
      <alignment horizontal="center" vertical="top"/>
    </xf>
    <xf numFmtId="40" fontId="13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Alignment="1"/>
    <xf numFmtId="0" fontId="13" fillId="0" borderId="0" xfId="0" applyFont="1" applyFill="1" applyAlignment="1"/>
    <xf numFmtId="37" fontId="16" fillId="0" borderId="0" xfId="0" applyNumberFormat="1" applyFont="1" applyFill="1" applyBorder="1" applyAlignment="1" applyProtection="1">
      <protection locked="0"/>
    </xf>
    <xf numFmtId="10" fontId="64" fillId="0" borderId="0" xfId="38" applyNumberFormat="1" applyFont="1" applyFill="1"/>
    <xf numFmtId="10" fontId="60" fillId="0" borderId="0" xfId="38" applyNumberFormat="1" applyFont="1" applyFill="1"/>
    <xf numFmtId="0" fontId="13" fillId="0" borderId="0" xfId="0" applyFont="1" applyFill="1" applyAlignment="1"/>
    <xf numFmtId="10" fontId="13" fillId="2" borderId="0" xfId="38" applyFont="1"/>
    <xf numFmtId="0" fontId="18" fillId="0" borderId="0" xfId="34" applyNumberFormat="1" applyFont="1" applyFill="1" applyAlignment="1"/>
    <xf numFmtId="0" fontId="48" fillId="0" borderId="0" xfId="36" applyFont="1" applyFill="1" applyAlignment="1"/>
    <xf numFmtId="0" fontId="48" fillId="0" borderId="0" xfId="34" applyFont="1" applyFill="1" applyBorder="1"/>
    <xf numFmtId="0" fontId="48" fillId="0" borderId="0" xfId="45" applyNumberFormat="1" applyFont="1" applyFill="1"/>
    <xf numFmtId="0" fontId="13" fillId="2" borderId="0" xfId="0" applyFont="1" applyFill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Alignment="1"/>
    <xf numFmtId="0" fontId="13" fillId="60" borderId="23" xfId="0" applyFont="1" applyFill="1" applyBorder="1" applyAlignment="1"/>
    <xf numFmtId="0" fontId="49" fillId="59" borderId="38" xfId="0" applyFont="1" applyFill="1" applyBorder="1" applyAlignment="1"/>
    <xf numFmtId="0" fontId="13" fillId="59" borderId="23" xfId="0" applyFont="1" applyFill="1" applyBorder="1" applyAlignment="1"/>
    <xf numFmtId="0" fontId="13" fillId="59" borderId="38" xfId="0" applyFont="1" applyFill="1" applyBorder="1" applyAlignment="1">
      <alignment horizontal="center"/>
    </xf>
    <xf numFmtId="0" fontId="49" fillId="59" borderId="23" xfId="0" applyFont="1" applyFill="1" applyBorder="1" applyAlignment="1"/>
    <xf numFmtId="0" fontId="13" fillId="59" borderId="38" xfId="0" applyFont="1" applyFill="1" applyBorder="1" applyAlignment="1"/>
    <xf numFmtId="0" fontId="17" fillId="59" borderId="23" xfId="0" applyFont="1" applyFill="1" applyBorder="1" applyAlignment="1"/>
    <xf numFmtId="0" fontId="63" fillId="59" borderId="23" xfId="0" applyFont="1" applyFill="1" applyBorder="1" applyAlignment="1"/>
    <xf numFmtId="7" fontId="48" fillId="0" borderId="0" xfId="36" applyNumberFormat="1" applyFont="1" applyFill="1" applyAlignment="1"/>
    <xf numFmtId="0" fontId="11" fillId="59" borderId="37" xfId="0" applyFont="1" applyFill="1" applyBorder="1" applyAlignment="1">
      <alignment vertical="center"/>
    </xf>
    <xf numFmtId="0" fontId="102" fillId="59" borderId="37" xfId="0" applyFont="1" applyFill="1" applyBorder="1" applyAlignment="1">
      <alignment vertical="center"/>
    </xf>
    <xf numFmtId="0" fontId="13" fillId="59" borderId="23" xfId="0" applyFont="1" applyFill="1" applyBorder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7" fontId="49" fillId="0" borderId="0" xfId="0" applyNumberFormat="1" applyFont="1" applyFill="1" applyAlignment="1"/>
    <xf numFmtId="0" fontId="37" fillId="0" borderId="0" xfId="34" applyFont="1" applyFill="1"/>
    <xf numFmtId="0" fontId="13" fillId="0" borderId="0" xfId="0" applyFont="1" applyFill="1" applyAlignme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0" fontId="13" fillId="0" borderId="0" xfId="59" applyNumberFormat="1" applyFont="1" applyFill="1" applyBorder="1" applyAlignment="1" applyProtection="1">
      <alignment vertical="top"/>
    </xf>
    <xf numFmtId="38" fontId="59" fillId="0" borderId="19" xfId="0" applyNumberFormat="1" applyFont="1" applyBorder="1">
      <alignment vertical="top"/>
    </xf>
    <xf numFmtId="3" fontId="103" fillId="0" borderId="0" xfId="0" applyNumberFormat="1" applyFont="1" applyFill="1" applyBorder="1" applyAlignment="1"/>
    <xf numFmtId="0" fontId="60" fillId="0" borderId="0" xfId="0" applyFont="1" applyAlignment="1">
      <alignment horizontal="center"/>
    </xf>
    <xf numFmtId="10" fontId="48" fillId="2" borderId="0" xfId="38" applyFont="1"/>
    <xf numFmtId="39" fontId="49" fillId="0" borderId="0" xfId="0" applyNumberFormat="1" applyFont="1" applyFill="1" applyAlignment="1"/>
    <xf numFmtId="178" fontId="49" fillId="0" borderId="0" xfId="0" applyNumberFormat="1" applyFont="1" applyFill="1" applyAlignment="1">
      <alignment horizontal="center"/>
    </xf>
    <xf numFmtId="165" fontId="48" fillId="0" borderId="0" xfId="34" applyNumberFormat="1" applyFont="1" applyFill="1" applyAlignment="1"/>
    <xf numFmtId="0" fontId="48" fillId="0" borderId="0" xfId="34" applyNumberFormat="1" applyFont="1" applyFill="1" applyAlignment="1">
      <alignment wrapText="1"/>
    </xf>
    <xf numFmtId="165" fontId="48" fillId="0" borderId="0" xfId="34" applyNumberFormat="1" applyFont="1" applyFill="1" applyAlignment="1">
      <alignment horizontal="center"/>
    </xf>
    <xf numFmtId="168" fontId="48" fillId="0" borderId="0" xfId="34" applyNumberFormat="1" applyFont="1" applyFill="1" applyAlignment="1"/>
    <xf numFmtId="181" fontId="48" fillId="0" borderId="0" xfId="34" applyNumberFormat="1" applyFont="1" applyFill="1" applyAlignment="1"/>
    <xf numFmtId="2" fontId="48" fillId="0" borderId="0" xfId="34" applyNumberFormat="1" applyFont="1" applyAlignment="1"/>
    <xf numFmtId="2" fontId="48" fillId="0" borderId="0" xfId="34" applyNumberFormat="1" applyFont="1" applyFill="1" applyAlignment="1"/>
    <xf numFmtId="171" fontId="48" fillId="0" borderId="0" xfId="34" applyNumberFormat="1" applyFont="1" applyFill="1" applyAlignme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5" fontId="58" fillId="0" borderId="0" xfId="0" applyNumberFormat="1" applyFont="1" applyFill="1" applyBorder="1" applyAlignment="1"/>
    <xf numFmtId="2" fontId="16" fillId="0" borderId="0" xfId="0" applyNumberFormat="1" applyFont="1" applyFill="1" applyAlignment="1">
      <alignment horizontal="right" vertical="top"/>
    </xf>
    <xf numFmtId="2" fontId="11" fillId="0" borderId="0" xfId="0" applyNumberFormat="1" applyFont="1" applyAlignment="1">
      <alignment vertical="top"/>
    </xf>
    <xf numFmtId="37" fontId="49" fillId="11" borderId="0" xfId="0" applyNumberFormat="1" applyFont="1" applyFill="1">
      <alignment vertical="top"/>
    </xf>
    <xf numFmtId="0" fontId="13" fillId="2" borderId="0" xfId="0" applyFont="1" applyFill="1" applyAlignment="1"/>
    <xf numFmtId="7" fontId="13" fillId="2" borderId="0" xfId="8" applyFont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0" fontId="11" fillId="0" borderId="0" xfId="0" applyFont="1" applyBorder="1" applyAlignment="1">
      <alignment horizontal="center"/>
    </xf>
    <xf numFmtId="10" fontId="11" fillId="2" borderId="0" xfId="38" applyFont="1"/>
    <xf numFmtId="4" fontId="13" fillId="2" borderId="0" xfId="1" applyFont="1" applyAlignme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3" fontId="49" fillId="0" borderId="0" xfId="0" applyNumberFormat="1" applyFont="1" applyFill="1">
      <alignment vertical="top"/>
    </xf>
    <xf numFmtId="5" fontId="104" fillId="0" borderId="0" xfId="0" applyNumberFormat="1" applyFont="1" applyAlignment="1" applyProtection="1"/>
    <xf numFmtId="7" fontId="48" fillId="2" borderId="0" xfId="8" applyFont="1"/>
    <xf numFmtId="5" fontId="60" fillId="0" borderId="0" xfId="26" applyNumberFormat="1" applyFont="1" applyFill="1" applyProtection="1"/>
    <xf numFmtId="10" fontId="104" fillId="0" borderId="0" xfId="0" applyNumberFormat="1" applyFont="1" applyAlignment="1"/>
    <xf numFmtId="7" fontId="48" fillId="2" borderId="0" xfId="0" applyNumberFormat="1" applyFont="1" applyFill="1" applyAlignment="1"/>
    <xf numFmtId="10" fontId="48" fillId="2" borderId="0" xfId="0" applyNumberFormat="1" applyFont="1" applyFill="1" applyAlignment="1"/>
    <xf numFmtId="10" fontId="60" fillId="0" borderId="0" xfId="0" applyNumberFormat="1" applyFont="1" applyAlignment="1"/>
    <xf numFmtId="10" fontId="64" fillId="2" borderId="0" xfId="38" applyNumberFormat="1" applyFont="1"/>
    <xf numFmtId="38" fontId="59" fillId="0" borderId="20" xfId="0" applyNumberFormat="1" applyFont="1" applyBorder="1">
      <alignment vertical="top"/>
    </xf>
    <xf numFmtId="44" fontId="49" fillId="0" borderId="0" xfId="6" applyNumberFormat="1" applyFont="1" applyFill="1" applyAlignment="1"/>
    <xf numFmtId="0" fontId="13" fillId="0" borderId="0" xfId="0" applyFont="1" applyFill="1" applyAlignment="1"/>
    <xf numFmtId="0" fontId="105" fillId="0" borderId="0" xfId="0" applyFont="1" applyAlignment="1"/>
    <xf numFmtId="0" fontId="105" fillId="0" borderId="0" xfId="0" applyFont="1" applyFill="1" applyAlignment="1"/>
    <xf numFmtId="0" fontId="39" fillId="0" borderId="0" xfId="0" applyFont="1" applyAlignment="1"/>
    <xf numFmtId="40" fontId="49" fillId="0" borderId="0" xfId="0" applyNumberFormat="1" applyFont="1" applyFill="1">
      <alignment vertical="top"/>
    </xf>
    <xf numFmtId="0" fontId="18" fillId="0" borderId="0" xfId="34" applyNumberFormat="1" applyFont="1" applyAlignment="1"/>
    <xf numFmtId="0" fontId="18" fillId="0" borderId="0" xfId="36" applyFont="1" applyFill="1" applyBorder="1" applyAlignment="1">
      <alignment horizontal="left"/>
    </xf>
    <xf numFmtId="165" fontId="18" fillId="0" borderId="0" xfId="34" applyNumberFormat="1" applyFont="1" applyFill="1" applyAlignment="1"/>
    <xf numFmtId="0" fontId="18" fillId="0" borderId="0" xfId="34" applyNumberFormat="1" applyFont="1" applyFill="1" applyAlignment="1" applyProtection="1">
      <alignment wrapText="1"/>
      <protection locked="0"/>
    </xf>
    <xf numFmtId="0" fontId="18" fillId="0" borderId="0" xfId="34" applyNumberFormat="1" applyFont="1" applyAlignment="1">
      <alignment horizontal="right"/>
    </xf>
    <xf numFmtId="0" fontId="18" fillId="0" borderId="0" xfId="34" applyNumberFormat="1" applyFont="1" applyFill="1" applyAlignment="1" applyProtection="1">
      <protection locked="0"/>
    </xf>
    <xf numFmtId="0" fontId="18" fillId="0" borderId="0" xfId="34" applyNumberFormat="1" applyFont="1" applyFill="1" applyAlignment="1">
      <alignment wrapText="1"/>
    </xf>
    <xf numFmtId="0" fontId="18" fillId="0" borderId="0" xfId="34" applyNumberFormat="1" applyFont="1" applyAlignment="1">
      <alignment wrapText="1"/>
    </xf>
    <xf numFmtId="165" fontId="18" fillId="0" borderId="0" xfId="34" applyNumberFormat="1" applyFont="1" applyFill="1" applyAlignment="1">
      <alignment horizontal="center"/>
    </xf>
    <xf numFmtId="0" fontId="18" fillId="0" borderId="0" xfId="34" applyNumberFormat="1" applyFont="1" applyFill="1" applyAlignment="1">
      <alignment horizontal="centerContinuous"/>
    </xf>
    <xf numFmtId="0" fontId="18" fillId="0" borderId="0" xfId="34" applyNumberFormat="1" applyFont="1" applyFill="1" applyAlignment="1">
      <alignment horizontal="center"/>
    </xf>
    <xf numFmtId="14" fontId="18" fillId="0" borderId="0" xfId="34" applyNumberFormat="1" applyFont="1" applyAlignment="1">
      <alignment horizontal="center"/>
    </xf>
    <xf numFmtId="0" fontId="18" fillId="0" borderId="0" xfId="34" applyNumberFormat="1" applyFont="1" applyAlignment="1">
      <alignment horizontal="fill" wrapText="1"/>
    </xf>
    <xf numFmtId="165" fontId="18" fillId="0" borderId="0" xfId="34" applyNumberFormat="1" applyFont="1" applyFill="1" applyAlignment="1">
      <alignment horizontal="fill"/>
    </xf>
    <xf numFmtId="0" fontId="18" fillId="0" borderId="0" xfId="34" applyNumberFormat="1" applyFont="1" applyAlignment="1">
      <alignment horizontal="fill"/>
    </xf>
    <xf numFmtId="0" fontId="18" fillId="0" borderId="0" xfId="34" applyNumberFormat="1" applyFont="1" applyFill="1" applyAlignment="1">
      <alignment horizontal="fill"/>
    </xf>
    <xf numFmtId="44" fontId="48" fillId="0" borderId="0" xfId="36" applyNumberFormat="1" applyFont="1" applyFill="1" applyAlignment="1"/>
    <xf numFmtId="179" fontId="48" fillId="0" borderId="0" xfId="34" applyNumberFormat="1" applyFont="1" applyFill="1" applyBorder="1" applyAlignment="1"/>
    <xf numFmtId="0" fontId="18" fillId="0" borderId="0" xfId="34" quotePrefix="1" applyNumberFormat="1" applyFont="1" applyAlignment="1">
      <alignment horizontal="fill"/>
    </xf>
    <xf numFmtId="2" fontId="48" fillId="0" borderId="0" xfId="34" applyNumberFormat="1" applyFont="1" applyFill="1" applyBorder="1" applyAlignment="1"/>
    <xf numFmtId="172" fontId="48" fillId="0" borderId="0" xfId="46" applyNumberFormat="1" applyFont="1" applyFill="1" applyBorder="1" applyAlignment="1"/>
    <xf numFmtId="170" fontId="48" fillId="0" borderId="0" xfId="36" applyNumberFormat="1" applyFont="1" applyFill="1" applyAlignment="1"/>
    <xf numFmtId="179" fontId="48" fillId="0" borderId="0" xfId="36" applyNumberFormat="1" applyFont="1" applyFill="1" applyAlignment="1"/>
    <xf numFmtId="173" fontId="48" fillId="0" borderId="0" xfId="45" applyNumberFormat="1" applyFont="1" applyFill="1"/>
    <xf numFmtId="4" fontId="16" fillId="0" borderId="0" xfId="0" applyNumberFormat="1" applyFont="1">
      <alignment vertical="top"/>
    </xf>
    <xf numFmtId="0" fontId="13" fillId="0" borderId="0" xfId="0" applyFont="1" applyFill="1" applyAlignment="1"/>
    <xf numFmtId="0" fontId="13" fillId="2" borderId="0" xfId="0" applyFont="1" applyFill="1" applyAlignment="1"/>
    <xf numFmtId="5" fontId="13" fillId="2" borderId="0" xfId="0" applyNumberFormat="1" applyFont="1" applyFill="1" applyAlignment="1"/>
    <xf numFmtId="5" fontId="16" fillId="0" borderId="0" xfId="0" applyNumberFormat="1" applyFont="1" applyFill="1" applyAlignment="1"/>
    <xf numFmtId="4" fontId="107" fillId="2" borderId="0" xfId="0" applyNumberFormat="1" applyFont="1" applyFill="1" applyAlignment="1"/>
    <xf numFmtId="0" fontId="13" fillId="0" borderId="0" xfId="34"/>
    <xf numFmtId="5" fontId="49" fillId="0" borderId="0" xfId="0" applyNumberFormat="1" applyFont="1" applyFill="1">
      <alignment vertical="top"/>
    </xf>
    <xf numFmtId="38" fontId="108" fillId="0" borderId="0" xfId="0" applyNumberFormat="1" applyFont="1" applyBorder="1">
      <alignment vertical="top"/>
    </xf>
    <xf numFmtId="0" fontId="48" fillId="0" borderId="0" xfId="0" applyFont="1" applyBorder="1">
      <alignment vertical="top"/>
    </xf>
    <xf numFmtId="0" fontId="59" fillId="0" borderId="0" xfId="0" applyFont="1" applyFill="1" applyBorder="1">
      <alignment vertical="top"/>
    </xf>
    <xf numFmtId="37" fontId="59" fillId="0" borderId="0" xfId="0" applyNumberFormat="1" applyFont="1" applyBorder="1">
      <alignment vertical="top"/>
    </xf>
    <xf numFmtId="38" fontId="48" fillId="0" borderId="39" xfId="0" applyNumberFormat="1" applyFont="1" applyBorder="1">
      <alignment vertical="top"/>
    </xf>
    <xf numFmtId="38" fontId="48" fillId="0" borderId="40" xfId="0" applyNumberFormat="1" applyFont="1" applyBorder="1">
      <alignment vertical="top"/>
    </xf>
    <xf numFmtId="170" fontId="48" fillId="0" borderId="0" xfId="34" applyNumberFormat="1" applyFont="1" applyAlignment="1"/>
    <xf numFmtId="10" fontId="48" fillId="0" borderId="0" xfId="34" applyNumberFormat="1" applyFont="1" applyFill="1" applyAlignment="1"/>
    <xf numFmtId="173" fontId="48" fillId="0" borderId="0" xfId="45" applyNumberFormat="1" applyFont="1" applyFill="1" applyAlignment="1"/>
    <xf numFmtId="173" fontId="59" fillId="0" borderId="0" xfId="45" applyNumberFormat="1" applyFont="1" applyFill="1" applyAlignment="1"/>
    <xf numFmtId="170" fontId="59" fillId="0" borderId="0" xfId="34" applyNumberFormat="1" applyFont="1" applyFill="1" applyAlignment="1"/>
    <xf numFmtId="171" fontId="48" fillId="0" borderId="0" xfId="34" applyNumberFormat="1" applyFont="1" applyFill="1" applyBorder="1" applyAlignment="1"/>
    <xf numFmtId="168" fontId="48" fillId="0" borderId="0" xfId="34" applyNumberFormat="1" applyFont="1" applyFill="1" applyBorder="1" applyAlignment="1"/>
    <xf numFmtId="170" fontId="48" fillId="0" borderId="0" xfId="34" applyNumberFormat="1" applyFont="1" applyFill="1" applyBorder="1" applyAlignment="1"/>
    <xf numFmtId="44" fontId="49" fillId="0" borderId="0" xfId="58" applyNumberFormat="1" applyFont="1" applyFill="1" applyBorder="1" applyAlignment="1" applyProtection="1">
      <protection locked="0"/>
    </xf>
    <xf numFmtId="0" fontId="13" fillId="0" borderId="0" xfId="0" applyFont="1" applyFill="1" applyAlignment="1"/>
    <xf numFmtId="3" fontId="13" fillId="0" borderId="0" xfId="0" applyNumberFormat="1" applyFont="1" applyFill="1">
      <alignment vertical="top"/>
    </xf>
    <xf numFmtId="3" fontId="16" fillId="0" borderId="0" xfId="0" applyNumberFormat="1" applyFont="1" applyFill="1">
      <alignment vertical="top"/>
    </xf>
    <xf numFmtId="0" fontId="19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2" borderId="0" xfId="0" applyFont="1" applyFill="1" applyAlignment="1"/>
    <xf numFmtId="44" fontId="13" fillId="0" borderId="0" xfId="79" applyNumberFormat="1" applyFont="1" applyFill="1" applyBorder="1" applyAlignment="1" applyProtection="1">
      <protection locked="0"/>
    </xf>
    <xf numFmtId="44" fontId="13" fillId="0" borderId="0" xfId="80" applyNumberFormat="1" applyFont="1" applyFill="1" applyBorder="1" applyAlignment="1" applyProtection="1">
      <protection locked="0"/>
    </xf>
    <xf numFmtId="44" fontId="13" fillId="0" borderId="0" xfId="95" applyNumberFormat="1" applyFont="1" applyFill="1" applyBorder="1" applyAlignment="1" applyProtection="1">
      <protection locked="0"/>
    </xf>
    <xf numFmtId="44" fontId="13" fillId="0" borderId="0" xfId="124" applyNumberFormat="1" applyFont="1" applyFill="1" applyBorder="1" applyAlignment="1" applyProtection="1">
      <protection locked="0"/>
    </xf>
    <xf numFmtId="44" fontId="13" fillId="0" borderId="0" xfId="122" applyNumberFormat="1" applyFont="1" applyFill="1" applyBorder="1" applyAlignment="1" applyProtection="1">
      <protection locked="0"/>
    </xf>
    <xf numFmtId="4" fontId="13" fillId="0" borderId="0" xfId="0" applyNumberFormat="1" applyFont="1" applyFill="1" applyAlignment="1"/>
    <xf numFmtId="0" fontId="105" fillId="0" borderId="0" xfId="0" applyFont="1" applyFill="1" applyBorder="1" applyAlignment="1">
      <alignment horizontal="left"/>
    </xf>
    <xf numFmtId="0" fontId="105" fillId="0" borderId="0" xfId="0" applyFont="1" applyFill="1" applyBorder="1" applyAlignment="1"/>
    <xf numFmtId="0" fontId="13" fillId="0" borderId="0" xfId="0" applyFont="1" applyFill="1" applyAlignment="1"/>
    <xf numFmtId="0" fontId="13" fillId="0" borderId="33" xfId="0" applyFont="1" applyFill="1" applyBorder="1" applyAlignment="1">
      <alignment horizontal="center" vertical="top"/>
    </xf>
    <xf numFmtId="40" fontId="13" fillId="0" borderId="36" xfId="0" applyNumberFormat="1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39" fontId="49" fillId="0" borderId="0" xfId="0" applyNumberFormat="1" applyFont="1" applyFill="1" applyBorder="1" applyAlignment="1">
      <alignment horizontal="right"/>
    </xf>
    <xf numFmtId="39" fontId="49" fillId="0" borderId="0" xfId="8" applyNumberFormat="1" applyFont="1" applyFill="1"/>
    <xf numFmtId="0" fontId="13" fillId="0" borderId="0" xfId="0" applyFont="1" applyFill="1" applyAlignment="1"/>
    <xf numFmtId="0" fontId="51" fillId="0" borderId="0" xfId="0" applyFont="1" applyBorder="1">
      <alignment vertical="top"/>
    </xf>
    <xf numFmtId="3" fontId="51" fillId="0" borderId="0" xfId="0" applyNumberFormat="1" applyFont="1" applyFill="1" applyBorder="1">
      <alignment vertical="top"/>
    </xf>
    <xf numFmtId="174" fontId="105" fillId="0" borderId="0" xfId="0" applyNumberFormat="1" applyFont="1" applyAlignment="1"/>
    <xf numFmtId="174" fontId="60" fillId="0" borderId="0" xfId="0" applyNumberFormat="1" applyFont="1" applyAlignment="1"/>
    <xf numFmtId="174" fontId="48" fillId="2" borderId="0" xfId="0" applyNumberFormat="1" applyFont="1" applyFill="1" applyAlignment="1"/>
    <xf numFmtId="38" fontId="16" fillId="0" borderId="0" xfId="0" applyNumberFormat="1" applyFont="1" applyFill="1">
      <alignment vertical="top"/>
    </xf>
    <xf numFmtId="0" fontId="13" fillId="0" borderId="0" xfId="0" applyFont="1" applyFill="1" applyAlignment="1"/>
    <xf numFmtId="0" fontId="13" fillId="2" borderId="0" xfId="0" applyFont="1" applyFill="1" applyAlignment="1"/>
    <xf numFmtId="38" fontId="11" fillId="0" borderId="19" xfId="0" applyNumberFormat="1" applyFont="1" applyFill="1" applyBorder="1">
      <alignment vertical="top"/>
    </xf>
    <xf numFmtId="38" fontId="11" fillId="0" borderId="19" xfId="0" applyNumberFormat="1" applyFont="1" applyBorder="1">
      <alignment vertical="top"/>
    </xf>
    <xf numFmtId="5" fontId="13" fillId="0" borderId="0" xfId="0" applyNumberFormat="1" applyFont="1" applyFill="1" applyAlignment="1">
      <alignment horizontal="center"/>
    </xf>
    <xf numFmtId="10" fontId="13" fillId="0" borderId="33" xfId="0" applyNumberFormat="1" applyFont="1" applyFill="1" applyBorder="1" applyAlignment="1">
      <alignment horizontal="center" vertical="top"/>
    </xf>
    <xf numFmtId="3" fontId="48" fillId="0" borderId="0" xfId="34" applyNumberFormat="1" applyFont="1" applyFill="1"/>
    <xf numFmtId="0" fontId="11" fillId="0" borderId="0" xfId="0" applyFont="1" applyBorder="1">
      <alignment vertical="top"/>
    </xf>
    <xf numFmtId="38" fontId="11" fillId="0" borderId="20" xfId="0" applyNumberFormat="1" applyFont="1" applyBorder="1" applyAlignment="1">
      <alignment horizontal="center"/>
    </xf>
    <xf numFmtId="38" fontId="11" fillId="0" borderId="0" xfId="0" applyNumberFormat="1" applyFont="1" applyBorder="1" applyAlignment="1">
      <alignment horizontal="center"/>
    </xf>
    <xf numFmtId="10" fontId="18" fillId="2" borderId="0" xfId="38" applyFont="1"/>
    <xf numFmtId="10" fontId="18" fillId="0" borderId="0" xfId="34" applyNumberFormat="1" applyFont="1" applyFill="1" applyAlignment="1"/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Alignment="1"/>
    <xf numFmtId="0" fontId="19" fillId="0" borderId="0" xfId="259" applyFont="1" applyFill="1" applyBorder="1" applyAlignment="1">
      <alignment horizontal="center"/>
    </xf>
    <xf numFmtId="0" fontId="13" fillId="0" borderId="0" xfId="259" applyFont="1" applyFill="1" applyBorder="1" applyAlignment="1">
      <alignment horizontal="left"/>
    </xf>
    <xf numFmtId="0" fontId="13" fillId="2" borderId="0" xfId="259" applyFont="1" applyFill="1" applyAlignment="1"/>
    <xf numFmtId="0" fontId="13" fillId="0" borderId="0" xfId="259" applyFont="1" applyAlignment="1"/>
    <xf numFmtId="0" fontId="20" fillId="2" borderId="0" xfId="259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0" fillId="2" borderId="0" xfId="259" applyFont="1" applyFill="1" applyAlignment="1"/>
    <xf numFmtId="0" fontId="49" fillId="2" borderId="0" xfId="259" applyFont="1" applyFill="1" applyAlignment="1"/>
    <xf numFmtId="0" fontId="13" fillId="0" borderId="0" xfId="259" quotePrefix="1" applyFont="1" applyFill="1" applyBorder="1" applyAlignment="1">
      <alignment horizontal="left"/>
    </xf>
    <xf numFmtId="0" fontId="13" fillId="0" borderId="0" xfId="259" applyFont="1" applyFill="1" applyBorder="1" applyAlignment="1"/>
    <xf numFmtId="37" fontId="13" fillId="2" borderId="0" xfId="259" applyNumberFormat="1" applyFont="1" applyFill="1" applyAlignment="1"/>
    <xf numFmtId="37" fontId="49" fillId="2" borderId="0" xfId="259" applyNumberFormat="1" applyFont="1" applyFill="1" applyAlignment="1"/>
    <xf numFmtId="0" fontId="13" fillId="2" borderId="0" xfId="259" quotePrefix="1" applyFont="1" applyFill="1" applyAlignment="1">
      <alignment horizontal="left"/>
    </xf>
    <xf numFmtId="37" fontId="13" fillId="0" borderId="0" xfId="259" applyNumberFormat="1" applyFont="1" applyFill="1" applyAlignment="1"/>
    <xf numFmtId="2" fontId="13" fillId="2" borderId="0" xfId="259" applyNumberFormat="1" applyFont="1" applyFill="1" applyAlignment="1">
      <alignment horizontal="left"/>
    </xf>
    <xf numFmtId="0" fontId="49" fillId="0" borderId="0" xfId="259" applyFont="1" applyFill="1" applyAlignment="1"/>
    <xf numFmtId="0" fontId="13" fillId="0" borderId="0" xfId="259" applyFont="1" applyFill="1" applyAlignment="1"/>
    <xf numFmtId="183" fontId="18" fillId="0" borderId="0" xfId="0" applyNumberFormat="1" applyFont="1" applyFill="1" applyBorder="1" applyAlignment="1"/>
    <xf numFmtId="0" fontId="13" fillId="0" borderId="0" xfId="0" applyFont="1" applyFill="1" applyAlignment="1"/>
    <xf numFmtId="10" fontId="49" fillId="2" borderId="0" xfId="38" applyFont="1"/>
    <xf numFmtId="10" fontId="49" fillId="0" borderId="0" xfId="0" applyNumberFormat="1" applyFont="1" applyFill="1" applyAlignment="1"/>
    <xf numFmtId="2" fontId="49" fillId="0" borderId="0" xfId="0" applyNumberFormat="1" applyFont="1" applyFill="1" applyBorder="1" applyAlignment="1"/>
    <xf numFmtId="5" fontId="49" fillId="2" borderId="0" xfId="8" applyNumberFormat="1" applyFont="1"/>
    <xf numFmtId="44" fontId="49" fillId="0" borderId="0" xfId="0" applyNumberFormat="1" applyFont="1" applyFill="1" applyBorder="1" applyAlignment="1" applyProtection="1">
      <protection locked="0"/>
    </xf>
    <xf numFmtId="0" fontId="13" fillId="0" borderId="0" xfId="0" applyFont="1" applyFill="1" applyAlignment="1"/>
    <xf numFmtId="0" fontId="13" fillId="2" borderId="0" xfId="0" applyFont="1" applyFill="1" applyAlignment="1"/>
    <xf numFmtId="0" fontId="51" fillId="2" borderId="0" xfId="0" applyFont="1" applyFill="1" applyAlignment="1">
      <alignment horizontal="center"/>
    </xf>
    <xf numFmtId="7" fontId="49" fillId="2" borderId="0" xfId="8" applyFont="1" applyAlignment="1">
      <alignment horizontal="center"/>
    </xf>
    <xf numFmtId="38" fontId="48" fillId="0" borderId="0" xfId="0" applyNumberFormat="1" applyFont="1">
      <alignment vertical="top"/>
    </xf>
    <xf numFmtId="38" fontId="48" fillId="0" borderId="0" xfId="0" applyNumberFormat="1" applyFont="1" applyFill="1">
      <alignment vertical="top"/>
    </xf>
    <xf numFmtId="38" fontId="48" fillId="0" borderId="0" xfId="0" applyNumberFormat="1" applyFont="1" applyBorder="1">
      <alignment vertical="top"/>
    </xf>
    <xf numFmtId="38" fontId="48" fillId="0" borderId="20" xfId="0" applyNumberFormat="1" applyFont="1" applyBorder="1">
      <alignment vertical="top"/>
    </xf>
    <xf numFmtId="5" fontId="109" fillId="0" borderId="0" xfId="0" applyNumberFormat="1" applyFont="1" applyFill="1" applyBorder="1">
      <alignment vertical="top"/>
    </xf>
    <xf numFmtId="5" fontId="49" fillId="2" borderId="0" xfId="0" applyNumberFormat="1" applyFont="1" applyFill="1" applyAlignment="1"/>
    <xf numFmtId="44" fontId="111" fillId="2" borderId="0" xfId="8" applyNumberFormat="1" applyFont="1" applyProtection="1">
      <protection locked="0"/>
    </xf>
    <xf numFmtId="4" fontId="49" fillId="0" borderId="0" xfId="0" applyNumberFormat="1" applyFont="1" applyFill="1" applyAlignment="1"/>
    <xf numFmtId="4" fontId="13" fillId="0" borderId="0" xfId="6" applyNumberFormat="1" applyFont="1" applyFill="1" applyAlignment="1"/>
    <xf numFmtId="4" fontId="13" fillId="0" borderId="2" xfId="6" applyNumberFormat="1" applyFont="1" applyFill="1" applyBorder="1" applyAlignment="1"/>
    <xf numFmtId="4" fontId="49" fillId="0" borderId="0" xfId="6" applyNumberFormat="1" applyFont="1" applyFill="1" applyAlignment="1"/>
    <xf numFmtId="4" fontId="49" fillId="0" borderId="0" xfId="0" applyNumberFormat="1" applyFont="1" applyFill="1" applyBorder="1" applyAlignment="1" applyProtection="1">
      <protection locked="0"/>
    </xf>
    <xf numFmtId="4" fontId="49" fillId="0" borderId="0" xfId="6" applyNumberFormat="1" applyFont="1" applyFill="1" applyBorder="1" applyAlignment="1"/>
    <xf numFmtId="5" fontId="13" fillId="0" borderId="0" xfId="8" applyNumberFormat="1" applyFont="1" applyFill="1" applyBorder="1"/>
    <xf numFmtId="168" fontId="13" fillId="0" borderId="0" xfId="0" applyNumberFormat="1" applyFont="1" applyFill="1" applyAlignment="1"/>
    <xf numFmtId="0" fontId="11" fillId="0" borderId="2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38" fontId="11" fillId="0" borderId="19" xfId="0" applyNumberFormat="1" applyFont="1" applyBorder="1" applyAlignment="1">
      <alignment horizontal="center"/>
    </xf>
    <xf numFmtId="38" fontId="26" fillId="0" borderId="19" xfId="0" applyNumberFormat="1" applyFont="1" applyFill="1" applyBorder="1">
      <alignment vertical="top"/>
    </xf>
    <xf numFmtId="0" fontId="13" fillId="2" borderId="0" xfId="0" applyFont="1" applyFill="1" applyAlignment="1"/>
    <xf numFmtId="0" fontId="13" fillId="0" borderId="0" xfId="0" applyFont="1" applyAlignment="1">
      <alignment horizontal="center" vertical="top"/>
    </xf>
    <xf numFmtId="5" fontId="13" fillId="2" borderId="0" xfId="0" applyNumberFormat="1" applyFont="1" applyFill="1" applyAlignment="1">
      <alignment horizontal="center"/>
    </xf>
    <xf numFmtId="5" fontId="13" fillId="2" borderId="0" xfId="8" applyNumberFormat="1" applyFont="1" applyAlignment="1">
      <alignment horizontal="center"/>
    </xf>
    <xf numFmtId="165" fontId="18" fillId="0" borderId="0" xfId="34" quotePrefix="1" applyNumberFormat="1" applyFont="1" applyFill="1" applyAlignment="1">
      <alignment horizontal="center" wrapText="1"/>
    </xf>
    <xf numFmtId="38" fontId="11" fillId="0" borderId="0" xfId="0" applyNumberFormat="1" applyFont="1" applyBorder="1">
      <alignment vertical="top"/>
    </xf>
    <xf numFmtId="38" fontId="11" fillId="0" borderId="20" xfId="0" applyNumberFormat="1" applyFont="1" applyBorder="1">
      <alignment vertical="top"/>
    </xf>
    <xf numFmtId="0" fontId="13" fillId="0" borderId="0" xfId="0" applyFont="1" applyFill="1" applyBorder="1" applyAlignment="1">
      <alignment horizontal="center"/>
    </xf>
    <xf numFmtId="179" fontId="18" fillId="0" borderId="0" xfId="34" applyNumberFormat="1" applyFont="1" applyFill="1" applyAlignment="1">
      <alignment horizontal="center" wrapText="1"/>
    </xf>
    <xf numFmtId="179" fontId="18" fillId="0" borderId="0" xfId="34" applyNumberFormat="1" applyFont="1" applyFill="1" applyAlignment="1">
      <alignment horizontal="center"/>
    </xf>
    <xf numFmtId="7" fontId="49" fillId="0" borderId="0" xfId="8" applyFont="1" applyFill="1"/>
    <xf numFmtId="0" fontId="108" fillId="0" borderId="0" xfId="0" applyFont="1" applyFill="1" applyBorder="1" applyAlignment="1">
      <alignment horizontal="center"/>
    </xf>
    <xf numFmtId="37" fontId="48" fillId="0" borderId="0" xfId="0" applyNumberFormat="1" applyFont="1" applyFill="1" applyBorder="1" applyAlignment="1"/>
    <xf numFmtId="37" fontId="48" fillId="5" borderId="17" xfId="0" applyNumberFormat="1" applyFont="1" applyFill="1" applyBorder="1">
      <alignment vertical="top"/>
    </xf>
    <xf numFmtId="37" fontId="48" fillId="5" borderId="18" xfId="0" applyNumberFormat="1" applyFont="1" applyFill="1" applyBorder="1">
      <alignment vertical="top"/>
    </xf>
    <xf numFmtId="37" fontId="48" fillId="8" borderId="19" xfId="0" applyNumberFormat="1" applyFont="1" applyFill="1" applyBorder="1">
      <alignment vertical="top"/>
    </xf>
    <xf numFmtId="38" fontId="59" fillId="5" borderId="10" xfId="0" applyNumberFormat="1" applyFont="1" applyFill="1" applyBorder="1">
      <alignment vertical="top"/>
    </xf>
    <xf numFmtId="39" fontId="49" fillId="0" borderId="0" xfId="8" applyNumberFormat="1" applyFont="1" applyFill="1" applyBorder="1"/>
    <xf numFmtId="5" fontId="49" fillId="0" borderId="2" xfId="0" applyNumberFormat="1" applyFont="1" applyFill="1" applyBorder="1" applyAlignment="1"/>
    <xf numFmtId="7" fontId="49" fillId="2" borderId="0" xfId="0" applyNumberFormat="1" applyFont="1" applyFill="1" applyAlignment="1"/>
    <xf numFmtId="7" fontId="51" fillId="2" borderId="0" xfId="0" applyNumberFormat="1" applyFont="1" applyFill="1" applyAlignment="1">
      <alignment horizontal="center"/>
    </xf>
    <xf numFmtId="10" fontId="49" fillId="2" borderId="0" xfId="38" applyFont="1" applyAlignment="1">
      <alignment horizontal="center"/>
    </xf>
    <xf numFmtId="38" fontId="59" fillId="0" borderId="19" xfId="0" applyNumberFormat="1" applyFont="1" applyFill="1" applyBorder="1">
      <alignment vertical="top"/>
    </xf>
    <xf numFmtId="0" fontId="59" fillId="0" borderId="0" xfId="0" applyFont="1">
      <alignment vertical="top"/>
    </xf>
    <xf numFmtId="38" fontId="48" fillId="0" borderId="19" xfId="0" applyNumberFormat="1" applyFont="1" applyFill="1" applyBorder="1">
      <alignment vertical="top"/>
    </xf>
    <xf numFmtId="38" fontId="48" fillId="0" borderId="19" xfId="0" applyNumberFormat="1" applyFont="1" applyBorder="1">
      <alignment vertical="top"/>
    </xf>
    <xf numFmtId="0" fontId="59" fillId="0" borderId="0" xfId="0" applyFont="1" applyBorder="1" applyAlignment="1">
      <alignment horizontal="center"/>
    </xf>
    <xf numFmtId="10" fontId="59" fillId="2" borderId="0" xfId="38" applyFont="1"/>
    <xf numFmtId="0" fontId="13" fillId="0" borderId="0" xfId="0" applyFont="1" applyFill="1" applyAlignment="1"/>
    <xf numFmtId="0" fontId="13" fillId="2" borderId="0" xfId="0" applyFont="1" applyFill="1" applyAlignment="1"/>
    <xf numFmtId="172" fontId="51" fillId="0" borderId="0" xfId="5" applyNumberFormat="1" applyFont="1" applyBorder="1"/>
    <xf numFmtId="172" fontId="51" fillId="6" borderId="0" xfId="5" applyNumberFormat="1" applyFont="1" applyFill="1" applyBorder="1" applyAlignment="1">
      <alignment horizontal="right"/>
    </xf>
    <xf numFmtId="3" fontId="51" fillId="0" borderId="0" xfId="0" applyNumberFormat="1" applyFont="1" applyBorder="1">
      <alignment vertical="top"/>
    </xf>
    <xf numFmtId="177" fontId="51" fillId="0" borderId="0" xfId="37" applyNumberFormat="1" applyFont="1" applyBorder="1"/>
    <xf numFmtId="172" fontId="54" fillId="6" borderId="0" xfId="5" applyNumberFormat="1" applyFont="1" applyFill="1" applyBorder="1" applyAlignment="1">
      <alignment horizontal="right"/>
    </xf>
    <xf numFmtId="3" fontId="48" fillId="0" borderId="0" xfId="0" applyNumberFormat="1" applyFont="1">
      <alignment vertical="top"/>
    </xf>
    <xf numFmtId="0" fontId="51" fillId="0" borderId="0" xfId="0" applyFont="1" applyAlignment="1">
      <alignment horizontal="center" vertical="top"/>
    </xf>
    <xf numFmtId="0" fontId="110" fillId="0" borderId="0" xfId="26" applyFont="1" applyFill="1" applyAlignment="1">
      <alignment horizontal="left"/>
    </xf>
    <xf numFmtId="0" fontId="104" fillId="0" borderId="0" xfId="0" applyFont="1" applyAlignment="1"/>
    <xf numFmtId="37" fontId="58" fillId="0" borderId="0" xfId="0" applyNumberFormat="1" applyFont="1" applyFill="1" applyAlignment="1"/>
    <xf numFmtId="37" fontId="58" fillId="0" borderId="0" xfId="0" applyNumberFormat="1" applyFont="1" applyFill="1" applyAlignment="1">
      <alignment horizontal="right"/>
    </xf>
    <xf numFmtId="37" fontId="58" fillId="0" borderId="0" xfId="0" applyNumberFormat="1" applyFont="1" applyFill="1" applyBorder="1" applyAlignment="1"/>
    <xf numFmtId="37" fontId="48" fillId="0" borderId="43" xfId="0" applyNumberFormat="1" applyFont="1" applyFill="1" applyBorder="1" applyAlignment="1"/>
    <xf numFmtId="5" fontId="48" fillId="0" borderId="0" xfId="8" applyNumberFormat="1" applyFont="1" applyFill="1"/>
    <xf numFmtId="176" fontId="48" fillId="2" borderId="0" xfId="0" applyNumberFormat="1" applyFont="1" applyFill="1" applyAlignment="1"/>
    <xf numFmtId="3" fontId="48" fillId="2" borderId="0" xfId="1" applyNumberFormat="1" applyFont="1"/>
    <xf numFmtId="180" fontId="48" fillId="0" borderId="0" xfId="34" applyNumberFormat="1" applyFont="1" applyFill="1" applyAlignment="1"/>
    <xf numFmtId="3" fontId="48" fillId="0" borderId="2" xfId="34" applyNumberFormat="1" applyFont="1" applyFill="1" applyBorder="1" applyAlignment="1"/>
    <xf numFmtId="44" fontId="48" fillId="0" borderId="2" xfId="34" applyNumberFormat="1" applyFont="1" applyFill="1" applyBorder="1" applyAlignment="1"/>
    <xf numFmtId="170" fontId="48" fillId="0" borderId="2" xfId="34" applyNumberFormat="1" applyFont="1" applyFill="1" applyBorder="1" applyAlignment="1"/>
    <xf numFmtId="170" fontId="59" fillId="0" borderId="0" xfId="34" applyNumberFormat="1" applyFont="1" applyAlignment="1"/>
    <xf numFmtId="170" fontId="48" fillId="0" borderId="0" xfId="45" applyNumberFormat="1" applyFont="1" applyFill="1" applyAlignment="1"/>
    <xf numFmtId="0" fontId="48" fillId="0" borderId="0" xfId="34" quotePrefix="1" applyNumberFormat="1" applyFont="1" applyFill="1" applyAlignment="1">
      <alignment wrapText="1"/>
    </xf>
    <xf numFmtId="2" fontId="48" fillId="0" borderId="0" xfId="34" applyNumberFormat="1" applyFont="1"/>
    <xf numFmtId="171" fontId="48" fillId="0" borderId="0" xfId="34" applyNumberFormat="1" applyFont="1" applyFill="1"/>
    <xf numFmtId="0" fontId="49" fillId="0" borderId="0" xfId="34" applyFont="1"/>
    <xf numFmtId="5" fontId="48" fillId="0" borderId="0" xfId="36" applyNumberFormat="1" applyFont="1" applyFill="1" applyAlignment="1"/>
    <xf numFmtId="39" fontId="49" fillId="0" borderId="0" xfId="0" applyNumberFormat="1" applyFont="1" applyFill="1" applyBorder="1" applyAlignment="1" applyProtection="1">
      <protection locked="0"/>
    </xf>
    <xf numFmtId="1" fontId="16" fillId="7" borderId="0" xfId="0" applyNumberFormat="1" applyFont="1" applyFill="1" applyAlignment="1">
      <alignment horizontal="center"/>
    </xf>
    <xf numFmtId="0" fontId="11" fillId="0" borderId="0" xfId="0" applyFont="1" applyFill="1" applyBorder="1">
      <alignment vertical="top"/>
    </xf>
    <xf numFmtId="0" fontId="19" fillId="0" borderId="0" xfId="0" applyFont="1" applyFill="1" applyBorder="1" applyAlignment="1">
      <alignment horizontal="left"/>
    </xf>
    <xf numFmtId="0" fontId="49" fillId="2" borderId="0" xfId="0" applyFont="1" applyFill="1" applyAlignment="1">
      <alignment vertical="top"/>
    </xf>
    <xf numFmtId="44" fontId="13" fillId="0" borderId="0" xfId="0" applyNumberFormat="1" applyFont="1" applyFill="1" applyBorder="1" applyAlignment="1" applyProtection="1">
      <protection locked="0"/>
    </xf>
    <xf numFmtId="44" fontId="13" fillId="0" borderId="0" xfId="0" applyNumberFormat="1" applyFont="1" applyFill="1" applyBorder="1" applyAlignment="1"/>
    <xf numFmtId="44" fontId="13" fillId="0" borderId="0" xfId="88" applyNumberFormat="1" applyFont="1" applyFill="1" applyBorder="1" applyAlignment="1" applyProtection="1">
      <protection locked="0"/>
    </xf>
    <xf numFmtId="44" fontId="13" fillId="0" borderId="0" xfId="89" applyNumberFormat="1" applyFont="1" applyFill="1" applyBorder="1" applyAlignment="1" applyProtection="1">
      <protection locked="0"/>
    </xf>
    <xf numFmtId="39" fontId="13" fillId="0" borderId="0" xfId="0" applyNumberFormat="1" applyFont="1" applyFill="1" applyBorder="1" applyAlignment="1" applyProtection="1">
      <protection locked="0"/>
    </xf>
    <xf numFmtId="44" fontId="13" fillId="0" borderId="0" xfId="92" applyNumberFormat="1" applyFont="1" applyFill="1" applyBorder="1" applyAlignment="1" applyProtection="1">
      <protection locked="0"/>
    </xf>
    <xf numFmtId="14" fontId="13" fillId="0" borderId="2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44" fontId="13" fillId="0" borderId="0" xfId="93" applyNumberFormat="1" applyFont="1" applyFill="1" applyBorder="1" applyAlignment="1" applyProtection="1">
      <protection locked="0"/>
    </xf>
    <xf numFmtId="44" fontId="13" fillId="0" borderId="0" xfId="94" applyNumberFormat="1" applyFont="1" applyFill="1" applyBorder="1" applyAlignment="1" applyProtection="1">
      <protection locked="0"/>
    </xf>
    <xf numFmtId="44" fontId="13" fillId="0" borderId="0" xfId="97" applyNumberFormat="1" applyFont="1" applyFill="1" applyBorder="1" applyAlignment="1" applyProtection="1">
      <protection locked="0"/>
    </xf>
    <xf numFmtId="44" fontId="13" fillId="0" borderId="0" xfId="98" applyNumberFormat="1" applyFont="1" applyFill="1" applyBorder="1" applyAlignment="1" applyProtection="1">
      <protection locked="0"/>
    </xf>
    <xf numFmtId="7" fontId="111" fillId="0" borderId="0" xfId="8" applyFont="1" applyFill="1" applyProtection="1">
      <protection locked="0"/>
    </xf>
    <xf numFmtId="44" fontId="13" fillId="0" borderId="0" xfId="108" applyNumberFormat="1" applyFont="1" applyFill="1" applyBorder="1" applyAlignment="1" applyProtection="1">
      <protection locked="0"/>
    </xf>
    <xf numFmtId="44" fontId="13" fillId="0" borderId="0" xfId="114" applyNumberFormat="1" applyFont="1" applyFill="1" applyBorder="1" applyAlignment="1" applyProtection="1">
      <protection locked="0"/>
    </xf>
    <xf numFmtId="44" fontId="13" fillId="0" borderId="0" xfId="117" applyNumberFormat="1" applyFont="1" applyFill="1" applyBorder="1" applyAlignment="1" applyProtection="1">
      <protection locked="0"/>
    </xf>
    <xf numFmtId="44" fontId="13" fillId="0" borderId="0" xfId="118" applyNumberFormat="1" applyFont="1" applyFill="1" applyBorder="1" applyAlignment="1" applyProtection="1">
      <protection locked="0"/>
    </xf>
    <xf numFmtId="44" fontId="13" fillId="0" borderId="0" xfId="119" applyNumberFormat="1" applyFont="1" applyFill="1" applyBorder="1" applyAlignment="1" applyProtection="1">
      <protection locked="0"/>
    </xf>
    <xf numFmtId="44" fontId="13" fillId="0" borderId="0" xfId="120" applyNumberFormat="1" applyFont="1" applyFill="1" applyBorder="1" applyAlignment="1" applyProtection="1">
      <protection locked="0"/>
    </xf>
    <xf numFmtId="39" fontId="13" fillId="0" borderId="0" xfId="0" applyNumberFormat="1" applyFont="1" applyFill="1" applyBorder="1" applyAlignment="1"/>
    <xf numFmtId="44" fontId="13" fillId="0" borderId="0" xfId="121" applyNumberFormat="1" applyFont="1" applyFill="1" applyBorder="1" applyAlignment="1" applyProtection="1">
      <protection locked="0"/>
    </xf>
    <xf numFmtId="44" fontId="13" fillId="0" borderId="0" xfId="52" applyNumberFormat="1" applyFont="1" applyFill="1" applyBorder="1" applyAlignment="1" applyProtection="1">
      <protection locked="0"/>
    </xf>
    <xf numFmtId="44" fontId="13" fillId="0" borderId="0" xfId="70" applyNumberFormat="1" applyFont="1" applyFill="1" applyBorder="1" applyAlignment="1" applyProtection="1">
      <protection locked="0"/>
    </xf>
    <xf numFmtId="44" fontId="13" fillId="0" borderId="0" xfId="54" applyNumberFormat="1" applyFont="1" applyFill="1" applyBorder="1" applyAlignment="1" applyProtection="1">
      <protection locked="0"/>
    </xf>
    <xf numFmtId="44" fontId="13" fillId="0" borderId="0" xfId="56" applyNumberFormat="1" applyFont="1" applyFill="1" applyBorder="1" applyAlignment="1" applyProtection="1">
      <protection locked="0"/>
    </xf>
    <xf numFmtId="44" fontId="13" fillId="0" borderId="0" xfId="57" applyNumberFormat="1" applyFont="1" applyFill="1" applyBorder="1" applyAlignment="1" applyProtection="1">
      <protection locked="0"/>
    </xf>
    <xf numFmtId="44" fontId="13" fillId="0" borderId="0" xfId="58" applyNumberFormat="1" applyFont="1" applyFill="1" applyBorder="1" applyAlignment="1" applyProtection="1">
      <protection locked="0"/>
    </xf>
    <xf numFmtId="44" fontId="13" fillId="2" borderId="0" xfId="8" applyNumberFormat="1" applyFont="1" applyProtection="1">
      <protection locked="0"/>
    </xf>
    <xf numFmtId="44" fontId="13" fillId="0" borderId="0" xfId="61" applyNumberFormat="1" applyFont="1" applyFill="1" applyBorder="1" applyAlignment="1" applyProtection="1">
      <protection locked="0"/>
    </xf>
    <xf numFmtId="44" fontId="13" fillId="0" borderId="0" xfId="72" applyNumberFormat="1" applyFont="1" applyFill="1" applyBorder="1" applyAlignment="1" applyProtection="1">
      <protection locked="0"/>
    </xf>
    <xf numFmtId="44" fontId="13" fillId="0" borderId="0" xfId="75" applyNumberFormat="1" applyFont="1" applyFill="1" applyBorder="1" applyAlignment="1" applyProtection="1">
      <protection locked="0"/>
    </xf>
    <xf numFmtId="44" fontId="13" fillId="0" borderId="0" xfId="78" applyNumberFormat="1" applyFont="1" applyFill="1" applyBorder="1" applyAlignment="1" applyProtection="1">
      <protection locked="0"/>
    </xf>
    <xf numFmtId="44" fontId="16" fillId="0" borderId="0" xfId="0" applyNumberFormat="1" applyFont="1" applyFill="1" applyBorder="1" applyAlignment="1" applyProtection="1">
      <protection locked="0"/>
    </xf>
    <xf numFmtId="7" fontId="13" fillId="2" borderId="0" xfId="8" applyFont="1" applyProtection="1">
      <protection locked="0"/>
    </xf>
    <xf numFmtId="173" fontId="111" fillId="2" borderId="0" xfId="8" applyNumberFormat="1" applyFont="1" applyProtection="1">
      <protection locked="0"/>
    </xf>
    <xf numFmtId="5" fontId="18" fillId="0" borderId="2" xfId="0" applyNumberFormat="1" applyFont="1" applyFill="1" applyBorder="1" applyAlignment="1"/>
    <xf numFmtId="5" fontId="18" fillId="0" borderId="4" xfId="0" applyNumberFormat="1" applyFont="1" applyFill="1" applyBorder="1" applyAlignment="1"/>
    <xf numFmtId="4" fontId="13" fillId="0" borderId="0" xfId="0" applyNumberFormat="1" applyFont="1" applyFill="1">
      <alignment vertical="top"/>
    </xf>
    <xf numFmtId="3" fontId="13" fillId="0" borderId="0" xfId="0" applyNumberFormat="1" applyFont="1">
      <alignment vertical="top"/>
    </xf>
    <xf numFmtId="3" fontId="16" fillId="7" borderId="0" xfId="0" applyNumberFormat="1" applyFont="1" applyFill="1">
      <alignment vertical="top"/>
    </xf>
    <xf numFmtId="38" fontId="16" fillId="7" borderId="0" xfId="0" applyNumberFormat="1" applyFont="1" applyFill="1">
      <alignment vertical="top"/>
    </xf>
    <xf numFmtId="0" fontId="13" fillId="0" borderId="0" xfId="0" applyFont="1" applyFill="1" applyAlignment="1"/>
    <xf numFmtId="0" fontId="13" fillId="2" borderId="0" xfId="0" applyFont="1" applyFill="1" applyAlignment="1"/>
    <xf numFmtId="38" fontId="26" fillId="0" borderId="19" xfId="0" applyNumberFormat="1" applyFont="1" applyBorder="1">
      <alignment vertical="top"/>
    </xf>
    <xf numFmtId="40" fontId="11" fillId="0" borderId="19" xfId="0" applyNumberFormat="1" applyFont="1" applyFill="1" applyBorder="1">
      <alignment vertical="top"/>
    </xf>
    <xf numFmtId="0" fontId="13" fillId="0" borderId="0" xfId="0" applyFont="1" applyFill="1" applyAlignment="1">
      <alignment vertical="top" shrinkToFit="1"/>
    </xf>
    <xf numFmtId="0" fontId="13" fillId="0" borderId="0" xfId="0" applyFont="1" applyFill="1" applyAlignment="1"/>
    <xf numFmtId="0" fontId="13" fillId="2" borderId="0" xfId="0" applyFont="1" applyFill="1" applyAlignment="1"/>
    <xf numFmtId="5" fontId="13" fillId="0" borderId="2" xfId="0" applyNumberFormat="1" applyFont="1" applyFill="1" applyBorder="1" applyAlignment="1"/>
    <xf numFmtId="37" fontId="13" fillId="0" borderId="0" xfId="0" applyNumberFormat="1" applyFont="1" applyFill="1" applyBorder="1" applyAlignment="1"/>
    <xf numFmtId="41" fontId="13" fillId="0" borderId="0" xfId="0" applyNumberFormat="1" applyFont="1" applyFill="1" applyAlignment="1"/>
    <xf numFmtId="0" fontId="19" fillId="0" borderId="0" xfId="0" applyNumberFormat="1" applyFont="1" applyFill="1" applyAlignment="1">
      <alignment horizontal="center"/>
    </xf>
    <xf numFmtId="10" fontId="13" fillId="0" borderId="0" xfId="38" applyFont="1" applyFill="1"/>
    <xf numFmtId="5" fontId="13" fillId="0" borderId="0" xfId="0" applyNumberFormat="1" applyFont="1" applyFill="1">
      <alignment vertical="top"/>
    </xf>
    <xf numFmtId="0" fontId="13" fillId="0" borderId="0" xfId="0" applyFont="1" applyFill="1" applyAlignment="1">
      <alignment shrinkToFit="1"/>
    </xf>
    <xf numFmtId="5" fontId="20" fillId="0" borderId="0" xfId="0" applyNumberFormat="1" applyFont="1" applyFill="1">
      <alignment vertical="top"/>
    </xf>
    <xf numFmtId="5" fontId="20" fillId="0" borderId="0" xfId="0" applyNumberFormat="1" applyFont="1" applyFill="1" applyAlignment="1">
      <alignment vertical="top"/>
    </xf>
    <xf numFmtId="5" fontId="112" fillId="0" borderId="0" xfId="0" applyNumberFormat="1" applyFont="1" applyFill="1" applyBorder="1">
      <alignment vertical="top"/>
    </xf>
    <xf numFmtId="5" fontId="13" fillId="0" borderId="43" xfId="0" applyNumberFormat="1" applyFont="1" applyFill="1" applyBorder="1" applyAlignment="1"/>
    <xf numFmtId="37" fontId="20" fillId="0" borderId="0" xfId="0" applyNumberFormat="1" applyFont="1" applyFill="1" applyAlignment="1"/>
    <xf numFmtId="10" fontId="13" fillId="2" borderId="0" xfId="40" applyFont="1" applyAlignment="1">
      <alignment horizontal="center"/>
    </xf>
    <xf numFmtId="10" fontId="13" fillId="2" borderId="0" xfId="0" applyNumberFormat="1" applyFont="1" applyFill="1" applyAlignment="1">
      <alignment horizontal="center"/>
    </xf>
    <xf numFmtId="173" fontId="18" fillId="0" borderId="0" xfId="0" applyNumberFormat="1" applyFont="1" applyFill="1" applyBorder="1" applyAlignment="1"/>
    <xf numFmtId="0" fontId="24" fillId="0" borderId="0" xfId="0" applyFont="1" applyFill="1" applyBorder="1" applyAlignment="1">
      <alignment horizontal="center"/>
    </xf>
    <xf numFmtId="5" fontId="24" fillId="0" borderId="0" xfId="0" applyNumberFormat="1" applyFont="1" applyFill="1" applyBorder="1" applyAlignment="1"/>
    <xf numFmtId="172" fontId="16" fillId="0" borderId="0" xfId="5" applyNumberFormat="1" applyFont="1" applyBorder="1"/>
    <xf numFmtId="172" fontId="113" fillId="6" borderId="0" xfId="5" applyNumberFormat="1" applyFont="1" applyFill="1" applyBorder="1" applyAlignment="1">
      <alignment horizontal="right"/>
    </xf>
    <xf numFmtId="1" fontId="16" fillId="0" borderId="0" xfId="0" applyNumberFormat="1" applyFont="1">
      <alignment vertical="top"/>
    </xf>
    <xf numFmtId="37" fontId="16" fillId="0" borderId="0" xfId="0" applyNumberFormat="1" applyFont="1">
      <alignment vertical="top"/>
    </xf>
    <xf numFmtId="37" fontId="16" fillId="12" borderId="0" xfId="0" applyNumberFormat="1" applyFont="1" applyFill="1">
      <alignment vertical="top"/>
    </xf>
    <xf numFmtId="172" fontId="16" fillId="6" borderId="0" xfId="5" applyNumberFormat="1" applyFont="1" applyFill="1" applyBorder="1" applyAlignment="1">
      <alignment horizontal="right"/>
    </xf>
    <xf numFmtId="3" fontId="16" fillId="0" borderId="0" xfId="0" applyNumberFormat="1" applyFont="1" applyBorder="1">
      <alignment vertical="top"/>
    </xf>
    <xf numFmtId="0" fontId="16" fillId="0" borderId="0" xfId="0" applyFont="1" applyFill="1" applyBorder="1">
      <alignment vertical="top"/>
    </xf>
    <xf numFmtId="164" fontId="16" fillId="0" borderId="0" xfId="37" applyNumberFormat="1" applyFont="1" applyFill="1" applyBorder="1"/>
    <xf numFmtId="172" fontId="16" fillId="0" borderId="0" xfId="37" applyNumberFormat="1" applyFont="1" applyBorder="1"/>
    <xf numFmtId="3" fontId="16" fillId="0" borderId="0" xfId="0" applyNumberFormat="1" applyFont="1" applyFill="1" applyBorder="1">
      <alignment vertical="top"/>
    </xf>
    <xf numFmtId="177" fontId="19" fillId="0" borderId="0" xfId="37" applyNumberFormat="1" applyFont="1" applyFill="1" applyBorder="1"/>
    <xf numFmtId="177" fontId="19" fillId="0" borderId="0" xfId="37" applyNumberFormat="1" applyFont="1" applyBorder="1"/>
    <xf numFmtId="37" fontId="18" fillId="0" borderId="0" xfId="0" applyNumberFormat="1" applyFont="1" applyFill="1" applyAlignment="1">
      <alignment horizontal="right"/>
    </xf>
    <xf numFmtId="0" fontId="105" fillId="0" borderId="0" xfId="0" applyFont="1" applyAlignment="1">
      <alignment horizontal="center"/>
    </xf>
    <xf numFmtId="174" fontId="105" fillId="0" borderId="0" xfId="0" applyNumberFormat="1" applyFont="1" applyAlignment="1">
      <alignment horizontal="center"/>
    </xf>
    <xf numFmtId="5" fontId="105" fillId="0" borderId="0" xfId="0" applyNumberFormat="1" applyFont="1" applyAlignment="1" applyProtection="1"/>
    <xf numFmtId="0" fontId="105" fillId="0" borderId="0" xfId="0" quotePrefix="1" applyFont="1" applyFill="1" applyAlignment="1">
      <alignment horizontal="left"/>
    </xf>
    <xf numFmtId="174" fontId="105" fillId="0" borderId="0" xfId="0" applyNumberFormat="1" applyFont="1" applyFill="1" applyAlignment="1" applyProtection="1"/>
    <xf numFmtId="5" fontId="105" fillId="0" borderId="0" xfId="0" applyNumberFormat="1" applyFont="1" applyFill="1" applyAlignment="1" applyProtection="1"/>
    <xf numFmtId="174" fontId="105" fillId="0" borderId="0" xfId="0" applyNumberFormat="1" applyFont="1" applyFill="1" applyAlignment="1"/>
    <xf numFmtId="0" fontId="105" fillId="0" borderId="0" xfId="0" applyFont="1" applyAlignment="1">
      <alignment horizontal="left"/>
    </xf>
    <xf numFmtId="167" fontId="105" fillId="0" borderId="0" xfId="0" quotePrefix="1" applyNumberFormat="1" applyFont="1" applyFill="1" applyAlignment="1">
      <alignment horizontal="left"/>
    </xf>
    <xf numFmtId="0" fontId="105" fillId="0" borderId="0" xfId="26" applyFont="1" applyAlignment="1">
      <alignment horizontal="left"/>
    </xf>
    <xf numFmtId="167" fontId="105" fillId="0" borderId="0" xfId="26" quotePrefix="1" applyNumberFormat="1" applyFont="1" applyFill="1" applyAlignment="1">
      <alignment horizontal="left"/>
    </xf>
    <xf numFmtId="174" fontId="105" fillId="0" borderId="0" xfId="26" applyNumberFormat="1" applyFont="1" applyFill="1"/>
    <xf numFmtId="5" fontId="105" fillId="0" borderId="0" xfId="26" applyNumberFormat="1" applyFont="1" applyFill="1" applyProtection="1"/>
    <xf numFmtId="167" fontId="105" fillId="0" borderId="0" xfId="26" applyNumberFormat="1" applyFont="1" applyFill="1" applyAlignment="1">
      <alignment horizontal="left"/>
    </xf>
    <xf numFmtId="0" fontId="114" fillId="0" borderId="0" xfId="26" applyFont="1"/>
    <xf numFmtId="0" fontId="114" fillId="0" borderId="0" xfId="26" quotePrefix="1" applyNumberFormat="1" applyFont="1" applyAlignment="1">
      <alignment horizontal="left"/>
    </xf>
    <xf numFmtId="174" fontId="18" fillId="2" borderId="0" xfId="38" applyNumberFormat="1" applyFont="1"/>
    <xf numFmtId="5" fontId="114" fillId="0" borderId="0" xfId="26" applyNumberFormat="1" applyFont="1" applyProtection="1"/>
    <xf numFmtId="0" fontId="114" fillId="0" borderId="0" xfId="26" applyNumberFormat="1" applyFont="1" applyAlignment="1">
      <alignment horizontal="left"/>
    </xf>
    <xf numFmtId="0" fontId="114" fillId="0" borderId="0" xfId="26" applyFont="1" applyAlignment="1">
      <alignment horizontal="left"/>
    </xf>
    <xf numFmtId="0" fontId="114" fillId="0" borderId="0" xfId="26" applyFont="1" applyFill="1"/>
    <xf numFmtId="0" fontId="114" fillId="0" borderId="0" xfId="26" applyFont="1" applyFill="1" applyAlignment="1">
      <alignment horizontal="left"/>
    </xf>
    <xf numFmtId="14" fontId="114" fillId="0" borderId="0" xfId="0" applyNumberFormat="1" applyFont="1" applyFill="1" applyAlignment="1"/>
    <xf numFmtId="174" fontId="18" fillId="0" borderId="0" xfId="38" applyNumberFormat="1" applyFont="1" applyFill="1"/>
    <xf numFmtId="5" fontId="114" fillId="0" borderId="0" xfId="26" applyNumberFormat="1" applyFont="1" applyFill="1" applyProtection="1"/>
    <xf numFmtId="49" fontId="105" fillId="0" borderId="0" xfId="0" applyNumberFormat="1" applyFont="1" applyAlignment="1"/>
    <xf numFmtId="174" fontId="18" fillId="0" borderId="0" xfId="0" applyNumberFormat="1" applyFont="1" applyAlignment="1"/>
    <xf numFmtId="174" fontId="18" fillId="0" borderId="0" xfId="0" applyNumberFormat="1" applyFont="1" applyFill="1" applyAlignment="1"/>
    <xf numFmtId="10" fontId="105" fillId="0" borderId="0" xfId="38" applyNumberFormat="1" applyFont="1" applyFill="1"/>
    <xf numFmtId="10" fontId="105" fillId="2" borderId="0" xfId="38" applyNumberFormat="1" applyFont="1"/>
    <xf numFmtId="10" fontId="39" fillId="0" borderId="0" xfId="0" applyNumberFormat="1" applyFont="1" applyAlignment="1"/>
    <xf numFmtId="14" fontId="105" fillId="0" borderId="0" xfId="0" applyNumberFormat="1" applyFont="1" applyAlignment="1">
      <alignment horizontal="center"/>
    </xf>
    <xf numFmtId="174" fontId="39" fillId="0" borderId="0" xfId="0" applyNumberFormat="1" applyFont="1" applyAlignment="1"/>
    <xf numFmtId="5" fontId="39" fillId="0" borderId="0" xfId="0" applyNumberFormat="1" applyFont="1" applyAlignment="1"/>
    <xf numFmtId="174" fontId="39" fillId="0" borderId="0" xfId="0" applyNumberFormat="1" applyFont="1" applyAlignment="1">
      <alignment horizontal="center"/>
    </xf>
    <xf numFmtId="0" fontId="39" fillId="0" borderId="0" xfId="0" applyFont="1" applyFill="1" applyAlignment="1">
      <alignment horizontal="center"/>
    </xf>
    <xf numFmtId="0" fontId="39" fillId="0" borderId="0" xfId="0" applyFont="1" applyAlignment="1">
      <alignment horizontal="center"/>
    </xf>
    <xf numFmtId="5" fontId="105" fillId="0" borderId="0" xfId="0" applyNumberFormat="1" applyFont="1" applyFill="1" applyAlignment="1"/>
    <xf numFmtId="174" fontId="105" fillId="2" borderId="0" xfId="38" applyNumberFormat="1" applyFont="1"/>
    <xf numFmtId="10" fontId="105" fillId="0" borderId="0" xfId="0" applyNumberFormat="1" applyFont="1" applyAlignment="1"/>
    <xf numFmtId="5" fontId="115" fillId="0" borderId="0" xfId="0" applyNumberFormat="1" applyFont="1" applyFill="1" applyBorder="1" applyAlignment="1"/>
    <xf numFmtId="174" fontId="115" fillId="2" borderId="0" xfId="38" applyNumberFormat="1" applyFont="1"/>
    <xf numFmtId="10" fontId="115" fillId="0" borderId="0" xfId="38" applyNumberFormat="1" applyFont="1" applyFill="1"/>
    <xf numFmtId="38" fontId="13" fillId="0" borderId="0" xfId="0" applyNumberFormat="1" applyFont="1" applyFill="1">
      <alignment vertical="top"/>
    </xf>
    <xf numFmtId="166" fontId="13" fillId="2" borderId="0" xfId="1" applyNumberFormat="1" applyFont="1"/>
    <xf numFmtId="5" fontId="16" fillId="0" borderId="0" xfId="8" applyNumberFormat="1" applyFont="1" applyFill="1"/>
    <xf numFmtId="0" fontId="13" fillId="0" borderId="0" xfId="0" applyFont="1" applyFill="1" applyAlignment="1"/>
    <xf numFmtId="14" fontId="16" fillId="0" borderId="0" xfId="0" applyNumberFormat="1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19" fillId="0" borderId="0" xfId="0" quotePrefix="1" applyNumberFormat="1" applyFont="1" applyAlignment="1">
      <alignment horizontal="center"/>
    </xf>
    <xf numFmtId="14" fontId="16" fillId="0" borderId="0" xfId="0" applyNumberFormat="1" applyFont="1" applyAlignment="1">
      <alignment horizontal="center" vertical="top"/>
    </xf>
    <xf numFmtId="168" fontId="18" fillId="0" borderId="0" xfId="34" applyNumberFormat="1" applyFont="1" applyFill="1" applyAlignment="1"/>
    <xf numFmtId="180" fontId="18" fillId="0" borderId="0" xfId="34" applyNumberFormat="1" applyFont="1" applyFill="1" applyAlignment="1"/>
    <xf numFmtId="180" fontId="18" fillId="0" borderId="0" xfId="34" applyNumberFormat="1" applyFont="1" applyFill="1" applyBorder="1" applyAlignment="1"/>
    <xf numFmtId="181" fontId="18" fillId="0" borderId="0" xfId="34" applyNumberFormat="1" applyFont="1" applyFill="1" applyAlignment="1"/>
    <xf numFmtId="179" fontId="18" fillId="0" borderId="0" xfId="34" applyNumberFormat="1" applyFont="1" applyAlignment="1"/>
    <xf numFmtId="179" fontId="18" fillId="0" borderId="0" xfId="34" applyNumberFormat="1" applyFont="1" applyBorder="1" applyAlignment="1"/>
    <xf numFmtId="179" fontId="18" fillId="0" borderId="0" xfId="34" applyNumberFormat="1" applyFont="1" applyFill="1" applyAlignment="1"/>
    <xf numFmtId="168" fontId="18" fillId="0" borderId="0" xfId="34" applyNumberFormat="1" applyFont="1" applyFill="1" applyAlignment="1">
      <alignment horizontal="right"/>
    </xf>
    <xf numFmtId="181" fontId="18" fillId="0" borderId="0" xfId="34" applyNumberFormat="1" applyFont="1" applyFill="1" applyAlignment="1">
      <alignment horizontal="right"/>
    </xf>
    <xf numFmtId="0" fontId="11" fillId="0" borderId="0" xfId="34" applyNumberFormat="1" applyFont="1" applyFill="1" applyAlignment="1">
      <alignment wrapText="1"/>
    </xf>
    <xf numFmtId="0" fontId="18" fillId="0" borderId="0" xfId="34" applyNumberFormat="1" applyFont="1" applyAlignment="1">
      <alignment horizontal="center" wrapText="1"/>
    </xf>
    <xf numFmtId="0" fontId="11" fillId="0" borderId="0" xfId="34" applyNumberFormat="1" applyFont="1" applyAlignment="1">
      <alignment wrapText="1"/>
    </xf>
    <xf numFmtId="3" fontId="18" fillId="0" borderId="0" xfId="34" applyNumberFormat="1" applyFont="1"/>
    <xf numFmtId="0" fontId="18" fillId="0" borderId="0" xfId="34" applyNumberFormat="1" applyFont="1" applyFill="1" applyAlignment="1">
      <alignment horizontal="center" wrapText="1"/>
    </xf>
    <xf numFmtId="0" fontId="18" fillId="0" borderId="0" xfId="34" applyNumberFormat="1" applyFont="1" applyFill="1" applyBorder="1" applyAlignment="1">
      <alignment wrapText="1"/>
    </xf>
    <xf numFmtId="0" fontId="18" fillId="0" borderId="0" xfId="34" quotePrefix="1" applyNumberFormat="1" applyFont="1" applyFill="1" applyAlignment="1">
      <alignment wrapText="1"/>
    </xf>
    <xf numFmtId="3" fontId="18" fillId="0" borderId="0" xfId="34" applyNumberFormat="1" applyFont="1" applyFill="1" applyAlignment="1"/>
    <xf numFmtId="170" fontId="18" fillId="0" borderId="0" xfId="34" applyNumberFormat="1" applyFont="1" applyFill="1" applyAlignment="1"/>
    <xf numFmtId="170" fontId="18" fillId="0" borderId="2" xfId="34" applyNumberFormat="1" applyFont="1" applyFill="1" applyBorder="1" applyAlignment="1"/>
    <xf numFmtId="179" fontId="18" fillId="0" borderId="0" xfId="34" applyNumberFormat="1" applyFont="1" applyFill="1" applyBorder="1" applyAlignment="1"/>
    <xf numFmtId="3" fontId="18" fillId="2" borderId="0" xfId="1" applyNumberFormat="1" applyFont="1"/>
    <xf numFmtId="0" fontId="20" fillId="0" borderId="0" xfId="0" quotePrefix="1" applyFont="1" applyFill="1" applyBorder="1" applyAlignment="1">
      <alignment horizontal="center"/>
    </xf>
    <xf numFmtId="179" fontId="48" fillId="0" borderId="0" xfId="34" applyNumberFormat="1" applyFont="1" applyFill="1"/>
    <xf numFmtId="0" fontId="13" fillId="0" borderId="0" xfId="0" applyFont="1" applyFill="1" applyAlignment="1"/>
    <xf numFmtId="37" fontId="16" fillId="0" borderId="0" xfId="0" applyNumberFormat="1" applyFont="1" applyFill="1">
      <alignment vertical="top"/>
    </xf>
    <xf numFmtId="0" fontId="17" fillId="0" borderId="0" xfId="0" quotePrefix="1" applyFont="1" applyFill="1" applyBorder="1" applyAlignment="1">
      <alignment horizontal="left"/>
    </xf>
    <xf numFmtId="0" fontId="11" fillId="0" borderId="13" xfId="0" applyFont="1" applyFill="1" applyBorder="1" applyAlignment="1">
      <alignment horizontal="center" wrapText="1"/>
    </xf>
    <xf numFmtId="0" fontId="11" fillId="0" borderId="14" xfId="0" applyFont="1" applyFill="1" applyBorder="1" applyAlignment="1">
      <alignment horizontal="center" wrapText="1"/>
    </xf>
    <xf numFmtId="0" fontId="11" fillId="0" borderId="5" xfId="0" applyFont="1" applyFill="1" applyBorder="1" applyAlignment="1">
      <alignment horizontal="center" wrapText="1"/>
    </xf>
    <xf numFmtId="0" fontId="11" fillId="0" borderId="26" xfId="0" applyFont="1" applyFill="1" applyBorder="1" applyAlignment="1">
      <alignment horizontal="center" wrapText="1"/>
    </xf>
    <xf numFmtId="0" fontId="19" fillId="2" borderId="0" xfId="259" applyFont="1" applyFill="1" applyAlignment="1"/>
    <xf numFmtId="7" fontId="13" fillId="0" borderId="0" xfId="1" applyNumberFormat="1" applyFont="1" applyFill="1" applyBorder="1"/>
    <xf numFmtId="0" fontId="13" fillId="0" borderId="0" xfId="259" applyFont="1" applyFill="1" applyAlignment="1">
      <alignment horizontal="center"/>
    </xf>
    <xf numFmtId="41" fontId="13" fillId="0" borderId="0" xfId="1" applyNumberFormat="1" applyFont="1" applyFill="1" applyBorder="1"/>
    <xf numFmtId="5" fontId="13" fillId="0" borderId="0" xfId="1" applyNumberFormat="1" applyFont="1" applyFill="1" applyBorder="1"/>
    <xf numFmtId="0" fontId="13" fillId="2" borderId="0" xfId="259" applyFont="1" applyFill="1" applyAlignment="1">
      <alignment horizontal="left"/>
    </xf>
    <xf numFmtId="37" fontId="13" fillId="2" borderId="43" xfId="259" applyNumberFormat="1" applyFont="1" applyFill="1" applyBorder="1" applyAlignment="1"/>
    <xf numFmtId="41" fontId="116" fillId="0" borderId="0" xfId="0" applyNumberFormat="1" applyFont="1" applyFill="1" applyAlignment="1"/>
    <xf numFmtId="41" fontId="116" fillId="0" borderId="0" xfId="1" applyNumberFormat="1" applyFont="1" applyFill="1" applyBorder="1"/>
    <xf numFmtId="5" fontId="16" fillId="0" borderId="0" xfId="0" applyNumberFormat="1" applyFont="1" applyFill="1" applyBorder="1" applyAlignment="1"/>
    <xf numFmtId="41" fontId="117" fillId="0" borderId="0" xfId="1" applyNumberFormat="1" applyFont="1" applyFill="1" applyBorder="1"/>
    <xf numFmtId="41" fontId="20" fillId="0" borderId="0" xfId="1" applyNumberFormat="1" applyFont="1" applyFill="1" applyBorder="1"/>
    <xf numFmtId="7" fontId="24" fillId="0" borderId="0" xfId="0" applyNumberFormat="1" applyFont="1" applyFill="1" applyBorder="1" applyAlignment="1"/>
    <xf numFmtId="5" fontId="13" fillId="0" borderId="43" xfId="13" applyFont="1" applyFill="1" applyBorder="1"/>
    <xf numFmtId="5" fontId="13" fillId="0" borderId="0" xfId="0" applyNumberFormat="1" applyFont="1" applyFill="1" applyAlignment="1">
      <alignment horizontal="right"/>
    </xf>
    <xf numFmtId="5" fontId="16" fillId="2" borderId="0" xfId="8" applyNumberFormat="1" applyFont="1"/>
    <xf numFmtId="3" fontId="18" fillId="2" borderId="2" xfId="1" applyNumberFormat="1" applyFont="1" applyBorder="1"/>
    <xf numFmtId="5" fontId="20" fillId="0" borderId="0" xfId="0" applyNumberFormat="1" applyFont="1" applyFill="1" applyBorder="1" applyAlignment="1"/>
    <xf numFmtId="38" fontId="11" fillId="0" borderId="0" xfId="0" applyNumberFormat="1" applyFont="1" applyFill="1" applyBorder="1">
      <alignment vertical="top"/>
    </xf>
    <xf numFmtId="4" fontId="16" fillId="7" borderId="0" xfId="0" applyNumberFormat="1" applyFont="1" applyFill="1">
      <alignment vertical="top"/>
    </xf>
    <xf numFmtId="4" fontId="16" fillId="9" borderId="0" xfId="0" applyNumberFormat="1" applyFont="1" applyFill="1">
      <alignment vertical="top"/>
    </xf>
    <xf numFmtId="38" fontId="16" fillId="0" borderId="0" xfId="0" applyNumberFormat="1" applyFont="1">
      <alignment vertical="top"/>
    </xf>
    <xf numFmtId="37" fontId="16" fillId="7" borderId="0" xfId="0" applyNumberFormat="1" applyFont="1" applyFill="1">
      <alignment vertical="top"/>
    </xf>
    <xf numFmtId="37" fontId="16" fillId="9" borderId="0" xfId="0" applyNumberFormat="1" applyFont="1" applyFill="1">
      <alignment vertical="top"/>
    </xf>
    <xf numFmtId="10" fontId="11" fillId="0" borderId="0" xfId="0" applyNumberFormat="1" applyFont="1" applyBorder="1">
      <alignment vertical="top"/>
    </xf>
    <xf numFmtId="4" fontId="11" fillId="0" borderId="0" xfId="0" applyNumberFormat="1" applyFont="1" applyBorder="1">
      <alignment vertical="top"/>
    </xf>
    <xf numFmtId="38" fontId="26" fillId="0" borderId="0" xfId="0" applyNumberFormat="1" applyFont="1" applyBorder="1">
      <alignment vertical="top"/>
    </xf>
    <xf numFmtId="38" fontId="26" fillId="0" borderId="20" xfId="0" applyNumberFormat="1" applyFont="1" applyBorder="1">
      <alignment vertical="top"/>
    </xf>
    <xf numFmtId="10" fontId="11" fillId="0" borderId="0" xfId="0" applyNumberFormat="1" applyFont="1" applyFill="1" applyBorder="1">
      <alignment vertical="top"/>
    </xf>
    <xf numFmtId="5" fontId="11" fillId="0" borderId="0" xfId="0" applyNumberFormat="1" applyFont="1" applyBorder="1">
      <alignment vertical="top"/>
    </xf>
    <xf numFmtId="1" fontId="11" fillId="0" borderId="0" xfId="0" applyNumberFormat="1" applyFont="1" applyBorder="1">
      <alignment vertical="top"/>
    </xf>
    <xf numFmtId="38" fontId="11" fillId="0" borderId="20" xfId="0" applyNumberFormat="1" applyFont="1" applyFill="1" applyBorder="1">
      <alignment vertical="top"/>
    </xf>
    <xf numFmtId="10" fontId="11" fillId="0" borderId="0" xfId="0" applyNumberFormat="1" applyFont="1" applyBorder="1" applyAlignment="1">
      <alignment horizontal="center"/>
    </xf>
    <xf numFmtId="3" fontId="11" fillId="0" borderId="0" xfId="0" applyNumberFormat="1" applyFont="1" applyBorder="1">
      <alignment vertical="top"/>
    </xf>
    <xf numFmtId="4" fontId="11" fillId="0" borderId="0" xfId="0" applyNumberFormat="1" applyFont="1" applyFill="1" applyBorder="1">
      <alignment vertical="top"/>
    </xf>
    <xf numFmtId="38" fontId="18" fillId="0" borderId="39" xfId="0" applyNumberFormat="1" applyFont="1" applyBorder="1">
      <alignment vertical="top"/>
    </xf>
    <xf numFmtId="0" fontId="18" fillId="0" borderId="8" xfId="0" applyFont="1" applyBorder="1">
      <alignment vertical="top"/>
    </xf>
    <xf numFmtId="38" fontId="18" fillId="0" borderId="8" xfId="0" applyNumberFormat="1" applyFont="1" applyBorder="1">
      <alignment vertical="top"/>
    </xf>
    <xf numFmtId="38" fontId="18" fillId="0" borderId="40" xfId="0" applyNumberFormat="1" applyFont="1" applyBorder="1">
      <alignment vertical="top"/>
    </xf>
    <xf numFmtId="17" fontId="11" fillId="0" borderId="0" xfId="0" applyNumberFormat="1" applyFont="1" applyBorder="1">
      <alignment vertical="top"/>
    </xf>
    <xf numFmtId="37" fontId="11" fillId="0" borderId="0" xfId="0" applyNumberFormat="1" applyFont="1" applyFill="1" applyAlignment="1"/>
    <xf numFmtId="170" fontId="18" fillId="0" borderId="0" xfId="45" applyNumberFormat="1" applyFont="1" applyFill="1" applyAlignment="1"/>
    <xf numFmtId="171" fontId="18" fillId="0" borderId="0" xfId="34" applyNumberFormat="1" applyFont="1" applyFill="1" applyBorder="1" applyAlignment="1"/>
    <xf numFmtId="0" fontId="18" fillId="0" borderId="0" xfId="34" applyFont="1" applyAlignment="1">
      <alignment horizontal="center"/>
    </xf>
    <xf numFmtId="0" fontId="119" fillId="0" borderId="0" xfId="0" applyFont="1" applyFill="1" applyBorder="1" applyAlignment="1"/>
    <xf numFmtId="0" fontId="59" fillId="0" borderId="0" xfId="0" applyFont="1" applyFill="1" applyBorder="1" applyAlignment="1"/>
    <xf numFmtId="37" fontId="18" fillId="0" borderId="0" xfId="0" applyNumberFormat="1" applyFont="1" applyFill="1" applyBorder="1" applyAlignment="1"/>
    <xf numFmtId="5" fontId="18" fillId="0" borderId="6" xfId="0" applyNumberFormat="1" applyFont="1" applyFill="1" applyBorder="1" applyAlignment="1"/>
    <xf numFmtId="5" fontId="18" fillId="0" borderId="3" xfId="0" applyNumberFormat="1" applyFont="1" applyFill="1" applyBorder="1" applyAlignment="1"/>
    <xf numFmtId="10" fontId="18" fillId="0" borderId="0" xfId="13" applyNumberFormat="1" applyFont="1" applyFill="1"/>
    <xf numFmtId="10" fontId="18" fillId="0" borderId="0" xfId="0" applyNumberFormat="1" applyFont="1" applyFill="1" applyBorder="1" applyAlignment="1"/>
    <xf numFmtId="0" fontId="13" fillId="2" borderId="0" xfId="0" applyFont="1" applyFill="1" applyAlignment="1"/>
    <xf numFmtId="0" fontId="13" fillId="0" borderId="0" xfId="0" applyFont="1" applyFill="1" applyAlignment="1"/>
    <xf numFmtId="0" fontId="13" fillId="0" borderId="0" xfId="0" applyFont="1" applyFill="1" applyAlignment="1"/>
    <xf numFmtId="39" fontId="13" fillId="0" borderId="0" xfId="0" applyNumberFormat="1" applyFont="1" applyFill="1" applyAlignment="1">
      <alignment horizontal="center"/>
    </xf>
    <xf numFmtId="39" fontId="13" fillId="0" borderId="45" xfId="0" applyNumberFormat="1" applyFont="1" applyFill="1" applyBorder="1" applyAlignment="1">
      <alignment horizontal="center"/>
    </xf>
    <xf numFmtId="2" fontId="13" fillId="0" borderId="0" xfId="0" applyNumberFormat="1" applyFont="1" applyFill="1" applyAlignment="1">
      <alignment horizontal="center"/>
    </xf>
    <xf numFmtId="2" fontId="13" fillId="0" borderId="45" xfId="0" applyNumberFormat="1" applyFont="1" applyFill="1" applyBorder="1" applyAlignment="1">
      <alignment horizontal="center"/>
    </xf>
    <xf numFmtId="184" fontId="13" fillId="0" borderId="0" xfId="0" applyNumberFormat="1" applyFont="1" applyFill="1" applyAlignment="1"/>
    <xf numFmtId="39" fontId="13" fillId="0" borderId="0" xfId="0" applyNumberFormat="1" applyFont="1" applyFill="1" applyBorder="1" applyAlignment="1">
      <alignment horizontal="center"/>
    </xf>
    <xf numFmtId="173" fontId="13" fillId="0" borderId="0" xfId="0" applyNumberFormat="1" applyFont="1" applyFill="1" applyAlignment="1"/>
    <xf numFmtId="165" fontId="118" fillId="0" borderId="0" xfId="34" applyNumberFormat="1" applyFont="1" applyFill="1" applyAlignment="1"/>
    <xf numFmtId="0" fontId="106" fillId="0" borderId="0" xfId="34" applyNumberFormat="1" applyFont="1" applyFill="1" applyAlignment="1">
      <alignment horizontal="left"/>
    </xf>
    <xf numFmtId="3" fontId="18" fillId="0" borderId="0" xfId="34" applyNumberFormat="1" applyFont="1" applyFill="1"/>
    <xf numFmtId="173" fontId="18" fillId="0" borderId="2" xfId="34" applyNumberFormat="1" applyFont="1" applyFill="1" applyBorder="1" applyAlignment="1"/>
    <xf numFmtId="3" fontId="18" fillId="0" borderId="0" xfId="34" applyNumberFormat="1" applyFont="1" applyFill="1" applyBorder="1" applyAlignment="1"/>
    <xf numFmtId="3" fontId="18" fillId="0" borderId="2" xfId="34" applyNumberFormat="1" applyFont="1" applyFill="1" applyBorder="1" applyAlignment="1"/>
    <xf numFmtId="37" fontId="18" fillId="0" borderId="0" xfId="34" applyNumberFormat="1" applyFont="1" applyFill="1" applyAlignment="1"/>
    <xf numFmtId="179" fontId="18" fillId="0" borderId="2" xfId="34" applyNumberFormat="1" applyFont="1" applyBorder="1" applyAlignment="1"/>
    <xf numFmtId="170" fontId="18" fillId="0" borderId="0" xfId="34" applyNumberFormat="1" applyFont="1" applyAlignment="1"/>
    <xf numFmtId="170" fontId="18" fillId="0" borderId="2" xfId="34" applyNumberFormat="1" applyFont="1" applyBorder="1" applyAlignment="1"/>
    <xf numFmtId="3" fontId="23" fillId="2" borderId="0" xfId="1" applyNumberFormat="1"/>
    <xf numFmtId="170" fontId="18" fillId="0" borderId="0" xfId="34" applyNumberFormat="1" applyFont="1" applyBorder="1" applyAlignment="1"/>
    <xf numFmtId="44" fontId="18" fillId="0" borderId="2" xfId="34" applyNumberFormat="1" applyFont="1" applyBorder="1" applyAlignment="1"/>
    <xf numFmtId="0" fontId="18" fillId="0" borderId="0" xfId="34" quotePrefix="1" applyFont="1" applyAlignment="1">
      <alignment wrapText="1"/>
    </xf>
    <xf numFmtId="171" fontId="18" fillId="0" borderId="0" xfId="34" applyNumberFormat="1" applyFont="1" applyFill="1"/>
    <xf numFmtId="0" fontId="13" fillId="0" borderId="0" xfId="34" applyFont="1"/>
    <xf numFmtId="10" fontId="18" fillId="0" borderId="45" xfId="34" applyNumberFormat="1" applyFont="1" applyFill="1" applyBorder="1" applyAlignment="1"/>
    <xf numFmtId="37" fontId="24" fillId="0" borderId="0" xfId="0" applyNumberFormat="1" applyFont="1" applyFill="1" applyAlignment="1"/>
    <xf numFmtId="5" fontId="112" fillId="0" borderId="0" xfId="0" applyNumberFormat="1" applyFont="1" applyFill="1" applyBorder="1" applyAlignment="1"/>
    <xf numFmtId="10" fontId="13" fillId="2" borderId="0" xfId="38" applyNumberFormat="1" applyFont="1"/>
    <xf numFmtId="10" fontId="13" fillId="0" borderId="0" xfId="0" applyNumberFormat="1" applyFont="1" applyBorder="1">
      <alignment vertical="top"/>
    </xf>
    <xf numFmtId="5" fontId="13" fillId="0" borderId="0" xfId="0" applyNumberFormat="1" applyFont="1" applyFill="1" applyBorder="1">
      <alignment vertical="top"/>
    </xf>
    <xf numFmtId="5" fontId="13" fillId="0" borderId="0" xfId="0" applyNumberFormat="1" applyFont="1" applyFill="1" applyBorder="1" applyAlignment="1">
      <alignment vertical="center"/>
    </xf>
    <xf numFmtId="5" fontId="13" fillId="0" borderId="0" xfId="0" applyNumberFormat="1" applyFont="1" applyBorder="1">
      <alignment vertical="top"/>
    </xf>
    <xf numFmtId="0" fontId="17" fillId="0" borderId="2" xfId="0" applyFont="1" applyFill="1" applyBorder="1" applyAlignment="1"/>
    <xf numFmtId="37" fontId="18" fillId="5" borderId="18" xfId="0" applyNumberFormat="1" applyFont="1" applyFill="1" applyBorder="1">
      <alignment vertical="top"/>
    </xf>
    <xf numFmtId="38" fontId="11" fillId="5" borderId="10" xfId="0" applyNumberFormat="1" applyFont="1" applyFill="1" applyBorder="1">
      <alignment vertical="top"/>
    </xf>
    <xf numFmtId="37" fontId="18" fillId="5" borderId="17" xfId="0" applyNumberFormat="1" applyFont="1" applyFill="1" applyBorder="1" applyAlignment="1">
      <alignment horizontal="right"/>
    </xf>
    <xf numFmtId="37" fontId="18" fillId="5" borderId="18" xfId="0" applyNumberFormat="1" applyFont="1" applyFill="1" applyBorder="1" applyAlignment="1">
      <alignment horizontal="right"/>
    </xf>
    <xf numFmtId="0" fontId="18" fillId="5" borderId="17" xfId="0" applyFont="1" applyFill="1" applyBorder="1">
      <alignment vertical="top"/>
    </xf>
    <xf numFmtId="0" fontId="18" fillId="5" borderId="18" xfId="0" applyFont="1" applyFill="1" applyBorder="1">
      <alignment vertical="top"/>
    </xf>
    <xf numFmtId="3" fontId="11" fillId="5" borderId="10" xfId="0" applyNumberFormat="1" applyFont="1" applyFill="1" applyBorder="1">
      <alignment vertical="top"/>
    </xf>
    <xf numFmtId="38" fontId="11" fillId="5" borderId="11" xfId="0" applyNumberFormat="1" applyFont="1" applyFill="1" applyBorder="1">
      <alignment vertical="top"/>
    </xf>
    <xf numFmtId="172" fontId="18" fillId="5" borderId="18" xfId="1" applyNumberFormat="1" applyFont="1" applyFill="1" applyBorder="1"/>
    <xf numFmtId="172" fontId="18" fillId="0" borderId="5" xfId="1" applyNumberFormat="1" applyFont="1" applyFill="1" applyBorder="1"/>
    <xf numFmtId="172" fontId="18" fillId="0" borderId="19" xfId="1" applyNumberFormat="1" applyFont="1" applyFill="1" applyBorder="1"/>
    <xf numFmtId="172" fontId="18" fillId="5" borderId="20" xfId="1" applyNumberFormat="1" applyFont="1" applyFill="1" applyBorder="1"/>
    <xf numFmtId="37" fontId="11" fillId="6" borderId="10" xfId="0" applyNumberFormat="1" applyFont="1" applyFill="1" applyBorder="1">
      <alignment vertical="top"/>
    </xf>
    <xf numFmtId="38" fontId="11" fillId="6" borderId="10" xfId="0" applyNumberFormat="1" applyFont="1" applyFill="1" applyBorder="1">
      <alignment vertical="top"/>
    </xf>
    <xf numFmtId="37" fontId="18" fillId="6" borderId="20" xfId="1" applyNumberFormat="1" applyFont="1" applyFill="1" applyBorder="1" applyAlignment="1">
      <alignment horizontal="right"/>
    </xf>
    <xf numFmtId="37" fontId="18" fillId="6" borderId="18" xfId="1" applyNumberFormat="1" applyFont="1" applyFill="1" applyBorder="1" applyAlignment="1">
      <alignment horizontal="right"/>
    </xf>
    <xf numFmtId="172" fontId="18" fillId="5" borderId="20" xfId="1" applyNumberFormat="1" applyFont="1" applyFill="1" applyBorder="1" applyAlignment="1">
      <alignment horizontal="right"/>
    </xf>
    <xf numFmtId="37" fontId="18" fillId="6" borderId="20" xfId="1" applyNumberFormat="1" applyFont="1" applyFill="1" applyBorder="1"/>
    <xf numFmtId="37" fontId="18" fillId="6" borderId="18" xfId="1" applyNumberFormat="1" applyFont="1" applyFill="1" applyBorder="1"/>
    <xf numFmtId="37" fontId="11" fillId="6" borderId="11" xfId="0" applyNumberFormat="1" applyFont="1" applyFill="1" applyBorder="1">
      <alignment vertical="top"/>
    </xf>
    <xf numFmtId="38" fontId="11" fillId="5" borderId="12" xfId="0" applyNumberFormat="1" applyFont="1" applyFill="1" applyBorder="1">
      <alignment vertical="top"/>
    </xf>
    <xf numFmtId="0" fontId="3" fillId="0" borderId="0" xfId="419" applyAlignment="1">
      <alignment wrapText="1"/>
    </xf>
    <xf numFmtId="0" fontId="3" fillId="0" borderId="0" xfId="419"/>
    <xf numFmtId="14" fontId="3" fillId="0" borderId="0" xfId="419" applyNumberFormat="1"/>
    <xf numFmtId="2" fontId="3" fillId="0" borderId="0" xfId="419" applyNumberFormat="1"/>
    <xf numFmtId="185" fontId="3" fillId="0" borderId="0" xfId="419" applyNumberFormat="1"/>
    <xf numFmtId="0" fontId="3" fillId="0" borderId="0" xfId="419" applyAlignment="1">
      <alignment horizontal="right"/>
    </xf>
    <xf numFmtId="172" fontId="0" fillId="0" borderId="0" xfId="420" applyNumberFormat="1" applyFont="1"/>
    <xf numFmtId="43" fontId="3" fillId="0" borderId="0" xfId="419" applyNumberFormat="1"/>
    <xf numFmtId="172" fontId="3" fillId="0" borderId="0" xfId="419" applyNumberFormat="1"/>
    <xf numFmtId="10" fontId="0" fillId="0" borderId="0" xfId="422" applyNumberFormat="1" applyFont="1"/>
    <xf numFmtId="0" fontId="13" fillId="0" borderId="0" xfId="0" applyFont="1" applyFill="1" applyAlignment="1"/>
    <xf numFmtId="44" fontId="111" fillId="0" borderId="0" xfId="8" applyNumberFormat="1" applyFont="1" applyFill="1" applyProtection="1">
      <protection locked="0"/>
    </xf>
    <xf numFmtId="5" fontId="105" fillId="0" borderId="0" xfId="26" applyNumberFormat="1" applyFont="1" applyFill="1"/>
    <xf numFmtId="43" fontId="105" fillId="0" borderId="0" xfId="151" applyNumberFormat="1" applyFont="1" applyFill="1"/>
    <xf numFmtId="49" fontId="105" fillId="0" borderId="0" xfId="0" applyNumberFormat="1" applyFont="1" applyFill="1" applyAlignment="1"/>
    <xf numFmtId="5" fontId="114" fillId="0" borderId="0" xfId="26" applyNumberFormat="1" applyFont="1" applyFill="1"/>
    <xf numFmtId="49" fontId="60" fillId="0" borderId="0" xfId="0" applyNumberFormat="1" applyFont="1" applyFill="1" applyAlignment="1"/>
    <xf numFmtId="174" fontId="48" fillId="0" borderId="0" xfId="0" applyNumberFormat="1" applyFont="1" applyFill="1" applyAlignment="1"/>
    <xf numFmtId="5" fontId="110" fillId="0" borderId="0" xfId="26" applyNumberFormat="1" applyFont="1" applyFill="1" applyProtection="1"/>
    <xf numFmtId="0" fontId="20" fillId="0" borderId="0" xfId="0" applyFont="1" applyFill="1" applyAlignment="1">
      <alignment horizontal="center" vertical="top"/>
    </xf>
    <xf numFmtId="0" fontId="13" fillId="2" borderId="0" xfId="0" applyFont="1" applyFill="1" applyAlignme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3" fontId="13" fillId="0" borderId="0" xfId="0" applyNumberFormat="1" applyFont="1" applyAlignment="1"/>
    <xf numFmtId="3" fontId="49" fillId="0" borderId="0" xfId="0" applyNumberFormat="1" applyFont="1" applyAlignment="1"/>
    <xf numFmtId="0" fontId="51" fillId="0" borderId="0" xfId="0" applyFont="1" applyAlignment="1">
      <alignment horizontal="center"/>
    </xf>
    <xf numFmtId="0" fontId="51" fillId="0" borderId="0" xfId="0" applyFont="1" applyAlignment="1"/>
    <xf numFmtId="0" fontId="49" fillId="0" borderId="0" xfId="0" applyFont="1" applyAlignment="1"/>
    <xf numFmtId="0" fontId="16" fillId="0" borderId="0" xfId="0" applyFont="1" applyAlignment="1">
      <alignment horizontal="center"/>
    </xf>
    <xf numFmtId="3" fontId="16" fillId="0" borderId="0" xfId="0" applyNumberFormat="1" applyFont="1" applyAlignment="1">
      <alignment horizontal="center"/>
    </xf>
    <xf numFmtId="40" fontId="16" fillId="0" borderId="0" xfId="0" applyNumberFormat="1" applyFont="1">
      <alignment vertical="top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/>
    <xf numFmtId="0" fontId="50" fillId="0" borderId="0" xfId="0" applyFont="1">
      <alignment vertical="top"/>
    </xf>
    <xf numFmtId="3" fontId="50" fillId="0" borderId="0" xfId="0" applyNumberFormat="1" applyFont="1" applyAlignment="1"/>
    <xf numFmtId="39" fontId="49" fillId="0" borderId="0" xfId="0" applyNumberFormat="1" applyFont="1">
      <alignment vertical="top"/>
    </xf>
    <xf numFmtId="5" fontId="13" fillId="0" borderId="0" xfId="0" applyNumberFormat="1" applyFont="1">
      <alignment vertical="top"/>
    </xf>
    <xf numFmtId="5" fontId="49" fillId="0" borderId="0" xfId="0" applyNumberFormat="1" applyFont="1">
      <alignment vertical="top"/>
    </xf>
    <xf numFmtId="39" fontId="13" fillId="0" borderId="0" xfId="0" applyNumberFormat="1" applyFont="1">
      <alignment vertical="top"/>
    </xf>
    <xf numFmtId="3" fontId="13" fillId="0" borderId="0" xfId="0" quotePrefix="1" applyNumberFormat="1" applyFont="1" applyAlignment="1"/>
    <xf numFmtId="5" fontId="13" fillId="0" borderId="0" xfId="0" quotePrefix="1" applyNumberFormat="1" applyFont="1">
      <alignment vertical="top"/>
    </xf>
    <xf numFmtId="0" fontId="13" fillId="0" borderId="0" xfId="0" quotePrefix="1" applyFont="1">
      <alignment vertical="top"/>
    </xf>
    <xf numFmtId="5" fontId="16" fillId="0" borderId="0" xfId="0" applyNumberFormat="1" applyFont="1">
      <alignment vertical="top"/>
    </xf>
    <xf numFmtId="0" fontId="49" fillId="0" borderId="0" xfId="0" quotePrefix="1" applyFont="1">
      <alignment vertical="top"/>
    </xf>
    <xf numFmtId="5" fontId="49" fillId="0" borderId="2" xfId="0" applyNumberFormat="1" applyFont="1" applyBorder="1">
      <alignment vertical="top"/>
    </xf>
    <xf numFmtId="38" fontId="13" fillId="0" borderId="0" xfId="0" quotePrefix="1" applyNumberFormat="1" applyFont="1" applyAlignment="1">
      <alignment horizontal="left"/>
    </xf>
    <xf numFmtId="5" fontId="51" fillId="0" borderId="0" xfId="0" applyNumberFormat="1" applyFont="1">
      <alignment vertical="top"/>
    </xf>
    <xf numFmtId="38" fontId="49" fillId="0" borderId="0" xfId="0" quotePrefix="1" applyNumberFormat="1" applyFont="1" applyAlignment="1">
      <alignment horizontal="left"/>
    </xf>
    <xf numFmtId="5" fontId="50" fillId="0" borderId="0" xfId="0" applyNumberFormat="1" applyFont="1">
      <alignment vertical="top"/>
    </xf>
    <xf numFmtId="38" fontId="49" fillId="0" borderId="0" xfId="0" quotePrefix="1" applyNumberFormat="1" applyFont="1" applyAlignment="1"/>
    <xf numFmtId="0" fontId="16" fillId="0" borderId="0" xfId="0" quotePrefix="1" applyFont="1">
      <alignment vertical="top"/>
    </xf>
    <xf numFmtId="3" fontId="13" fillId="0" borderId="0" xfId="0" applyNumberFormat="1" applyFont="1" applyAlignment="1">
      <alignment horizontal="center"/>
    </xf>
    <xf numFmtId="0" fontId="13" fillId="0" borderId="0" xfId="0" quotePrefix="1" applyFont="1" applyAlignment="1"/>
    <xf numFmtId="4" fontId="13" fillId="0" borderId="0" xfId="0" applyNumberFormat="1" applyFont="1" applyAlignment="1"/>
    <xf numFmtId="4" fontId="49" fillId="0" borderId="0" xfId="0" applyNumberFormat="1" applyFont="1" applyAlignment="1"/>
    <xf numFmtId="0" fontId="49" fillId="0" borderId="0" xfId="0" applyFont="1" applyAlignment="1">
      <alignment horizontal="center"/>
    </xf>
    <xf numFmtId="5" fontId="49" fillId="0" borderId="0" xfId="0" applyNumberFormat="1" applyFont="1" applyAlignment="1"/>
    <xf numFmtId="37" fontId="18" fillId="0" borderId="0" xfId="0" applyNumberFormat="1" applyFont="1" applyAlignment="1"/>
    <xf numFmtId="0" fontId="19" fillId="0" borderId="0" xfId="0" quotePrefix="1" applyNumberFormat="1" applyFont="1" applyAlignment="1">
      <alignment horizontal="center"/>
    </xf>
    <xf numFmtId="37" fontId="18" fillId="12" borderId="13" xfId="0" applyNumberFormat="1" applyFont="1" applyFill="1" applyBorder="1">
      <alignment vertical="top"/>
    </xf>
    <xf numFmtId="37" fontId="18" fillId="12" borderId="17" xfId="0" applyNumberFormat="1" applyFont="1" applyFill="1" applyBorder="1">
      <alignment vertical="top"/>
    </xf>
    <xf numFmtId="37" fontId="18" fillId="12" borderId="14" xfId="0" applyNumberFormat="1" applyFont="1" applyFill="1" applyBorder="1">
      <alignment vertical="top"/>
    </xf>
    <xf numFmtId="37" fontId="18" fillId="12" borderId="18" xfId="0" applyNumberFormat="1" applyFont="1" applyFill="1" applyBorder="1">
      <alignment vertical="top"/>
    </xf>
    <xf numFmtId="3" fontId="11" fillId="12" borderId="0" xfId="0" applyNumberFormat="1" applyFont="1" applyFill="1" applyBorder="1" applyAlignment="1"/>
    <xf numFmtId="172" fontId="18" fillId="12" borderId="14" xfId="1" applyNumberFormat="1" applyFont="1" applyFill="1" applyBorder="1"/>
    <xf numFmtId="172" fontId="18" fillId="12" borderId="18" xfId="1" applyNumberFormat="1" applyFont="1" applyFill="1" applyBorder="1"/>
    <xf numFmtId="172" fontId="48" fillId="12" borderId="18" xfId="1" applyNumberFormat="1" applyFont="1" applyFill="1" applyBorder="1"/>
    <xf numFmtId="5" fontId="20" fillId="12" borderId="0" xfId="0" applyNumberFormat="1" applyFont="1" applyFill="1" applyBorder="1" applyAlignment="1"/>
    <xf numFmtId="10" fontId="16" fillId="12" borderId="0" xfId="37" applyNumberFormat="1" applyFont="1" applyFill="1" applyBorder="1"/>
    <xf numFmtId="10" fontId="19" fillId="12" borderId="0" xfId="37" applyNumberFormat="1" applyFont="1" applyFill="1" applyBorder="1"/>
    <xf numFmtId="37" fontId="18" fillId="0" borderId="43" xfId="0" applyNumberFormat="1" applyFont="1" applyFill="1" applyBorder="1" applyAlignment="1"/>
    <xf numFmtId="5" fontId="18" fillId="0" borderId="43" xfId="8" applyNumberFormat="1" applyFont="1" applyFill="1" applyBorder="1"/>
    <xf numFmtId="5" fontId="13" fillId="12" borderId="0" xfId="0" applyNumberFormat="1" applyFont="1" applyFill="1" applyAlignment="1"/>
    <xf numFmtId="168" fontId="18" fillId="12" borderId="0" xfId="34" applyNumberFormat="1" applyFont="1" applyFill="1" applyAlignment="1"/>
    <xf numFmtId="180" fontId="18" fillId="12" borderId="0" xfId="34" applyNumberFormat="1" applyFont="1" applyFill="1" applyAlignment="1"/>
    <xf numFmtId="180" fontId="18" fillId="12" borderId="0" xfId="34" applyNumberFormat="1" applyFont="1" applyFill="1" applyBorder="1" applyAlignment="1"/>
    <xf numFmtId="181" fontId="18" fillId="12" borderId="0" xfId="34" applyNumberFormat="1" applyFont="1" applyFill="1" applyAlignment="1"/>
    <xf numFmtId="3" fontId="18" fillId="12" borderId="0" xfId="1" applyNumberFormat="1" applyFont="1" applyFill="1"/>
    <xf numFmtId="165" fontId="18" fillId="12" borderId="0" xfId="34" applyNumberFormat="1" applyFont="1" applyFill="1" applyAlignment="1"/>
    <xf numFmtId="182" fontId="18" fillId="12" borderId="0" xfId="34" applyNumberFormat="1" applyFont="1" applyFill="1" applyAlignment="1"/>
    <xf numFmtId="170" fontId="18" fillId="12" borderId="0" xfId="34" applyNumberFormat="1" applyFont="1" applyFill="1" applyAlignment="1"/>
    <xf numFmtId="3" fontId="18" fillId="12" borderId="0" xfId="34" applyNumberFormat="1" applyFont="1" applyFill="1" applyAlignment="1"/>
    <xf numFmtId="170" fontId="18" fillId="12" borderId="0" xfId="34" applyNumberFormat="1" applyFont="1" applyFill="1" applyBorder="1" applyAlignment="1"/>
    <xf numFmtId="170" fontId="18" fillId="12" borderId="2" xfId="34" applyNumberFormat="1" applyFont="1" applyFill="1" applyBorder="1" applyAlignment="1"/>
    <xf numFmtId="173" fontId="18" fillId="12" borderId="2" xfId="34" applyNumberFormat="1" applyFont="1" applyFill="1" applyBorder="1" applyAlignment="1"/>
    <xf numFmtId="37" fontId="18" fillId="12" borderId="0" xfId="34" applyNumberFormat="1" applyFont="1" applyFill="1" applyAlignment="1"/>
    <xf numFmtId="44" fontId="18" fillId="12" borderId="2" xfId="34" applyNumberFormat="1" applyFont="1" applyFill="1" applyBorder="1" applyAlignment="1"/>
    <xf numFmtId="3" fontId="18" fillId="2" borderId="0" xfId="1" applyNumberFormat="1" applyFont="1" applyBorder="1"/>
    <xf numFmtId="0" fontId="18" fillId="11" borderId="0" xfId="34" quotePrefix="1" applyFont="1" applyFill="1" applyAlignment="1">
      <alignment wrapText="1"/>
    </xf>
    <xf numFmtId="0" fontId="13" fillId="2" borderId="0" xfId="0" applyFont="1" applyFill="1" applyAlignment="1"/>
    <xf numFmtId="5" fontId="18" fillId="0" borderId="43" xfId="0" applyNumberFormat="1" applyFont="1" applyFill="1" applyBorder="1" applyAlignment="1"/>
    <xf numFmtId="5" fontId="0" fillId="0" borderId="0" xfId="0" applyNumberFormat="1" applyFill="1" applyAlignment="1"/>
    <xf numFmtId="5" fontId="18" fillId="0" borderId="0" xfId="0" applyNumberFormat="1" applyFont="1" applyFill="1" applyAlignment="1"/>
    <xf numFmtId="172" fontId="16" fillId="0" borderId="0" xfId="5" applyNumberFormat="1" applyFont="1" applyFill="1" applyBorder="1"/>
    <xf numFmtId="172" fontId="16" fillId="0" borderId="0" xfId="5" applyNumberFormat="1" applyFont="1" applyFill="1" applyBorder="1" applyAlignment="1">
      <alignment horizontal="right"/>
    </xf>
    <xf numFmtId="10" fontId="16" fillId="0" borderId="0" xfId="37" applyNumberFormat="1" applyFont="1" applyFill="1" applyBorder="1"/>
    <xf numFmtId="0" fontId="13" fillId="2" borderId="0" xfId="0" applyFont="1" applyFill="1" applyAlignment="1"/>
    <xf numFmtId="37" fontId="13" fillId="0" borderId="0" xfId="8" applyNumberFormat="1" applyFont="1" applyFill="1"/>
    <xf numFmtId="0" fontId="13" fillId="0" borderId="0" xfId="0" applyFont="1" applyFill="1" applyAlignment="1"/>
    <xf numFmtId="5" fontId="13" fillId="0" borderId="0" xfId="11" applyNumberFormat="1" applyFont="1" applyFill="1" applyAlignment="1">
      <alignment horizontal="center"/>
    </xf>
    <xf numFmtId="5" fontId="13" fillId="0" borderId="0" xfId="8" applyNumberFormat="1" applyFont="1" applyFill="1" applyAlignment="1">
      <alignment horizontal="center"/>
    </xf>
    <xf numFmtId="0" fontId="18" fillId="63" borderId="0" xfId="0" applyFont="1" applyFill="1">
      <alignment vertical="top"/>
    </xf>
    <xf numFmtId="0" fontId="18" fillId="63" borderId="0" xfId="0" applyFont="1" applyFill="1" applyBorder="1">
      <alignment vertical="top"/>
    </xf>
    <xf numFmtId="38" fontId="18" fillId="63" borderId="19" xfId="0" applyNumberFormat="1" applyFont="1" applyFill="1" applyBorder="1">
      <alignment vertical="top"/>
    </xf>
    <xf numFmtId="38" fontId="18" fillId="63" borderId="0" xfId="0" applyNumberFormat="1" applyFont="1" applyFill="1" applyBorder="1">
      <alignment vertical="top"/>
    </xf>
    <xf numFmtId="38" fontId="18" fillId="63" borderId="20" xfId="0" applyNumberFormat="1" applyFont="1" applyFill="1" applyBorder="1">
      <alignment vertical="top"/>
    </xf>
    <xf numFmtId="38" fontId="11" fillId="63" borderId="19" xfId="0" applyNumberFormat="1" applyFont="1" applyFill="1" applyBorder="1">
      <alignment vertical="top"/>
    </xf>
    <xf numFmtId="0" fontId="11" fillId="63" borderId="0" xfId="0" applyFont="1" applyFill="1" applyBorder="1">
      <alignment vertical="top"/>
    </xf>
    <xf numFmtId="10" fontId="11" fillId="63" borderId="0" xfId="0" applyNumberFormat="1" applyFont="1" applyFill="1" applyBorder="1">
      <alignment vertical="top"/>
    </xf>
    <xf numFmtId="38" fontId="11" fillId="63" borderId="0" xfId="0" applyNumberFormat="1" applyFont="1" applyFill="1" applyBorder="1">
      <alignment vertical="top"/>
    </xf>
    <xf numFmtId="38" fontId="11" fillId="63" borderId="20" xfId="0" applyNumberFormat="1" applyFont="1" applyFill="1" applyBorder="1">
      <alignment vertical="top"/>
    </xf>
    <xf numFmtId="0" fontId="25" fillId="63" borderId="0" xfId="0" applyFont="1" applyFill="1">
      <alignment vertical="top"/>
    </xf>
    <xf numFmtId="0" fontId="11" fillId="63" borderId="0" xfId="0" applyFont="1" applyFill="1" applyBorder="1" applyAlignment="1">
      <alignment horizontal="center"/>
    </xf>
    <xf numFmtId="4" fontId="11" fillId="63" borderId="0" xfId="0" applyNumberFormat="1" applyFont="1" applyFill="1" applyBorder="1">
      <alignment vertical="top"/>
    </xf>
    <xf numFmtId="0" fontId="11" fillId="63" borderId="0" xfId="0" applyFont="1" applyFill="1">
      <alignment vertical="top"/>
    </xf>
    <xf numFmtId="38" fontId="26" fillId="63" borderId="19" xfId="0" applyNumberFormat="1" applyFont="1" applyFill="1" applyBorder="1">
      <alignment vertical="top"/>
    </xf>
    <xf numFmtId="38" fontId="26" fillId="63" borderId="0" xfId="0" applyNumberFormat="1" applyFont="1" applyFill="1" applyBorder="1">
      <alignment vertical="top"/>
    </xf>
    <xf numFmtId="38" fontId="26" fillId="63" borderId="20" xfId="0" applyNumberFormat="1" applyFont="1" applyFill="1" applyBorder="1">
      <alignment vertical="top"/>
    </xf>
    <xf numFmtId="10" fontId="11" fillId="64" borderId="0" xfId="38" applyFont="1" applyFill="1"/>
    <xf numFmtId="5" fontId="11" fillId="63" borderId="0" xfId="0" applyNumberFormat="1" applyFont="1" applyFill="1" applyBorder="1">
      <alignment vertical="top"/>
    </xf>
    <xf numFmtId="0" fontId="25" fillId="0" borderId="29" xfId="0" applyFont="1" applyFill="1" applyBorder="1" applyAlignment="1">
      <alignment horizontal="center"/>
    </xf>
    <xf numFmtId="0" fontId="18" fillId="0" borderId="27" xfId="0" applyFont="1" applyFill="1" applyBorder="1" applyAlignment="1">
      <alignment horizontal="center"/>
    </xf>
    <xf numFmtId="0" fontId="18" fillId="0" borderId="28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/>
    </xf>
    <xf numFmtId="38" fontId="25" fillId="0" borderId="0" xfId="0" applyNumberFormat="1" applyFont="1" applyFill="1" applyBorder="1" applyAlignment="1">
      <alignment horizontal="center"/>
    </xf>
    <xf numFmtId="38" fontId="25" fillId="0" borderId="20" xfId="0" applyNumberFormat="1" applyFont="1" applyFill="1" applyBorder="1" applyAlignment="1">
      <alignment horizontal="center"/>
    </xf>
    <xf numFmtId="38" fontId="25" fillId="0" borderId="19" xfId="0" applyNumberFormat="1" applyFont="1" applyFill="1" applyBorder="1" applyAlignment="1">
      <alignment horizontal="center"/>
    </xf>
    <xf numFmtId="38" fontId="26" fillId="0" borderId="19" xfId="0" applyNumberFormat="1" applyFont="1" applyFill="1" applyBorder="1" applyAlignment="1">
      <alignment horizontal="center"/>
    </xf>
    <xf numFmtId="38" fontId="26" fillId="0" borderId="0" xfId="0" applyNumberFormat="1" applyFont="1" applyFill="1" applyBorder="1" applyAlignment="1">
      <alignment horizontal="center"/>
    </xf>
    <xf numFmtId="38" fontId="26" fillId="0" borderId="20" xfId="0" applyNumberFormat="1" applyFont="1" applyFill="1" applyBorder="1" applyAlignment="1">
      <alignment horizontal="center"/>
    </xf>
    <xf numFmtId="0" fontId="18" fillId="12" borderId="0" xfId="0" applyFont="1" applyFill="1">
      <alignment vertical="top"/>
    </xf>
    <xf numFmtId="0" fontId="48" fillId="12" borderId="0" xfId="0" applyFont="1" applyFill="1">
      <alignment vertical="top"/>
    </xf>
    <xf numFmtId="0" fontId="0" fillId="12" borderId="0" xfId="0" applyFill="1">
      <alignment vertical="top"/>
    </xf>
    <xf numFmtId="2" fontId="105" fillId="0" borderId="0" xfId="0" applyNumberFormat="1" applyFont="1" applyAlignment="1"/>
    <xf numFmtId="0" fontId="13" fillId="12" borderId="0" xfId="0" applyFont="1" applyFill="1" applyAlignment="1"/>
    <xf numFmtId="5" fontId="49" fillId="12" borderId="0" xfId="0" applyNumberFormat="1" applyFont="1" applyFill="1" applyAlignment="1"/>
    <xf numFmtId="37" fontId="13" fillId="12" borderId="0" xfId="0" applyNumberFormat="1" applyFont="1" applyFill="1">
      <alignment vertical="top"/>
    </xf>
    <xf numFmtId="38" fontId="13" fillId="12" borderId="0" xfId="0" applyNumberFormat="1" applyFont="1" applyFill="1">
      <alignment vertical="top"/>
    </xf>
    <xf numFmtId="0" fontId="13" fillId="12" borderId="0" xfId="0" applyFont="1" applyFill="1">
      <alignment vertical="top"/>
    </xf>
    <xf numFmtId="0" fontId="49" fillId="12" borderId="0" xfId="0" applyFont="1" applyFill="1">
      <alignment vertical="top"/>
    </xf>
    <xf numFmtId="10" fontId="13" fillId="0" borderId="0" xfId="0" applyNumberFormat="1" applyFont="1" applyFill="1">
      <alignment vertical="top"/>
    </xf>
    <xf numFmtId="168" fontId="13" fillId="0" borderId="0" xfId="8" applyNumberFormat="1" applyFont="1" applyFill="1"/>
    <xf numFmtId="37" fontId="13" fillId="0" borderId="0" xfId="0" applyNumberFormat="1" applyFont="1" applyFill="1" applyAlignment="1">
      <alignment horizontal="center"/>
    </xf>
    <xf numFmtId="0" fontId="14" fillId="62" borderId="0" xfId="0" applyFont="1" applyFill="1" applyAlignment="1"/>
    <xf numFmtId="0" fontId="13" fillId="62" borderId="0" xfId="0" applyFont="1" applyFill="1" applyAlignment="1"/>
    <xf numFmtId="43" fontId="0" fillId="0" borderId="0" xfId="420" applyFont="1" applyFill="1"/>
    <xf numFmtId="172" fontId="0" fillId="0" borderId="0" xfId="420" applyNumberFormat="1" applyFont="1" applyFill="1"/>
    <xf numFmtId="173" fontId="0" fillId="0" borderId="0" xfId="421" applyNumberFormat="1" applyFont="1" applyFill="1"/>
    <xf numFmtId="5" fontId="23" fillId="2" borderId="0" xfId="8" applyNumberFormat="1"/>
    <xf numFmtId="3" fontId="23" fillId="62" borderId="0" xfId="1" applyNumberFormat="1" applyFill="1"/>
    <xf numFmtId="37" fontId="48" fillId="12" borderId="17" xfId="0" applyNumberFormat="1" applyFont="1" applyFill="1" applyBorder="1">
      <alignment vertical="top"/>
    </xf>
    <xf numFmtId="168" fontId="49" fillId="0" borderId="0" xfId="0" applyNumberFormat="1" applyFont="1" applyFill="1" applyAlignment="1"/>
    <xf numFmtId="0" fontId="49" fillId="62" borderId="0" xfId="0" applyFont="1" applyFill="1" applyAlignment="1"/>
    <xf numFmtId="10" fontId="49" fillId="0" borderId="0" xfId="38" applyFont="1" applyFill="1"/>
    <xf numFmtId="0" fontId="18" fillId="0" borderId="0" xfId="34" applyNumberFormat="1" applyFont="1" applyAlignment="1">
      <alignment horizontal="right"/>
    </xf>
    <xf numFmtId="0" fontId="3" fillId="11" borderId="0" xfId="419" applyFill="1"/>
    <xf numFmtId="187" fontId="3" fillId="11" borderId="0" xfId="419" applyNumberFormat="1" applyFill="1"/>
    <xf numFmtId="1" fontId="3" fillId="11" borderId="0" xfId="419" applyNumberFormat="1" applyFill="1"/>
    <xf numFmtId="0" fontId="3" fillId="61" borderId="0" xfId="419" applyFill="1"/>
    <xf numFmtId="187" fontId="3" fillId="61" borderId="0" xfId="419" applyNumberFormat="1" applyFill="1"/>
    <xf numFmtId="1" fontId="3" fillId="61" borderId="0" xfId="419" applyNumberFormat="1" applyFill="1"/>
    <xf numFmtId="0" fontId="3" fillId="0" borderId="0" xfId="419" applyAlignment="1">
      <alignment horizontal="center"/>
    </xf>
    <xf numFmtId="0" fontId="122" fillId="0" borderId="0" xfId="419" applyFont="1" applyAlignment="1">
      <alignment horizontal="center" wrapText="1"/>
    </xf>
    <xf numFmtId="167" fontId="0" fillId="11" borderId="0" xfId="0" applyNumberFormat="1" applyFill="1" applyAlignment="1"/>
    <xf numFmtId="0" fontId="0" fillId="0" borderId="0" xfId="0" applyAlignment="1"/>
    <xf numFmtId="172" fontId="0" fillId="11" borderId="0" xfId="0" applyNumberFormat="1" applyFill="1" applyAlignment="1"/>
    <xf numFmtId="172" fontId="0" fillId="2" borderId="0" xfId="1" applyNumberFormat="1" applyFont="1"/>
    <xf numFmtId="172" fontId="0" fillId="0" borderId="0" xfId="0" applyNumberFormat="1" applyAlignment="1"/>
    <xf numFmtId="172" fontId="80" fillId="2" borderId="0" xfId="1" applyNumberFormat="1" applyFont="1"/>
    <xf numFmtId="167" fontId="0" fillId="0" borderId="0" xfId="0" applyNumberFormat="1" applyAlignment="1"/>
    <xf numFmtId="17" fontId="0" fillId="0" borderId="0" xfId="0" applyNumberFormat="1" applyAlignment="1"/>
    <xf numFmtId="167" fontId="0" fillId="0" borderId="0" xfId="0" applyNumberFormat="1" applyAlignment="1">
      <alignment horizontal="right"/>
    </xf>
    <xf numFmtId="1" fontId="0" fillId="11" borderId="0" xfId="0" applyNumberFormat="1" applyFill="1" applyAlignment="1"/>
    <xf numFmtId="188" fontId="0" fillId="0" borderId="0" xfId="0" applyNumberFormat="1" applyAlignment="1"/>
    <xf numFmtId="1" fontId="0" fillId="0" borderId="0" xfId="0" applyNumberFormat="1" applyAlignment="1"/>
    <xf numFmtId="172" fontId="0" fillId="0" borderId="0" xfId="1" applyNumberFormat="1" applyFont="1" applyFill="1"/>
    <xf numFmtId="172" fontId="80" fillId="0" borderId="0" xfId="1" applyNumberFormat="1" applyFont="1" applyFill="1"/>
    <xf numFmtId="0" fontId="0" fillId="11" borderId="0" xfId="0" applyFill="1" applyAlignment="1">
      <alignment horizontal="center" wrapText="1"/>
    </xf>
    <xf numFmtId="172" fontId="0" fillId="11" borderId="0" xfId="38" applyNumberFormat="1" applyFont="1" applyFill="1"/>
    <xf numFmtId="0" fontId="122" fillId="0" borderId="0" xfId="0" applyFont="1" applyAlignment="1"/>
    <xf numFmtId="172" fontId="122" fillId="0" borderId="0" xfId="419" applyNumberFormat="1" applyFont="1"/>
    <xf numFmtId="10" fontId="0" fillId="2" borderId="0" xfId="38" applyFont="1"/>
    <xf numFmtId="172" fontId="23" fillId="2" borderId="0" xfId="1" applyNumberFormat="1"/>
    <xf numFmtId="0" fontId="0" fillId="0" borderId="0" xfId="0" applyAlignment="1">
      <alignment horizontal="center" wrapText="1"/>
    </xf>
    <xf numFmtId="186" fontId="80" fillId="11" borderId="0" xfId="421" applyNumberFormat="1" applyFont="1" applyFill="1"/>
    <xf numFmtId="0" fontId="122" fillId="11" borderId="0" xfId="419" applyFont="1" applyFill="1" applyAlignment="1">
      <alignment horizontal="right"/>
    </xf>
    <xf numFmtId="173" fontId="0" fillId="2" borderId="0" xfId="8" applyNumberFormat="1" applyFont="1"/>
    <xf numFmtId="0" fontId="3" fillId="0" borderId="0" xfId="419" applyAlignment="1">
      <alignment horizontal="center" wrapText="1"/>
    </xf>
    <xf numFmtId="173" fontId="23" fillId="2" borderId="0" xfId="8" applyNumberFormat="1"/>
    <xf numFmtId="173" fontId="3" fillId="0" borderId="0" xfId="419" applyNumberFormat="1"/>
    <xf numFmtId="0" fontId="122" fillId="11" borderId="0" xfId="419" applyFont="1" applyFill="1"/>
    <xf numFmtId="173" fontId="122" fillId="11" borderId="0" xfId="419" applyNumberFormat="1" applyFont="1" applyFill="1"/>
    <xf numFmtId="10" fontId="23" fillId="2" borderId="0" xfId="38"/>
    <xf numFmtId="172" fontId="84" fillId="2" borderId="0" xfId="1" applyNumberFormat="1" applyFont="1"/>
    <xf numFmtId="172" fontId="84" fillId="0" borderId="0" xfId="420" applyNumberFormat="1" applyFont="1"/>
    <xf numFmtId="0" fontId="84" fillId="0" borderId="0" xfId="419" applyFont="1"/>
    <xf numFmtId="0" fontId="2" fillId="11" borderId="0" xfId="419" applyFont="1" applyFill="1"/>
    <xf numFmtId="15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fill"/>
    </xf>
    <xf numFmtId="168" fontId="18" fillId="12" borderId="0" xfId="34" applyNumberFormat="1" applyFont="1" applyFill="1"/>
    <xf numFmtId="180" fontId="18" fillId="12" borderId="0" xfId="34" applyNumberFormat="1" applyFont="1" applyFill="1"/>
    <xf numFmtId="181" fontId="18" fillId="12" borderId="0" xfId="34" applyNumberFormat="1" applyFont="1" applyFill="1"/>
    <xf numFmtId="3" fontId="18" fillId="12" borderId="0" xfId="4" applyNumberFormat="1" applyFill="1"/>
    <xf numFmtId="165" fontId="18" fillId="12" borderId="0" xfId="34" applyNumberFormat="1" applyFont="1" applyFill="1"/>
    <xf numFmtId="182" fontId="18" fillId="12" borderId="0" xfId="34" applyNumberFormat="1" applyFont="1" applyFill="1"/>
    <xf numFmtId="170" fontId="48" fillId="0" borderId="0" xfId="34" applyNumberFormat="1" applyFont="1"/>
    <xf numFmtId="179" fontId="48" fillId="0" borderId="0" xfId="34" applyNumberFormat="1" applyFont="1"/>
    <xf numFmtId="179" fontId="18" fillId="0" borderId="0" xfId="34" applyNumberFormat="1" applyFont="1"/>
    <xf numFmtId="171" fontId="48" fillId="0" borderId="0" xfId="34" applyNumberFormat="1" applyFont="1"/>
    <xf numFmtId="168" fontId="18" fillId="0" borderId="0" xfId="34" applyNumberFormat="1" applyFont="1" applyAlignment="1"/>
    <xf numFmtId="168" fontId="18" fillId="0" borderId="2" xfId="34" applyNumberFormat="1" applyFont="1" applyBorder="1" applyAlignment="1"/>
    <xf numFmtId="168" fontId="18" fillId="0" borderId="2" xfId="34" applyNumberFormat="1" applyFont="1" applyFill="1" applyBorder="1" applyAlignment="1"/>
    <xf numFmtId="168" fontId="18" fillId="0" borderId="0" xfId="34" applyNumberFormat="1" applyFont="1" applyFill="1" applyBorder="1" applyAlignment="1"/>
    <xf numFmtId="168" fontId="48" fillId="0" borderId="0" xfId="34" applyNumberFormat="1" applyFont="1" applyAlignment="1"/>
    <xf numFmtId="7" fontId="105" fillId="0" borderId="0" xfId="26" applyNumberFormat="1" applyFont="1" applyFill="1"/>
    <xf numFmtId="7" fontId="114" fillId="0" borderId="0" xfId="26" applyNumberFormat="1" applyFont="1" applyFill="1"/>
    <xf numFmtId="0" fontId="13" fillId="0" borderId="0" xfId="0" applyFont="1" applyFill="1" applyAlignment="1"/>
    <xf numFmtId="7" fontId="13" fillId="0" borderId="0" xfId="8" applyFont="1" applyFill="1"/>
    <xf numFmtId="10" fontId="13" fillId="0" borderId="0" xfId="0" applyNumberFormat="1" applyFont="1" applyFill="1" applyAlignment="1"/>
    <xf numFmtId="173" fontId="13" fillId="0" borderId="0" xfId="0" applyNumberFormat="1" applyFont="1" applyFill="1" applyBorder="1" applyAlignment="1"/>
    <xf numFmtId="0" fontId="48" fillId="2" borderId="0" xfId="0" applyFont="1" applyFill="1" applyAlignment="1">
      <alignment horizontal="left"/>
    </xf>
    <xf numFmtId="0" fontId="13" fillId="0" borderId="0" xfId="0" applyFont="1" applyFill="1" applyAlignment="1"/>
    <xf numFmtId="173" fontId="117" fillId="0" borderId="0" xfId="0" applyNumberFormat="1" applyFont="1" applyFill="1">
      <alignment vertical="top"/>
    </xf>
    <xf numFmtId="5" fontId="0" fillId="0" borderId="0" xfId="0" applyNumberFormat="1" applyFill="1" applyBorder="1" applyAlignment="1"/>
    <xf numFmtId="0" fontId="0" fillId="0" borderId="0" xfId="0" applyFill="1" applyBorder="1" applyAlignment="1"/>
    <xf numFmtId="4" fontId="23" fillId="2" borderId="0" xfId="1" applyBorder="1"/>
    <xf numFmtId="0" fontId="0" fillId="0" borderId="0" xfId="0" applyFont="1" applyFill="1" applyBorder="1" applyAlignment="1"/>
    <xf numFmtId="0" fontId="13" fillId="0" borderId="0" xfId="0" applyFont="1" applyFill="1" applyAlignment="1"/>
    <xf numFmtId="0" fontId="13" fillId="2" borderId="0" xfId="0" applyFont="1" applyFill="1" applyAlignment="1"/>
    <xf numFmtId="173" fontId="13" fillId="0" borderId="0" xfId="0" applyNumberFormat="1" applyFont="1" applyFill="1">
      <alignment vertical="top"/>
    </xf>
    <xf numFmtId="5" fontId="13" fillId="0" borderId="43" xfId="0" applyNumberFormat="1" applyFont="1" applyFill="1" applyBorder="1">
      <alignment vertical="top"/>
    </xf>
    <xf numFmtId="7" fontId="123" fillId="62" borderId="0" xfId="8" applyFont="1" applyFill="1"/>
    <xf numFmtId="0" fontId="123" fillId="12" borderId="0" xfId="0" applyFont="1" applyFill="1" applyAlignment="1">
      <alignment horizontal="left"/>
    </xf>
    <xf numFmtId="0" fontId="123" fillId="12" borderId="0" xfId="0" applyFont="1" applyFill="1" applyAlignment="1"/>
    <xf numFmtId="0" fontId="123" fillId="0" borderId="0" xfId="0" applyFont="1" applyFill="1" applyAlignment="1"/>
    <xf numFmtId="0" fontId="123" fillId="3" borderId="0" xfId="0" applyFont="1" applyFill="1" applyAlignment="1"/>
    <xf numFmtId="10" fontId="123" fillId="0" borderId="0" xfId="0" applyNumberFormat="1" applyFont="1" applyFill="1" applyAlignment="1"/>
    <xf numFmtId="0" fontId="123" fillId="2" borderId="0" xfId="0" applyFont="1" applyFill="1" applyAlignment="1"/>
    <xf numFmtId="5" fontId="123" fillId="0" borderId="0" xfId="0" applyNumberFormat="1" applyFont="1" applyFill="1" applyBorder="1" applyAlignment="1"/>
    <xf numFmtId="5" fontId="123" fillId="0" borderId="0" xfId="8" applyNumberFormat="1" applyFont="1" applyFill="1" applyBorder="1"/>
    <xf numFmtId="5" fontId="123" fillId="0" borderId="2" xfId="8" applyNumberFormat="1" applyFont="1" applyFill="1" applyBorder="1"/>
    <xf numFmtId="189" fontId="13" fillId="2" borderId="0" xfId="259" applyNumberFormat="1" applyFont="1" applyFill="1" applyAlignment="1"/>
    <xf numFmtId="190" fontId="13" fillId="2" borderId="0" xfId="1" applyNumberFormat="1" applyFont="1"/>
    <xf numFmtId="37" fontId="18" fillId="5" borderId="17" xfId="0" applyNumberFormat="1" applyFont="1" applyFill="1" applyBorder="1">
      <alignment vertical="top"/>
    </xf>
    <xf numFmtId="0" fontId="13" fillId="2" borderId="0" xfId="0" applyFont="1" applyFill="1" applyAlignment="1"/>
    <xf numFmtId="5" fontId="18" fillId="2" borderId="0" xfId="8" applyNumberFormat="1" applyFont="1"/>
    <xf numFmtId="0" fontId="13" fillId="0" borderId="0" xfId="0" applyFont="1" applyFill="1" applyAlignment="1"/>
    <xf numFmtId="0" fontId="13" fillId="0" borderId="0" xfId="0" applyFont="1" applyFill="1" applyBorder="1" applyAlignment="1">
      <alignment horizontal="center"/>
    </xf>
    <xf numFmtId="37" fontId="18" fillId="0" borderId="0" xfId="423" applyNumberFormat="1" applyFont="1" applyFill="1" applyAlignment="1"/>
    <xf numFmtId="5" fontId="105" fillId="0" borderId="0" xfId="26" applyNumberFormat="1" applyFont="1"/>
    <xf numFmtId="0" fontId="25" fillId="2" borderId="37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38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15" fontId="11" fillId="0" borderId="5" xfId="0" applyNumberFormat="1" applyFont="1" applyBorder="1" applyAlignment="1">
      <alignment horizontal="center" wrapText="1"/>
    </xf>
    <xf numFmtId="15" fontId="11" fillId="0" borderId="6" xfId="0" applyNumberFormat="1" applyFont="1" applyBorder="1" applyAlignment="1">
      <alignment horizontal="center" wrapText="1"/>
    </xf>
    <xf numFmtId="0" fontId="18" fillId="0" borderId="46" xfId="0" applyFont="1" applyFill="1" applyBorder="1" applyAlignment="1">
      <alignment horizontal="center" wrapText="1"/>
    </xf>
    <xf numFmtId="0" fontId="18" fillId="0" borderId="47" xfId="0" applyFont="1" applyFill="1" applyBorder="1" applyAlignment="1">
      <alignment horizontal="center" wrapText="1"/>
    </xf>
    <xf numFmtId="0" fontId="25" fillId="0" borderId="27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wrapText="1"/>
    </xf>
    <xf numFmtId="0" fontId="11" fillId="0" borderId="6" xfId="0" applyFont="1" applyFill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8" fontId="18" fillId="0" borderId="8" xfId="0" applyNumberFormat="1" applyFont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38" fontId="18" fillId="0" borderId="8" xfId="0" applyNumberFormat="1" applyFont="1" applyFill="1" applyBorder="1" applyAlignment="1">
      <alignment horizontal="center" vertical="top"/>
    </xf>
    <xf numFmtId="0" fontId="18" fillId="0" borderId="8" xfId="0" applyFont="1" applyFill="1" applyBorder="1" applyAlignment="1">
      <alignment horizontal="center" vertical="top"/>
    </xf>
    <xf numFmtId="14" fontId="16" fillId="0" borderId="0" xfId="0" quotePrefix="1" applyNumberFormat="1" applyFont="1" applyAlignment="1">
      <alignment horizontal="center"/>
    </xf>
    <xf numFmtId="0" fontId="13" fillId="0" borderId="0" xfId="0" applyFont="1" applyFill="1" applyAlignment="1">
      <alignment vertical="top" shrinkToFit="1"/>
    </xf>
    <xf numFmtId="0" fontId="13" fillId="0" borderId="0" xfId="0" applyFont="1" applyFill="1" applyAlignment="1"/>
    <xf numFmtId="0" fontId="13" fillId="0" borderId="0" xfId="0" applyFont="1" applyFill="1" applyAlignment="1">
      <alignment shrinkToFit="1"/>
    </xf>
    <xf numFmtId="0" fontId="13" fillId="0" borderId="0" xfId="0" applyFont="1" applyAlignment="1">
      <alignment vertical="top" shrinkToFit="1"/>
    </xf>
    <xf numFmtId="0" fontId="13" fillId="2" borderId="0" xfId="0" applyFont="1" applyFill="1" applyAlignment="1"/>
    <xf numFmtId="0" fontId="13" fillId="2" borderId="0" xfId="0" applyFont="1" applyFill="1" applyAlignment="1">
      <alignment shrinkToFit="1"/>
    </xf>
    <xf numFmtId="0" fontId="13" fillId="0" borderId="0" xfId="0" applyFont="1" applyFill="1" applyBorder="1" applyAlignment="1">
      <alignment horizontal="center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8" fillId="0" borderId="0" xfId="34" applyNumberFormat="1" applyFont="1" applyAlignment="1">
      <alignment horizontal="right"/>
    </xf>
    <xf numFmtId="0" fontId="18" fillId="0" borderId="0" xfId="34" applyFont="1" applyBorder="1" applyAlignment="1">
      <alignment horizontal="right"/>
    </xf>
    <xf numFmtId="0" fontId="18" fillId="0" borderId="0" xfId="34" applyFont="1" applyAlignment="1">
      <alignment horizontal="center" wrapText="1"/>
    </xf>
  </cellXfs>
  <cellStyles count="489">
    <cellStyle name="20% - Accent1" xfId="236" builtinId="30" customBuiltin="1"/>
    <cellStyle name="20% - Accent1 2" xfId="272" xr:uid="{00000000-0005-0000-0000-000001000000}"/>
    <cellStyle name="20% - Accent1 2 2" xfId="273" xr:uid="{00000000-0005-0000-0000-000002000000}"/>
    <cellStyle name="20% - Accent1 3" xfId="460" xr:uid="{A6E79B7D-A5CF-4793-9ACF-53EA33D9294B}"/>
    <cellStyle name="20% - Accent2" xfId="240" builtinId="34" customBuiltin="1"/>
    <cellStyle name="20% - Accent2 2" xfId="274" xr:uid="{00000000-0005-0000-0000-000004000000}"/>
    <cellStyle name="20% - Accent2 2 2" xfId="275" xr:uid="{00000000-0005-0000-0000-000005000000}"/>
    <cellStyle name="20% - Accent2 3" xfId="462" xr:uid="{DAED69E7-C238-4158-BCC9-1A4BDA647632}"/>
    <cellStyle name="20% - Accent3" xfId="244" builtinId="38" customBuiltin="1"/>
    <cellStyle name="20% - Accent3 2" xfId="276" xr:uid="{00000000-0005-0000-0000-000007000000}"/>
    <cellStyle name="20% - Accent3 2 2" xfId="277" xr:uid="{00000000-0005-0000-0000-000008000000}"/>
    <cellStyle name="20% - Accent3 3" xfId="464" xr:uid="{13DAB525-7EAD-4D90-92E8-F70D56D8F2A6}"/>
    <cellStyle name="20% - Accent4" xfId="248" builtinId="42" customBuiltin="1"/>
    <cellStyle name="20% - Accent4 2" xfId="278" xr:uid="{00000000-0005-0000-0000-00000A000000}"/>
    <cellStyle name="20% - Accent4 2 2" xfId="279" xr:uid="{00000000-0005-0000-0000-00000B000000}"/>
    <cellStyle name="20% - Accent4 3" xfId="466" xr:uid="{74CA5CB7-A347-4E2F-A190-37A9790071DC}"/>
    <cellStyle name="20% - Accent5" xfId="252" builtinId="46" customBuiltin="1"/>
    <cellStyle name="20% - Accent5 2" xfId="280" xr:uid="{00000000-0005-0000-0000-00000D000000}"/>
    <cellStyle name="20% - Accent5 2 2" xfId="281" xr:uid="{00000000-0005-0000-0000-00000E000000}"/>
    <cellStyle name="20% - Accent5 3" xfId="468" xr:uid="{FA0A926C-F846-4E43-A360-2093B40BA501}"/>
    <cellStyle name="20% - Accent6" xfId="256" builtinId="50" customBuiltin="1"/>
    <cellStyle name="20% - Accent6 2" xfId="282" xr:uid="{00000000-0005-0000-0000-000010000000}"/>
    <cellStyle name="20% - Accent6 2 2" xfId="283" xr:uid="{00000000-0005-0000-0000-000011000000}"/>
    <cellStyle name="20% - Accent6 3" xfId="470" xr:uid="{7178F3C0-81C6-4869-8187-28D0BA4E17DB}"/>
    <cellStyle name="40% - Accent1" xfId="237" builtinId="31" customBuiltin="1"/>
    <cellStyle name="40% - Accent1 2" xfId="284" xr:uid="{00000000-0005-0000-0000-000013000000}"/>
    <cellStyle name="40% - Accent1 2 2" xfId="285" xr:uid="{00000000-0005-0000-0000-000014000000}"/>
    <cellStyle name="40% - Accent1 3" xfId="461" xr:uid="{8FC94BCD-C334-4363-BA8F-125A9ACD6C0C}"/>
    <cellStyle name="40% - Accent2" xfId="241" builtinId="35" customBuiltin="1"/>
    <cellStyle name="40% - Accent2 2" xfId="286" xr:uid="{00000000-0005-0000-0000-000016000000}"/>
    <cellStyle name="40% - Accent2 2 2" xfId="287" xr:uid="{00000000-0005-0000-0000-000017000000}"/>
    <cellStyle name="40% - Accent2 2 2 2" xfId="288" xr:uid="{00000000-0005-0000-0000-000018000000}"/>
    <cellStyle name="40% - Accent2 2 3" xfId="477" xr:uid="{D82AFD41-AD21-4F7C-86D6-375DBA287EB4}"/>
    <cellStyle name="40% - Accent2 3" xfId="463" xr:uid="{A2F356C1-2C64-43CE-B17E-3ADEB32D5C0A}"/>
    <cellStyle name="40% - Accent3" xfId="245" builtinId="39" customBuiltin="1"/>
    <cellStyle name="40% - Accent3 2" xfId="289" xr:uid="{00000000-0005-0000-0000-00001A000000}"/>
    <cellStyle name="40% - Accent3 2 2" xfId="290" xr:uid="{00000000-0005-0000-0000-00001B000000}"/>
    <cellStyle name="40% - Accent3 3" xfId="465" xr:uid="{3CA75C32-47FE-4F5A-855F-38581EACC800}"/>
    <cellStyle name="40% - Accent4" xfId="249" builtinId="43" customBuiltin="1"/>
    <cellStyle name="40% - Accent4 2" xfId="291" xr:uid="{00000000-0005-0000-0000-00001D000000}"/>
    <cellStyle name="40% - Accent4 2 2" xfId="292" xr:uid="{00000000-0005-0000-0000-00001E000000}"/>
    <cellStyle name="40% - Accent4 3" xfId="467" xr:uid="{4F73497B-2177-4D5B-B244-8706F5533698}"/>
    <cellStyle name="40% - Accent5" xfId="253" builtinId="47" customBuiltin="1"/>
    <cellStyle name="40% - Accent5 2" xfId="293" xr:uid="{00000000-0005-0000-0000-000020000000}"/>
    <cellStyle name="40% - Accent5 2 2" xfId="294" xr:uid="{00000000-0005-0000-0000-000021000000}"/>
    <cellStyle name="40% - Accent5 3" xfId="469" xr:uid="{1F920B38-76F2-4DE0-B439-DCA9C3E33792}"/>
    <cellStyle name="40% - Accent6" xfId="257" builtinId="51" customBuiltin="1"/>
    <cellStyle name="40% - Accent6 2" xfId="295" xr:uid="{00000000-0005-0000-0000-000023000000}"/>
    <cellStyle name="40% - Accent6 2 2" xfId="296" xr:uid="{00000000-0005-0000-0000-000024000000}"/>
    <cellStyle name="40% - Accent6 3" xfId="471" xr:uid="{184FA518-69EE-4AC7-AFE5-BDB1A2A1D825}"/>
    <cellStyle name="60% - Accent1" xfId="238" builtinId="32" customBuiltin="1"/>
    <cellStyle name="60% - Accent1 2" xfId="297" xr:uid="{00000000-0005-0000-0000-000026000000}"/>
    <cellStyle name="60% - Accent2" xfId="242" builtinId="36" customBuiltin="1"/>
    <cellStyle name="60% - Accent2 2" xfId="298" xr:uid="{00000000-0005-0000-0000-000028000000}"/>
    <cellStyle name="60% - Accent3" xfId="246" builtinId="40" customBuiltin="1"/>
    <cellStyle name="60% - Accent3 2" xfId="299" xr:uid="{00000000-0005-0000-0000-00002A000000}"/>
    <cellStyle name="60% - Accent4" xfId="250" builtinId="44" customBuiltin="1"/>
    <cellStyle name="60% - Accent4 2" xfId="300" xr:uid="{00000000-0005-0000-0000-00002C000000}"/>
    <cellStyle name="60% - Accent5" xfId="254" builtinId="48" customBuiltin="1"/>
    <cellStyle name="60% - Accent5 2" xfId="301" xr:uid="{00000000-0005-0000-0000-00002E000000}"/>
    <cellStyle name="60% - Accent6" xfId="258" builtinId="52" customBuiltin="1"/>
    <cellStyle name="60% - Accent6 2" xfId="302" xr:uid="{00000000-0005-0000-0000-000030000000}"/>
    <cellStyle name="Accent1" xfId="235" builtinId="29" customBuiltin="1"/>
    <cellStyle name="Accent1 2" xfId="303" xr:uid="{00000000-0005-0000-0000-000032000000}"/>
    <cellStyle name="Accent2" xfId="239" builtinId="33" customBuiltin="1"/>
    <cellStyle name="Accent2 2" xfId="304" xr:uid="{00000000-0005-0000-0000-000034000000}"/>
    <cellStyle name="Accent3" xfId="243" builtinId="37" customBuiltin="1"/>
    <cellStyle name="Accent3 2" xfId="305" xr:uid="{00000000-0005-0000-0000-000036000000}"/>
    <cellStyle name="Accent4" xfId="247" builtinId="41" customBuiltin="1"/>
    <cellStyle name="Accent4 2" xfId="306" xr:uid="{00000000-0005-0000-0000-000038000000}"/>
    <cellStyle name="Accent5" xfId="251" builtinId="45" customBuiltin="1"/>
    <cellStyle name="Accent5 2" xfId="307" xr:uid="{00000000-0005-0000-0000-00003A000000}"/>
    <cellStyle name="Accent6" xfId="255" builtinId="49" customBuiltin="1"/>
    <cellStyle name="Accent6 2" xfId="308" xr:uid="{00000000-0005-0000-0000-00003C000000}"/>
    <cellStyle name="Accent6 2 2" xfId="309" xr:uid="{00000000-0005-0000-0000-00003D000000}"/>
    <cellStyle name="Bad" xfId="226" builtinId="27" customBuiltin="1"/>
    <cellStyle name="Bad 2" xfId="310" xr:uid="{00000000-0005-0000-0000-00003F000000}"/>
    <cellStyle name="Bad 3" xfId="311" xr:uid="{00000000-0005-0000-0000-000040000000}"/>
    <cellStyle name="Calculation" xfId="230" builtinId="22" customBuiltin="1"/>
    <cellStyle name="Calculation 2" xfId="312" xr:uid="{00000000-0005-0000-0000-000042000000}"/>
    <cellStyle name="Check Cell" xfId="232" builtinId="23" customBuiltin="1"/>
    <cellStyle name="Check Cell 2" xfId="313" xr:uid="{00000000-0005-0000-0000-000044000000}"/>
    <cellStyle name="Comma" xfId="1" builtinId="3"/>
    <cellStyle name="Comma 2" xfId="2" xr:uid="{00000000-0005-0000-0000-000046000000}"/>
    <cellStyle name="Comma 2 2" xfId="46" xr:uid="{00000000-0005-0000-0000-000047000000}"/>
    <cellStyle name="Comma 2 2 2" xfId="315" xr:uid="{00000000-0005-0000-0000-000048000000}"/>
    <cellStyle name="Comma 2 2 3" xfId="316" xr:uid="{00000000-0005-0000-0000-000049000000}"/>
    <cellStyle name="Comma 2 2 3 2" xfId="317" xr:uid="{00000000-0005-0000-0000-00004A000000}"/>
    <cellStyle name="Comma 2 2 4" xfId="314" xr:uid="{00000000-0005-0000-0000-00004B000000}"/>
    <cellStyle name="Comma 2 2 5" xfId="436" xr:uid="{9D4FEDA2-798C-473D-BD50-9A8479B70758}"/>
    <cellStyle name="Comma 2 3" xfId="148" xr:uid="{00000000-0005-0000-0000-00004C000000}"/>
    <cellStyle name="Comma 2 3 2" xfId="318" xr:uid="{00000000-0005-0000-0000-00004D000000}"/>
    <cellStyle name="Comma 2 3 2 2" xfId="478" xr:uid="{AEBC0B37-C248-41B2-A26A-CAC6A105FE73}"/>
    <cellStyle name="Comma 2 3 3" xfId="444" xr:uid="{F8C2B606-F9F5-4B43-BD8E-E9124BE8C904}"/>
    <cellStyle name="Comma 2 4" xfId="152" xr:uid="{00000000-0005-0000-0000-00004E000000}"/>
    <cellStyle name="Comma 2 4 2" xfId="319" xr:uid="{00000000-0005-0000-0000-00004F000000}"/>
    <cellStyle name="Comma 2 5" xfId="269" xr:uid="{00000000-0005-0000-0000-000050000000}"/>
    <cellStyle name="Comma 2 6" xfId="261" xr:uid="{00000000-0005-0000-0000-000051000000}"/>
    <cellStyle name="Comma 2 7" xfId="417" xr:uid="{348480C5-45B4-464C-B0A0-B03A7CF491A3}"/>
    <cellStyle name="Comma 2 7 2" xfId="483" xr:uid="{F46B70B4-9512-4090-A7D2-471A6CFDF50D}"/>
    <cellStyle name="Comma 2 8" xfId="424" xr:uid="{228236C1-84A3-415E-9938-A4F398FD4171}"/>
    <cellStyle name="Comma 3" xfId="3" xr:uid="{00000000-0005-0000-0000-000052000000}"/>
    <cellStyle name="Comma 3 2" xfId="153" xr:uid="{00000000-0005-0000-0000-000053000000}"/>
    <cellStyle name="Comma 3 2 2" xfId="321" xr:uid="{00000000-0005-0000-0000-000054000000}"/>
    <cellStyle name="Comma 3 3" xfId="322" xr:uid="{00000000-0005-0000-0000-000055000000}"/>
    <cellStyle name="Comma 3 3 2" xfId="323" xr:uid="{00000000-0005-0000-0000-000056000000}"/>
    <cellStyle name="Comma 3 4" xfId="324" xr:uid="{00000000-0005-0000-0000-000057000000}"/>
    <cellStyle name="Comma 3 5" xfId="320" xr:uid="{00000000-0005-0000-0000-000058000000}"/>
    <cellStyle name="Comma 3 6" xfId="425" xr:uid="{47184440-FC1A-4AB9-95F2-6AD55964C749}"/>
    <cellStyle name="Comma 4" xfId="4" xr:uid="{00000000-0005-0000-0000-000059000000}"/>
    <cellStyle name="Comma 4 2" xfId="326" xr:uid="{00000000-0005-0000-0000-00005A000000}"/>
    <cellStyle name="Comma 4 3" xfId="327" xr:uid="{00000000-0005-0000-0000-00005B000000}"/>
    <cellStyle name="Comma 4 3 2" xfId="328" xr:uid="{00000000-0005-0000-0000-00005C000000}"/>
    <cellStyle name="Comma 4 4" xfId="325" xr:uid="{00000000-0005-0000-0000-00005D000000}"/>
    <cellStyle name="Comma 5" xfId="44" xr:uid="{00000000-0005-0000-0000-00005E000000}"/>
    <cellStyle name="Comma 5 2" xfId="330" xr:uid="{00000000-0005-0000-0000-00005F000000}"/>
    <cellStyle name="Comma 5 3" xfId="329" xr:uid="{00000000-0005-0000-0000-000060000000}"/>
    <cellStyle name="Comma 5 4" xfId="434" xr:uid="{E944FEEF-CAE6-492C-8B08-390E6970D3CB}"/>
    <cellStyle name="Comma 6" xfId="263" xr:uid="{00000000-0005-0000-0000-000061000000}"/>
    <cellStyle name="Comma 6 2" xfId="473" xr:uid="{0BCBB612-8F70-4459-8459-8BF351373C23}"/>
    <cellStyle name="Comma 7" xfId="420" xr:uid="{3234E426-04C7-440F-AF65-B613EC4D327A}"/>
    <cellStyle name="Comma 7 2" xfId="486" xr:uid="{F2CD94CA-DC25-474E-BF5B-3BB0A119716D}"/>
    <cellStyle name="Comma_S6-C new (2)" xfId="5" xr:uid="{00000000-0005-0000-0000-000062000000}"/>
    <cellStyle name="Comma0" xfId="6" xr:uid="{00000000-0005-0000-0000-000063000000}"/>
    <cellStyle name="Comma0 2" xfId="7" xr:uid="{00000000-0005-0000-0000-000064000000}"/>
    <cellStyle name="Comma0 2 2" xfId="426" xr:uid="{7F575166-B529-4968-832D-4AE0DA94CD93}"/>
    <cellStyle name="Currency" xfId="8" builtinId="4"/>
    <cellStyle name="Currency 2" xfId="9" xr:uid="{00000000-0005-0000-0000-000066000000}"/>
    <cellStyle name="Currency 2 2" xfId="45" xr:uid="{00000000-0005-0000-0000-000067000000}"/>
    <cellStyle name="Currency 2 2 2" xfId="331" xr:uid="{00000000-0005-0000-0000-000068000000}"/>
    <cellStyle name="Currency 2 2 3" xfId="435" xr:uid="{47F92AF1-6574-4D76-A26E-F28BFEEEB874}"/>
    <cellStyle name="Currency 2 3" xfId="50" xr:uid="{00000000-0005-0000-0000-000069000000}"/>
    <cellStyle name="Currency 2 3 2" xfId="332" xr:uid="{00000000-0005-0000-0000-00006A000000}"/>
    <cellStyle name="Currency 2 3 2 2" xfId="479" xr:uid="{77C50C1E-0137-4549-842F-FD3A1EAE12A3}"/>
    <cellStyle name="Currency 2 3 3" xfId="439" xr:uid="{22852F69-CCC1-4716-8376-A6C30341F7BA}"/>
    <cellStyle name="Currency 2 4" xfId="127" xr:uid="{00000000-0005-0000-0000-00006B000000}"/>
    <cellStyle name="Currency 2 4 2" xfId="442" xr:uid="{CEC808D3-6414-45C5-B511-17C98FC2E3BE}"/>
    <cellStyle name="Currency 2 5" xfId="147" xr:uid="{00000000-0005-0000-0000-00006C000000}"/>
    <cellStyle name="Currency 2 5 2" xfId="443" xr:uid="{621D6ED5-3F73-45B1-8799-CB16BE1E8898}"/>
    <cellStyle name="Currency 2 6" xfId="154" xr:uid="{00000000-0005-0000-0000-00006D000000}"/>
    <cellStyle name="Currency 2 7" xfId="427" xr:uid="{EDE3C7A6-CB99-4085-920C-86122461A352}"/>
    <cellStyle name="Currency 3" xfId="10" xr:uid="{00000000-0005-0000-0000-00006E000000}"/>
    <cellStyle name="Currency 3 2" xfId="155" xr:uid="{00000000-0005-0000-0000-00006F000000}"/>
    <cellStyle name="Currency 3 2 2" xfId="334" xr:uid="{00000000-0005-0000-0000-000070000000}"/>
    <cellStyle name="Currency 3 3" xfId="335" xr:uid="{00000000-0005-0000-0000-000071000000}"/>
    <cellStyle name="Currency 3 3 2" xfId="336" xr:uid="{00000000-0005-0000-0000-000072000000}"/>
    <cellStyle name="Currency 3 4" xfId="337" xr:uid="{00000000-0005-0000-0000-000073000000}"/>
    <cellStyle name="Currency 3 5" xfId="333" xr:uid="{00000000-0005-0000-0000-000074000000}"/>
    <cellStyle name="Currency 3 6" xfId="428" xr:uid="{6198F653-8C43-4AF7-A8EC-B62E175C3E8F}"/>
    <cellStyle name="Currency 4" xfId="11" xr:uid="{00000000-0005-0000-0000-000075000000}"/>
    <cellStyle name="Currency 4 2" xfId="339" xr:uid="{00000000-0005-0000-0000-000076000000}"/>
    <cellStyle name="Currency 4 3" xfId="338" xr:uid="{00000000-0005-0000-0000-000077000000}"/>
    <cellStyle name="Currency 5" xfId="12" xr:uid="{00000000-0005-0000-0000-000078000000}"/>
    <cellStyle name="Currency 5 2" xfId="341" xr:uid="{00000000-0005-0000-0000-000079000000}"/>
    <cellStyle name="Currency 5 3" xfId="340" xr:uid="{00000000-0005-0000-0000-00007A000000}"/>
    <cellStyle name="Currency 6" xfId="342" xr:uid="{00000000-0005-0000-0000-00007B000000}"/>
    <cellStyle name="Currency 6 2" xfId="343" xr:uid="{00000000-0005-0000-0000-00007C000000}"/>
    <cellStyle name="Currency 7" xfId="264" xr:uid="{00000000-0005-0000-0000-00007D000000}"/>
    <cellStyle name="Currency 7 2" xfId="474" xr:uid="{B102A315-7D5B-42E8-AA16-8F97C47B0539}"/>
    <cellStyle name="Currency 8" xfId="421" xr:uid="{38C9DACE-C574-487B-8F5D-9D6D1DD36FEC}"/>
    <cellStyle name="Currency 8 2" xfId="487" xr:uid="{53B9F4A7-6AA2-45B2-81FA-4EE46AB3F61E}"/>
    <cellStyle name="Currency0" xfId="13" xr:uid="{00000000-0005-0000-0000-00007E000000}"/>
    <cellStyle name="Currency0 2" xfId="14" xr:uid="{00000000-0005-0000-0000-00007F000000}"/>
    <cellStyle name="Currency0 2 2" xfId="429" xr:uid="{25E8C8A1-78FC-4641-A683-9F3325FA78AE}"/>
    <cellStyle name="Date" xfId="15" xr:uid="{00000000-0005-0000-0000-000080000000}"/>
    <cellStyle name="Date 2" xfId="16" xr:uid="{00000000-0005-0000-0000-000081000000}"/>
    <cellStyle name="Date 2 2" xfId="345" xr:uid="{00000000-0005-0000-0000-000082000000}"/>
    <cellStyle name="Date 2 3" xfId="346" xr:uid="{00000000-0005-0000-0000-000083000000}"/>
    <cellStyle name="Date 2 3 2" xfId="347" xr:uid="{00000000-0005-0000-0000-000084000000}"/>
    <cellStyle name="Date 2 4" xfId="344" xr:uid="{00000000-0005-0000-0000-000085000000}"/>
    <cellStyle name="Date 3" xfId="17" xr:uid="{00000000-0005-0000-0000-000086000000}"/>
    <cellStyle name="Explanatory Text" xfId="234" builtinId="53" customBuiltin="1"/>
    <cellStyle name="Explanatory Text 2" xfId="348" xr:uid="{00000000-0005-0000-0000-000088000000}"/>
    <cellStyle name="Fixed" xfId="18" xr:uid="{00000000-0005-0000-0000-000089000000}"/>
    <cellStyle name="Fixed 2" xfId="19" xr:uid="{00000000-0005-0000-0000-00008A000000}"/>
    <cellStyle name="Fixed 2 2" xfId="350" xr:uid="{00000000-0005-0000-0000-00008B000000}"/>
    <cellStyle name="Fixed 2 3" xfId="351" xr:uid="{00000000-0005-0000-0000-00008C000000}"/>
    <cellStyle name="Fixed 2 3 2" xfId="352" xr:uid="{00000000-0005-0000-0000-00008D000000}"/>
    <cellStyle name="Fixed 2 4" xfId="349" xr:uid="{00000000-0005-0000-0000-00008E000000}"/>
    <cellStyle name="Fixed 3" xfId="20" xr:uid="{00000000-0005-0000-0000-00008F000000}"/>
    <cellStyle name="Good" xfId="225" builtinId="26" customBuiltin="1"/>
    <cellStyle name="Good 2" xfId="353" xr:uid="{00000000-0005-0000-0000-000091000000}"/>
    <cellStyle name="Good 2 2" xfId="354" xr:uid="{00000000-0005-0000-0000-000092000000}"/>
    <cellStyle name="Heading 1" xfId="221" builtinId="16" customBuiltin="1"/>
    <cellStyle name="Heading 1 2" xfId="355" xr:uid="{00000000-0005-0000-0000-000094000000}"/>
    <cellStyle name="Heading 2" xfId="222" builtinId="17" customBuiltin="1"/>
    <cellStyle name="Heading 2 2" xfId="356" xr:uid="{00000000-0005-0000-0000-000096000000}"/>
    <cellStyle name="Heading 3" xfId="223" builtinId="18" customBuiltin="1"/>
    <cellStyle name="Heading 3 2" xfId="357" xr:uid="{00000000-0005-0000-0000-000098000000}"/>
    <cellStyle name="Heading 4" xfId="224" builtinId="19" customBuiltin="1"/>
    <cellStyle name="Heading 4 2" xfId="358" xr:uid="{00000000-0005-0000-0000-00009A000000}"/>
    <cellStyle name="HEADING1" xfId="21" xr:uid="{00000000-0005-0000-0000-00009B000000}"/>
    <cellStyle name="HEADING1 2" xfId="22" xr:uid="{00000000-0005-0000-0000-00009C000000}"/>
    <cellStyle name="HEADING1 2 2" xfId="360" xr:uid="{00000000-0005-0000-0000-00009D000000}"/>
    <cellStyle name="HEADING1 2 3" xfId="361" xr:uid="{00000000-0005-0000-0000-00009E000000}"/>
    <cellStyle name="HEADING1 2 3 2" xfId="362" xr:uid="{00000000-0005-0000-0000-00009F000000}"/>
    <cellStyle name="HEADING1 2 4" xfId="359" xr:uid="{00000000-0005-0000-0000-0000A0000000}"/>
    <cellStyle name="HEADING1 3" xfId="23" xr:uid="{00000000-0005-0000-0000-0000A1000000}"/>
    <cellStyle name="HEADING2" xfId="24" xr:uid="{00000000-0005-0000-0000-0000A2000000}"/>
    <cellStyle name="HEADING2 2" xfId="25" xr:uid="{00000000-0005-0000-0000-0000A3000000}"/>
    <cellStyle name="HEADING2 2 2" xfId="430" xr:uid="{BFFBF854-774E-41C5-8A81-709EF10A7F9C}"/>
    <cellStyle name="Input" xfId="228" builtinId="20" customBuiltin="1"/>
    <cellStyle name="Input 2" xfId="363" xr:uid="{00000000-0005-0000-0000-0000A5000000}"/>
    <cellStyle name="Linked Cell" xfId="231" builtinId="24" customBuiltin="1"/>
    <cellStyle name="Linked Cell 2" xfId="364" xr:uid="{00000000-0005-0000-0000-0000A7000000}"/>
    <cellStyle name="Neutral" xfId="227" builtinId="28" customBuiltin="1"/>
    <cellStyle name="Neutral 2" xfId="365" xr:uid="{00000000-0005-0000-0000-0000A9000000}"/>
    <cellStyle name="Neutral 2 2" xfId="366" xr:uid="{00000000-0005-0000-0000-0000AA000000}"/>
    <cellStyle name="Normal" xfId="0" builtinId="0"/>
    <cellStyle name="Normal - Style1" xfId="26" xr:uid="{00000000-0005-0000-0000-0000AC000000}"/>
    <cellStyle name="Normal - Style2" xfId="27" xr:uid="{00000000-0005-0000-0000-0000AD000000}"/>
    <cellStyle name="Normal - Style3" xfId="28" xr:uid="{00000000-0005-0000-0000-0000AE000000}"/>
    <cellStyle name="Normal - Style4" xfId="29" xr:uid="{00000000-0005-0000-0000-0000AF000000}"/>
    <cellStyle name="Normal - Style5" xfId="30" xr:uid="{00000000-0005-0000-0000-0000B0000000}"/>
    <cellStyle name="Normal - Style6" xfId="31" xr:uid="{00000000-0005-0000-0000-0000B1000000}"/>
    <cellStyle name="Normal - Style7" xfId="32" xr:uid="{00000000-0005-0000-0000-0000B2000000}"/>
    <cellStyle name="Normal - Style8" xfId="33" xr:uid="{00000000-0005-0000-0000-0000B3000000}"/>
    <cellStyle name="Normal 10" xfId="55" xr:uid="{00000000-0005-0000-0000-0000B4000000}"/>
    <cellStyle name="Normal 10 2" xfId="156" xr:uid="{00000000-0005-0000-0000-0000B5000000}"/>
    <cellStyle name="Normal 100" xfId="149" xr:uid="{00000000-0005-0000-0000-0000B6000000}"/>
    <cellStyle name="Normal 100 2" xfId="445" xr:uid="{D04537B1-1043-4588-A05C-6CB3A692AA31}"/>
    <cellStyle name="Normal 101" xfId="218" xr:uid="{00000000-0005-0000-0000-0000B7000000}"/>
    <cellStyle name="Normal 101 2" xfId="458" xr:uid="{82ACD57E-CED3-4CFC-B443-98458B29A780}"/>
    <cellStyle name="Normal 102" xfId="219" xr:uid="{00000000-0005-0000-0000-0000B8000000}"/>
    <cellStyle name="Normal 102 2" xfId="459" xr:uid="{9DB243C8-CFDA-42B6-A3DE-99C6BF7E1D86}"/>
    <cellStyle name="Normal 103" xfId="259" xr:uid="{00000000-0005-0000-0000-0000B9000000}"/>
    <cellStyle name="Normal 104" xfId="419" xr:uid="{D0D7F153-C89E-4732-AA0C-BB3E67E3A5F1}"/>
    <cellStyle name="Normal 104 2" xfId="485" xr:uid="{9A6B2A86-DC91-41D2-8293-C48CA96CC4C2}"/>
    <cellStyle name="Normal 105" xfId="423" xr:uid="{B0040C55-AEFF-470F-81C8-B2E863AF6D5C}"/>
    <cellStyle name="Normal 11" xfId="56" xr:uid="{00000000-0005-0000-0000-0000BA000000}"/>
    <cellStyle name="Normal 11 2" xfId="157" xr:uid="{00000000-0005-0000-0000-0000BB000000}"/>
    <cellStyle name="Normal 12" xfId="57" xr:uid="{00000000-0005-0000-0000-0000BC000000}"/>
    <cellStyle name="Normal 12 2" xfId="158" xr:uid="{00000000-0005-0000-0000-0000BD000000}"/>
    <cellStyle name="Normal 13" xfId="58" xr:uid="{00000000-0005-0000-0000-0000BE000000}"/>
    <cellStyle name="Normal 13 2" xfId="159" xr:uid="{00000000-0005-0000-0000-0000BF000000}"/>
    <cellStyle name="Normal 14" xfId="59" xr:uid="{00000000-0005-0000-0000-0000C0000000}"/>
    <cellStyle name="Normal 14 2" xfId="160" xr:uid="{00000000-0005-0000-0000-0000C1000000}"/>
    <cellStyle name="Normal 15" xfId="60" xr:uid="{00000000-0005-0000-0000-0000C2000000}"/>
    <cellStyle name="Normal 15 2" xfId="161" xr:uid="{00000000-0005-0000-0000-0000C3000000}"/>
    <cellStyle name="Normal 16" xfId="61" xr:uid="{00000000-0005-0000-0000-0000C4000000}"/>
    <cellStyle name="Normal 16 2" xfId="162" xr:uid="{00000000-0005-0000-0000-0000C5000000}"/>
    <cellStyle name="Normal 17" xfId="62" xr:uid="{00000000-0005-0000-0000-0000C6000000}"/>
    <cellStyle name="Normal 17 2" xfId="163" xr:uid="{00000000-0005-0000-0000-0000C7000000}"/>
    <cellStyle name="Normal 18" xfId="63" xr:uid="{00000000-0005-0000-0000-0000C8000000}"/>
    <cellStyle name="Normal 18 2" xfId="164" xr:uid="{00000000-0005-0000-0000-0000C9000000}"/>
    <cellStyle name="Normal 19" xfId="64" xr:uid="{00000000-0005-0000-0000-0000CA000000}"/>
    <cellStyle name="Normal 19 2" xfId="165" xr:uid="{00000000-0005-0000-0000-0000CB000000}"/>
    <cellStyle name="Normal 2" xfId="34" xr:uid="{00000000-0005-0000-0000-0000CC000000}"/>
    <cellStyle name="Normal 2 2" xfId="49" xr:uid="{00000000-0005-0000-0000-0000CD000000}"/>
    <cellStyle name="Normal 2 2 2" xfId="368" xr:uid="{00000000-0005-0000-0000-0000CE000000}"/>
    <cellStyle name="Normal 2 2 3" xfId="369" xr:uid="{00000000-0005-0000-0000-0000CF000000}"/>
    <cellStyle name="Normal 2 2 3 2" xfId="370" xr:uid="{00000000-0005-0000-0000-0000D0000000}"/>
    <cellStyle name="Normal 2 2 4" xfId="367" xr:uid="{00000000-0005-0000-0000-0000D1000000}"/>
    <cellStyle name="Normal 2 2 5" xfId="438" xr:uid="{664C45F1-4F60-4A5C-8D73-55E73E734A48}"/>
    <cellStyle name="Normal 2 3" xfId="126" xr:uid="{00000000-0005-0000-0000-0000D2000000}"/>
    <cellStyle name="Normal 2 3 2" xfId="371" xr:uid="{00000000-0005-0000-0000-0000D3000000}"/>
    <cellStyle name="Normal 2 3 2 2" xfId="480" xr:uid="{3BCF8A03-036D-4EDD-B849-87601A47EA7F}"/>
    <cellStyle name="Normal 2 3 3" xfId="441" xr:uid="{D041F8DD-6C54-419C-BBC2-5E85A26A4D91}"/>
    <cellStyle name="Normal 2 4" xfId="166" xr:uid="{00000000-0005-0000-0000-0000D4000000}"/>
    <cellStyle name="Normal 2 4 2" xfId="372" xr:uid="{00000000-0005-0000-0000-0000D5000000}"/>
    <cellStyle name="Normal 2 5" xfId="373" xr:uid="{00000000-0005-0000-0000-0000D6000000}"/>
    <cellStyle name="Normal 2 6" xfId="268" xr:uid="{00000000-0005-0000-0000-0000D7000000}"/>
    <cellStyle name="Normal 20" xfId="65" xr:uid="{00000000-0005-0000-0000-0000D8000000}"/>
    <cellStyle name="Normal 20 2" xfId="167" xr:uid="{00000000-0005-0000-0000-0000D9000000}"/>
    <cellStyle name="Normal 21" xfId="66" xr:uid="{00000000-0005-0000-0000-0000DA000000}"/>
    <cellStyle name="Normal 21 2" xfId="168" xr:uid="{00000000-0005-0000-0000-0000DB000000}"/>
    <cellStyle name="Normal 22" xfId="67" xr:uid="{00000000-0005-0000-0000-0000DC000000}"/>
    <cellStyle name="Normal 22 2" xfId="169" xr:uid="{00000000-0005-0000-0000-0000DD000000}"/>
    <cellStyle name="Normal 23" xfId="68" xr:uid="{00000000-0005-0000-0000-0000DE000000}"/>
    <cellStyle name="Normal 23 2" xfId="170" xr:uid="{00000000-0005-0000-0000-0000DF000000}"/>
    <cellStyle name="Normal 24" xfId="69" xr:uid="{00000000-0005-0000-0000-0000E0000000}"/>
    <cellStyle name="Normal 24 2" xfId="171" xr:uid="{00000000-0005-0000-0000-0000E1000000}"/>
    <cellStyle name="Normal 25" xfId="70" xr:uid="{00000000-0005-0000-0000-0000E2000000}"/>
    <cellStyle name="Normal 25 2" xfId="172" xr:uid="{00000000-0005-0000-0000-0000E3000000}"/>
    <cellStyle name="Normal 26" xfId="71" xr:uid="{00000000-0005-0000-0000-0000E4000000}"/>
    <cellStyle name="Normal 26 2" xfId="173" xr:uid="{00000000-0005-0000-0000-0000E5000000}"/>
    <cellStyle name="Normal 27" xfId="72" xr:uid="{00000000-0005-0000-0000-0000E6000000}"/>
    <cellStyle name="Normal 27 2" xfId="174" xr:uid="{00000000-0005-0000-0000-0000E7000000}"/>
    <cellStyle name="Normal 28" xfId="73" xr:uid="{00000000-0005-0000-0000-0000E8000000}"/>
    <cellStyle name="Normal 28 2" xfId="175" xr:uid="{00000000-0005-0000-0000-0000E9000000}"/>
    <cellStyle name="Normal 29" xfId="74" xr:uid="{00000000-0005-0000-0000-0000EA000000}"/>
    <cellStyle name="Normal 29 2" xfId="176" xr:uid="{00000000-0005-0000-0000-0000EB000000}"/>
    <cellStyle name="Normal 3" xfId="35" xr:uid="{00000000-0005-0000-0000-0000EC000000}"/>
    <cellStyle name="Normal 3 2" xfId="178" xr:uid="{00000000-0005-0000-0000-0000ED000000}"/>
    <cellStyle name="Normal 3 2 2" xfId="150" xr:uid="{00000000-0005-0000-0000-0000EE000000}"/>
    <cellStyle name="Normal 3 2 2 2" xfId="376" xr:uid="{00000000-0005-0000-0000-0000EF000000}"/>
    <cellStyle name="Normal 3 2 3" xfId="375" xr:uid="{00000000-0005-0000-0000-0000F0000000}"/>
    <cellStyle name="Normal 3 3" xfId="177" xr:uid="{00000000-0005-0000-0000-0000F1000000}"/>
    <cellStyle name="Normal 3 3 2" xfId="260" xr:uid="{00000000-0005-0000-0000-0000F2000000}"/>
    <cellStyle name="Normal 3 4" xfId="377" xr:uid="{00000000-0005-0000-0000-0000F3000000}"/>
    <cellStyle name="Normal 3 4 2" xfId="481" xr:uid="{0AC7C331-49E5-4162-8B2B-1FB5564DBC30}"/>
    <cellStyle name="Normal 3 5" xfId="378" xr:uid="{00000000-0005-0000-0000-0000F4000000}"/>
    <cellStyle name="Normal 3 6" xfId="374" xr:uid="{00000000-0005-0000-0000-0000F5000000}"/>
    <cellStyle name="Normal 3 7" xfId="418" xr:uid="{9F852E8B-8FD0-41D2-A0BC-F9E6C2B6A922}"/>
    <cellStyle name="Normal 3 7 2" xfId="484" xr:uid="{2213EC9B-D868-4880-A536-87E9BA5283FE}"/>
    <cellStyle name="Normal 3 8" xfId="431" xr:uid="{982E0362-F782-4F85-9D93-4AD2D663282A}"/>
    <cellStyle name="Normal 30" xfId="75" xr:uid="{00000000-0005-0000-0000-0000F6000000}"/>
    <cellStyle name="Normal 30 2" xfId="179" xr:uid="{00000000-0005-0000-0000-0000F7000000}"/>
    <cellStyle name="Normal 31" xfId="76" xr:uid="{00000000-0005-0000-0000-0000F8000000}"/>
    <cellStyle name="Normal 31 2" xfId="180" xr:uid="{00000000-0005-0000-0000-0000F9000000}"/>
    <cellStyle name="Normal 32" xfId="77" xr:uid="{00000000-0005-0000-0000-0000FA000000}"/>
    <cellStyle name="Normal 32 2" xfId="181" xr:uid="{00000000-0005-0000-0000-0000FB000000}"/>
    <cellStyle name="Normal 33" xfId="78" xr:uid="{00000000-0005-0000-0000-0000FC000000}"/>
    <cellStyle name="Normal 33 2" xfId="182" xr:uid="{00000000-0005-0000-0000-0000FD000000}"/>
    <cellStyle name="Normal 34" xfId="79" xr:uid="{00000000-0005-0000-0000-0000FE000000}"/>
    <cellStyle name="Normal 34 2" xfId="183" xr:uid="{00000000-0005-0000-0000-0000FF000000}"/>
    <cellStyle name="Normal 35" xfId="80" xr:uid="{00000000-0005-0000-0000-000000010000}"/>
    <cellStyle name="Normal 35 2" xfId="184" xr:uid="{00000000-0005-0000-0000-000001010000}"/>
    <cellStyle name="Normal 36" xfId="81" xr:uid="{00000000-0005-0000-0000-000002010000}"/>
    <cellStyle name="Normal 36 2" xfId="185" xr:uid="{00000000-0005-0000-0000-000003010000}"/>
    <cellStyle name="Normal 37" xfId="82" xr:uid="{00000000-0005-0000-0000-000004010000}"/>
    <cellStyle name="Normal 37 2" xfId="186" xr:uid="{00000000-0005-0000-0000-000005010000}"/>
    <cellStyle name="Normal 38" xfId="83" xr:uid="{00000000-0005-0000-0000-000006010000}"/>
    <cellStyle name="Normal 38 2" xfId="187" xr:uid="{00000000-0005-0000-0000-000007010000}"/>
    <cellStyle name="Normal 39" xfId="84" xr:uid="{00000000-0005-0000-0000-000008010000}"/>
    <cellStyle name="Normal 39 2" xfId="189" xr:uid="{00000000-0005-0000-0000-000009010000}"/>
    <cellStyle name="Normal 39 2 2" xfId="447" xr:uid="{D8D00131-FDB0-433A-9B71-75AFE19221A8}"/>
    <cellStyle name="Normal 39 3" xfId="190" xr:uid="{00000000-0005-0000-0000-00000A010000}"/>
    <cellStyle name="Normal 39 3 2" xfId="448" xr:uid="{5ED784F4-E4D1-4F64-97BA-7B436BA4DBF8}"/>
    <cellStyle name="Normal 39 4" xfId="188" xr:uid="{00000000-0005-0000-0000-00000B010000}"/>
    <cellStyle name="Normal 39 4 2" xfId="446" xr:uid="{FDE648B2-3B05-4962-A3D6-E9E455147BFD}"/>
    <cellStyle name="Normal 4" xfId="36" xr:uid="{00000000-0005-0000-0000-00000C010000}"/>
    <cellStyle name="Normal 4 2" xfId="151" xr:uid="{00000000-0005-0000-0000-00000D010000}"/>
    <cellStyle name="Normal 4 2 2" xfId="381" xr:uid="{00000000-0005-0000-0000-00000E010000}"/>
    <cellStyle name="Normal 4 2 3" xfId="382" xr:uid="{00000000-0005-0000-0000-00000F010000}"/>
    <cellStyle name="Normal 4 2 4" xfId="380" xr:uid="{00000000-0005-0000-0000-000010010000}"/>
    <cellStyle name="Normal 4 3" xfId="191" xr:uid="{00000000-0005-0000-0000-000011010000}"/>
    <cellStyle name="Normal 4 3 2" xfId="383" xr:uid="{00000000-0005-0000-0000-000012010000}"/>
    <cellStyle name="Normal 4 4" xfId="384" xr:uid="{00000000-0005-0000-0000-000013010000}"/>
    <cellStyle name="Normal 4 5" xfId="379" xr:uid="{00000000-0005-0000-0000-000014010000}"/>
    <cellStyle name="Normal 40" xfId="85" xr:uid="{00000000-0005-0000-0000-000015010000}"/>
    <cellStyle name="Normal 40 2" xfId="193" xr:uid="{00000000-0005-0000-0000-000016010000}"/>
    <cellStyle name="Normal 40 2 2" xfId="450" xr:uid="{51CF161F-9872-4971-AFFD-714BC60E7472}"/>
    <cellStyle name="Normal 40 3" xfId="194" xr:uid="{00000000-0005-0000-0000-000017010000}"/>
    <cellStyle name="Normal 40 3 2" xfId="451" xr:uid="{F92D923F-2266-4F87-AF3C-F29525C422E6}"/>
    <cellStyle name="Normal 40 4" xfId="192" xr:uid="{00000000-0005-0000-0000-000018010000}"/>
    <cellStyle name="Normal 40 4 2" xfId="449" xr:uid="{A31946BE-B41A-4530-9569-BD24129B62F8}"/>
    <cellStyle name="Normal 41" xfId="86" xr:uid="{00000000-0005-0000-0000-000019010000}"/>
    <cellStyle name="Normal 41 2" xfId="196" xr:uid="{00000000-0005-0000-0000-00001A010000}"/>
    <cellStyle name="Normal 41 2 2" xfId="453" xr:uid="{6432FA2F-97C9-4373-89A5-5D2CFF3D7350}"/>
    <cellStyle name="Normal 41 3" xfId="197" xr:uid="{00000000-0005-0000-0000-00001B010000}"/>
    <cellStyle name="Normal 41 3 2" xfId="454" xr:uid="{32F28E39-DF8F-49B1-9AFE-24BFA4AE019D}"/>
    <cellStyle name="Normal 41 4" xfId="195" xr:uid="{00000000-0005-0000-0000-00001C010000}"/>
    <cellStyle name="Normal 41 4 2" xfId="452" xr:uid="{D564899D-9C1E-4431-8A7C-05ED1D478DD1}"/>
    <cellStyle name="Normal 42" xfId="87" xr:uid="{00000000-0005-0000-0000-00001D010000}"/>
    <cellStyle name="Normal 42 2" xfId="198" xr:uid="{00000000-0005-0000-0000-00001E010000}"/>
    <cellStyle name="Normal 43" xfId="88" xr:uid="{00000000-0005-0000-0000-00001F010000}"/>
    <cellStyle name="Normal 43 2" xfId="199" xr:uid="{00000000-0005-0000-0000-000020010000}"/>
    <cellStyle name="Normal 44" xfId="89" xr:uid="{00000000-0005-0000-0000-000021010000}"/>
    <cellStyle name="Normal 44 2" xfId="200" xr:uid="{00000000-0005-0000-0000-000022010000}"/>
    <cellStyle name="Normal 45" xfId="90" xr:uid="{00000000-0005-0000-0000-000023010000}"/>
    <cellStyle name="Normal 45 2" xfId="201" xr:uid="{00000000-0005-0000-0000-000024010000}"/>
    <cellStyle name="Normal 46" xfId="91" xr:uid="{00000000-0005-0000-0000-000025010000}"/>
    <cellStyle name="Normal 46 2" xfId="202" xr:uid="{00000000-0005-0000-0000-000026010000}"/>
    <cellStyle name="Normal 47" xfId="92" xr:uid="{00000000-0005-0000-0000-000027010000}"/>
    <cellStyle name="Normal 47 2" xfId="203" xr:uid="{00000000-0005-0000-0000-000028010000}"/>
    <cellStyle name="Normal 48" xfId="93" xr:uid="{00000000-0005-0000-0000-000029010000}"/>
    <cellStyle name="Normal 48 2" xfId="204" xr:uid="{00000000-0005-0000-0000-00002A010000}"/>
    <cellStyle name="Normal 49" xfId="94" xr:uid="{00000000-0005-0000-0000-00002B010000}"/>
    <cellStyle name="Normal 49 2" xfId="205" xr:uid="{00000000-0005-0000-0000-00002C010000}"/>
    <cellStyle name="Normal 5" xfId="48" xr:uid="{00000000-0005-0000-0000-00002D010000}"/>
    <cellStyle name="Normal 5 2" xfId="206" xr:uid="{00000000-0005-0000-0000-00002E010000}"/>
    <cellStyle name="Normal 5 2 2" xfId="386" xr:uid="{00000000-0005-0000-0000-00002F010000}"/>
    <cellStyle name="Normal 5 3" xfId="385" xr:uid="{00000000-0005-0000-0000-000030010000}"/>
    <cellStyle name="Normal 50" xfId="95" xr:uid="{00000000-0005-0000-0000-000031010000}"/>
    <cellStyle name="Normal 50 2" xfId="207" xr:uid="{00000000-0005-0000-0000-000032010000}"/>
    <cellStyle name="Normal 51" xfId="96" xr:uid="{00000000-0005-0000-0000-000033010000}"/>
    <cellStyle name="Normal 51 2" xfId="208" xr:uid="{00000000-0005-0000-0000-000034010000}"/>
    <cellStyle name="Normal 52" xfId="97" xr:uid="{00000000-0005-0000-0000-000035010000}"/>
    <cellStyle name="Normal 52 2" xfId="209" xr:uid="{00000000-0005-0000-0000-000036010000}"/>
    <cellStyle name="Normal 53" xfId="98" xr:uid="{00000000-0005-0000-0000-000037010000}"/>
    <cellStyle name="Normal 53 2" xfId="210" xr:uid="{00000000-0005-0000-0000-000038010000}"/>
    <cellStyle name="Normal 53 2 2" xfId="455" xr:uid="{A44FDEC4-E191-4AB5-A0DE-27A8908C974C}"/>
    <cellStyle name="Normal 54" xfId="99" xr:uid="{00000000-0005-0000-0000-000039010000}"/>
    <cellStyle name="Normal 54 2" xfId="211" xr:uid="{00000000-0005-0000-0000-00003A010000}"/>
    <cellStyle name="Normal 54 2 2" xfId="456" xr:uid="{2924A5D7-4DCA-4C99-A4B8-F76D312CB57F}"/>
    <cellStyle name="Normal 55" xfId="100" xr:uid="{00000000-0005-0000-0000-00003B010000}"/>
    <cellStyle name="Normal 55 2" xfId="212" xr:uid="{00000000-0005-0000-0000-00003C010000}"/>
    <cellStyle name="Normal 55 2 2" xfId="457" xr:uid="{CCF10E3F-DC3A-43E4-BE09-3563CB838CC5}"/>
    <cellStyle name="Normal 56" xfId="101" xr:uid="{00000000-0005-0000-0000-00003D010000}"/>
    <cellStyle name="Normal 57" xfId="102" xr:uid="{00000000-0005-0000-0000-00003E010000}"/>
    <cellStyle name="Normal 58" xfId="103" xr:uid="{00000000-0005-0000-0000-00003F010000}"/>
    <cellStyle name="Normal 59" xfId="104" xr:uid="{00000000-0005-0000-0000-000040010000}"/>
    <cellStyle name="Normal 6" xfId="51" xr:uid="{00000000-0005-0000-0000-000041010000}"/>
    <cellStyle name="Normal 6 2" xfId="213" xr:uid="{00000000-0005-0000-0000-000042010000}"/>
    <cellStyle name="Normal 6 3" xfId="387" xr:uid="{00000000-0005-0000-0000-000043010000}"/>
    <cellStyle name="Normal 60" xfId="105" xr:uid="{00000000-0005-0000-0000-000044010000}"/>
    <cellStyle name="Normal 61" xfId="106" xr:uid="{00000000-0005-0000-0000-000045010000}"/>
    <cellStyle name="Normal 62" xfId="107" xr:uid="{00000000-0005-0000-0000-000046010000}"/>
    <cellStyle name="Normal 63" xfId="108" xr:uid="{00000000-0005-0000-0000-000047010000}"/>
    <cellStyle name="Normal 64" xfId="109" xr:uid="{00000000-0005-0000-0000-000048010000}"/>
    <cellStyle name="Normal 65" xfId="110" xr:uid="{00000000-0005-0000-0000-000049010000}"/>
    <cellStyle name="Normal 66" xfId="111" xr:uid="{00000000-0005-0000-0000-00004A010000}"/>
    <cellStyle name="Normal 67" xfId="112" xr:uid="{00000000-0005-0000-0000-00004B010000}"/>
    <cellStyle name="Normal 68" xfId="113" xr:uid="{00000000-0005-0000-0000-00004C010000}"/>
    <cellStyle name="Normal 69" xfId="114" xr:uid="{00000000-0005-0000-0000-00004D010000}"/>
    <cellStyle name="Normal 7" xfId="52" xr:uid="{00000000-0005-0000-0000-00004E010000}"/>
    <cellStyle name="Normal 7 2" xfId="214" xr:uid="{00000000-0005-0000-0000-00004F010000}"/>
    <cellStyle name="Normal 7 2 2" xfId="389" xr:uid="{00000000-0005-0000-0000-000050010000}"/>
    <cellStyle name="Normal 7 3" xfId="388" xr:uid="{00000000-0005-0000-0000-000051010000}"/>
    <cellStyle name="Normal 70" xfId="115" xr:uid="{00000000-0005-0000-0000-000052010000}"/>
    <cellStyle name="Normal 71" xfId="116" xr:uid="{00000000-0005-0000-0000-000053010000}"/>
    <cellStyle name="Normal 72" xfId="117" xr:uid="{00000000-0005-0000-0000-000054010000}"/>
    <cellStyle name="Normal 73" xfId="118" xr:uid="{00000000-0005-0000-0000-000055010000}"/>
    <cellStyle name="Normal 74" xfId="119" xr:uid="{00000000-0005-0000-0000-000056010000}"/>
    <cellStyle name="Normal 75" xfId="120" xr:uid="{00000000-0005-0000-0000-000057010000}"/>
    <cellStyle name="Normal 76" xfId="121" xr:uid="{00000000-0005-0000-0000-000058010000}"/>
    <cellStyle name="Normal 77" xfId="122" xr:uid="{00000000-0005-0000-0000-000059010000}"/>
    <cellStyle name="Normal 78" xfId="123" xr:uid="{00000000-0005-0000-0000-00005A010000}"/>
    <cellStyle name="Normal 79" xfId="124" xr:uid="{00000000-0005-0000-0000-00005B010000}"/>
    <cellStyle name="Normal 8" xfId="53" xr:uid="{00000000-0005-0000-0000-00005C010000}"/>
    <cellStyle name="Normal 8 2" xfId="215" xr:uid="{00000000-0005-0000-0000-00005D010000}"/>
    <cellStyle name="Normal 8 2 2" xfId="391" xr:uid="{00000000-0005-0000-0000-00005E010000}"/>
    <cellStyle name="Normal 8 3" xfId="390" xr:uid="{00000000-0005-0000-0000-00005F010000}"/>
    <cellStyle name="Normal 80" xfId="125" xr:uid="{00000000-0005-0000-0000-000060010000}"/>
    <cellStyle name="Normal 80 2" xfId="440" xr:uid="{9F7ED66E-514E-4004-85B8-1F21D04D833D}"/>
    <cellStyle name="Normal 81" xfId="128" xr:uid="{00000000-0005-0000-0000-000061010000}"/>
    <cellStyle name="Normal 82" xfId="129" xr:uid="{00000000-0005-0000-0000-000062010000}"/>
    <cellStyle name="Normal 83" xfId="130" xr:uid="{00000000-0005-0000-0000-000063010000}"/>
    <cellStyle name="Normal 84" xfId="131" xr:uid="{00000000-0005-0000-0000-000064010000}"/>
    <cellStyle name="Normal 85" xfId="132" xr:uid="{00000000-0005-0000-0000-000065010000}"/>
    <cellStyle name="Normal 86" xfId="133" xr:uid="{00000000-0005-0000-0000-000066010000}"/>
    <cellStyle name="Normal 87" xfId="134" xr:uid="{00000000-0005-0000-0000-000067010000}"/>
    <cellStyle name="Normal 88" xfId="135" xr:uid="{00000000-0005-0000-0000-000068010000}"/>
    <cellStyle name="Normal 89" xfId="136" xr:uid="{00000000-0005-0000-0000-000069010000}"/>
    <cellStyle name="Normal 9" xfId="54" xr:uid="{00000000-0005-0000-0000-00006A010000}"/>
    <cellStyle name="Normal 9 2" xfId="216" xr:uid="{00000000-0005-0000-0000-00006B010000}"/>
    <cellStyle name="Normal 9 2 2" xfId="416" xr:uid="{00000000-0005-0000-0000-00006C010000}"/>
    <cellStyle name="Normal 9 3" xfId="262" xr:uid="{00000000-0005-0000-0000-00006D010000}"/>
    <cellStyle name="Normal 9 3 2" xfId="472" xr:uid="{CF1F6D91-7407-4D8C-B8AB-5A28E0CA9CC6}"/>
    <cellStyle name="Normal 90" xfId="137" xr:uid="{00000000-0005-0000-0000-00006E010000}"/>
    <cellStyle name="Normal 91" xfId="138" xr:uid="{00000000-0005-0000-0000-00006F010000}"/>
    <cellStyle name="Normal 92" xfId="139" xr:uid="{00000000-0005-0000-0000-000070010000}"/>
    <cellStyle name="Normal 93" xfId="140" xr:uid="{00000000-0005-0000-0000-000071010000}"/>
    <cellStyle name="Normal 94" xfId="141" xr:uid="{00000000-0005-0000-0000-000072010000}"/>
    <cellStyle name="Normal 95" xfId="142" xr:uid="{00000000-0005-0000-0000-000073010000}"/>
    <cellStyle name="Normal 96" xfId="143" xr:uid="{00000000-0005-0000-0000-000074010000}"/>
    <cellStyle name="Normal 97" xfId="144" xr:uid="{00000000-0005-0000-0000-000075010000}"/>
    <cellStyle name="Normal 98" xfId="145" xr:uid="{00000000-0005-0000-0000-000076010000}"/>
    <cellStyle name="Normal 99" xfId="146" xr:uid="{00000000-0005-0000-0000-000077010000}"/>
    <cellStyle name="Normal_S6-C new (2)" xfId="37" xr:uid="{00000000-0005-0000-0000-000078010000}"/>
    <cellStyle name="Note 2" xfId="392" xr:uid="{00000000-0005-0000-0000-000079010000}"/>
    <cellStyle name="Note 3" xfId="266" xr:uid="{00000000-0005-0000-0000-00007A010000}"/>
    <cellStyle name="Note 3 2" xfId="476" xr:uid="{6CCDA1BC-CA5B-429F-B042-F16E6E1DEC73}"/>
    <cellStyle name="Output" xfId="229" builtinId="21" customBuiltin="1"/>
    <cellStyle name="Output 2" xfId="393" xr:uid="{00000000-0005-0000-0000-00007C010000}"/>
    <cellStyle name="Percent" xfId="38" builtinId="5"/>
    <cellStyle name="Percent 2" xfId="39" xr:uid="{00000000-0005-0000-0000-00007E010000}"/>
    <cellStyle name="Percent 2 2" xfId="394" xr:uid="{00000000-0005-0000-0000-00007F010000}"/>
    <cellStyle name="Percent 2 2 2" xfId="395" xr:uid="{00000000-0005-0000-0000-000080010000}"/>
    <cellStyle name="Percent 2 2 3" xfId="396" xr:uid="{00000000-0005-0000-0000-000081010000}"/>
    <cellStyle name="Percent 2 2 3 2" xfId="397" xr:uid="{00000000-0005-0000-0000-000082010000}"/>
    <cellStyle name="Percent 2 3" xfId="398" xr:uid="{00000000-0005-0000-0000-000083010000}"/>
    <cellStyle name="Percent 2 3 2" xfId="482" xr:uid="{3F64FE6C-7286-4CD6-B7A3-6E885B597C2D}"/>
    <cellStyle name="Percent 2 4" xfId="399" xr:uid="{00000000-0005-0000-0000-000084010000}"/>
    <cellStyle name="Percent 2 5" xfId="270" xr:uid="{00000000-0005-0000-0000-000085010000}"/>
    <cellStyle name="Percent 2 6" xfId="432" xr:uid="{3507918A-6579-4917-AA1D-D35464BAD380}"/>
    <cellStyle name="Percent 3" xfId="40" xr:uid="{00000000-0005-0000-0000-000086010000}"/>
    <cellStyle name="Percent 3 2" xfId="217" xr:uid="{00000000-0005-0000-0000-000087010000}"/>
    <cellStyle name="Percent 3 2 2" xfId="402" xr:uid="{00000000-0005-0000-0000-000088010000}"/>
    <cellStyle name="Percent 3 2 3" xfId="401" xr:uid="{00000000-0005-0000-0000-000089010000}"/>
    <cellStyle name="Percent 3 3" xfId="403" xr:uid="{00000000-0005-0000-0000-00008A010000}"/>
    <cellStyle name="Percent 3 3 2" xfId="404" xr:uid="{00000000-0005-0000-0000-00008B010000}"/>
    <cellStyle name="Percent 3 4" xfId="405" xr:uid="{00000000-0005-0000-0000-00008C010000}"/>
    <cellStyle name="Percent 3 5" xfId="400" xr:uid="{00000000-0005-0000-0000-00008D010000}"/>
    <cellStyle name="Percent 4" xfId="47" xr:uid="{00000000-0005-0000-0000-00008E010000}"/>
    <cellStyle name="Percent 4 2" xfId="407" xr:uid="{00000000-0005-0000-0000-00008F010000}"/>
    <cellStyle name="Percent 4 3" xfId="406" xr:uid="{00000000-0005-0000-0000-000090010000}"/>
    <cellStyle name="Percent 4 4" xfId="437" xr:uid="{AF8DCC64-DB72-4512-BB09-EE51446797FA}"/>
    <cellStyle name="Percent 5" xfId="408" xr:uid="{00000000-0005-0000-0000-000091010000}"/>
    <cellStyle name="Percent 5 2" xfId="409" xr:uid="{00000000-0005-0000-0000-000092010000}"/>
    <cellStyle name="Percent 6" xfId="265" xr:uid="{00000000-0005-0000-0000-000093010000}"/>
    <cellStyle name="Percent 6 2" xfId="475" xr:uid="{574B5241-9769-4CD7-AF61-64B695225B53}"/>
    <cellStyle name="Percent 7" xfId="422" xr:uid="{B015C9D5-20D2-4B0B-8210-27F60E855BB6}"/>
    <cellStyle name="Percent 7 2" xfId="488" xr:uid="{1FC97219-DB70-4984-A9EE-839742A88053}"/>
    <cellStyle name="STYLE1" xfId="271" xr:uid="{00000000-0005-0000-0000-000094010000}"/>
    <cellStyle name="STYLE1 2" xfId="410" xr:uid="{00000000-0005-0000-0000-000095010000}"/>
    <cellStyle name="STYLE1 2 2" xfId="411" xr:uid="{00000000-0005-0000-0000-000096010000}"/>
    <cellStyle name="STYLE1 3" xfId="412" xr:uid="{00000000-0005-0000-0000-000097010000}"/>
    <cellStyle name="Title" xfId="220" builtinId="15" customBuiltin="1"/>
    <cellStyle name="Title 2" xfId="413" xr:uid="{00000000-0005-0000-0000-000099010000}"/>
    <cellStyle name="Total" xfId="41" builtinId="25" customBuiltin="1"/>
    <cellStyle name="Total 2" xfId="42" xr:uid="{00000000-0005-0000-0000-00009B010000}"/>
    <cellStyle name="Total 2 2" xfId="414" xr:uid="{00000000-0005-0000-0000-00009C010000}"/>
    <cellStyle name="Total 2 3" xfId="433" xr:uid="{69356972-2276-41ED-9507-5F4726DAE9BA}"/>
    <cellStyle name="Total 3" xfId="43" xr:uid="{00000000-0005-0000-0000-00009D010000}"/>
    <cellStyle name="Total 4" xfId="267" xr:uid="{00000000-0005-0000-0000-00009E010000}"/>
    <cellStyle name="Warning Text" xfId="233" builtinId="11" customBuiltin="1"/>
    <cellStyle name="Warning Text 2" xfId="415" xr:uid="{00000000-0005-0000-0000-0000A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Finance\General%20Accounting\Work%20Papers\2002\0362%20Leslie%20County\0362%20Leslie%20County%202002%20CP20-60%20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4\TROY\TROY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WINT\415WP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ccounting\Rate%20Case%20July%202018\Misc%20Backup\S17%20Effect%20On%20Revenue%20duplicate%20ta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\Budgets\2017\Copy%20of%202017%20Budget%20WEC%20Power%20Supply%20Budget%202017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APP\413W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ORN\414WP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Analysis"/>
      <sheetName val="Notes"/>
      <sheetName val="Explanations"/>
      <sheetName val="CP 20 Other"/>
      <sheetName val="CP 60 Other"/>
      <sheetName val="Transfers"/>
      <sheetName val="Trans Types"/>
      <sheetName val="Miscellaneous"/>
      <sheetName val="0362 Leslie County 2002 CP20-60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902"/>
      <sheetName val="119021"/>
      <sheetName val="115"/>
      <sheetName val="11901"/>
      <sheetName val="1190101"/>
      <sheetName val="11903"/>
      <sheetName val="11907"/>
      <sheetName val="12101"/>
      <sheetName val="12102"/>
      <sheetName val="129"/>
      <sheetName val="130"/>
      <sheetName val="131"/>
      <sheetName val="132"/>
      <sheetName val="133"/>
      <sheetName val="135"/>
      <sheetName val="1402"/>
      <sheetName val="14021"/>
      <sheetName val="1407"/>
      <sheetName val="14391"/>
      <sheetName val="14393"/>
      <sheetName val="4010310"/>
      <sheetName val="40502"/>
      <sheetName val="412011"/>
      <sheetName val="4120120"/>
      <sheetName val="412021"/>
      <sheetName val="412022"/>
      <sheetName val="413"/>
      <sheetName val="42101-REA"/>
      <sheetName val="42102-RTB"/>
      <sheetName val="436"/>
      <sheetName val="524"/>
      <sheetName val="6621004"/>
      <sheetName val="6725"/>
      <sheetName val="736"/>
      <sheetName val="737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>
        <row r="2">
          <cell r="L2">
            <v>35229.36353865741</v>
          </cell>
          <cell r="M2">
            <v>35236.556781018517</v>
          </cell>
        </row>
        <row r="4">
          <cell r="L4" t="str">
            <v>PAGE 1 OF 2</v>
          </cell>
        </row>
        <row r="9">
          <cell r="D9" t="str">
            <v xml:space="preserve"> </v>
          </cell>
          <cell r="F9" t="str">
            <v xml:space="preserve"> </v>
          </cell>
          <cell r="J9" t="str">
            <v>COMMUNITY</v>
          </cell>
        </row>
        <row r="10">
          <cell r="B10" t="str">
            <v>CONTRIBUTIONS</v>
          </cell>
          <cell r="D10" t="str">
            <v>ADVERTISING</v>
          </cell>
          <cell r="F10" t="str">
            <v>DUES</v>
          </cell>
          <cell r="H10" t="str">
            <v>NONREG</v>
          </cell>
          <cell r="I10" t="str">
            <v>MISC</v>
          </cell>
          <cell r="J10" t="str">
            <v>TSSD</v>
          </cell>
          <cell r="K10" t="str">
            <v xml:space="preserve"> </v>
          </cell>
          <cell r="L10" t="str">
            <v>GL</v>
          </cell>
          <cell r="M10" t="str">
            <v>GL</v>
          </cell>
        </row>
        <row r="11">
          <cell r="B11" t="str">
            <v>TAX EXEMPT</v>
          </cell>
          <cell r="D11" t="str">
            <v xml:space="preserve"> </v>
          </cell>
          <cell r="F11" t="str">
            <v xml:space="preserve"> </v>
          </cell>
          <cell r="H11" t="str">
            <v>1A</v>
          </cell>
          <cell r="I11" t="str">
            <v xml:space="preserve"> </v>
          </cell>
          <cell r="J11" t="str">
            <v>ICB</v>
          </cell>
          <cell r="K11" t="str">
            <v>LOBBYING</v>
          </cell>
          <cell r="L11" t="str">
            <v>BALANCE</v>
          </cell>
          <cell r="M11" t="str">
            <v>BALANCE</v>
          </cell>
        </row>
        <row r="12">
          <cell r="B12" t="str">
            <v xml:space="preserve"> DESCRIPTION     AMOUNT</v>
          </cell>
          <cell r="D12" t="str">
            <v xml:space="preserve">  DESCRIPTION     AMOUNT</v>
          </cell>
          <cell r="F12" t="str">
            <v xml:space="preserve">  DESCRIPTION     AMOUNT</v>
          </cell>
          <cell r="G12" t="str">
            <v>OTHER</v>
          </cell>
          <cell r="H12" t="str">
            <v>ADJ</v>
          </cell>
          <cell r="I12" t="str">
            <v xml:space="preserve"> </v>
          </cell>
          <cell r="J12" t="str">
            <v>503 &amp; 504</v>
          </cell>
          <cell r="K12" t="str">
            <v xml:space="preserve"> </v>
          </cell>
          <cell r="L12" t="str">
            <v>LOBBYING</v>
          </cell>
        </row>
        <row r="13">
          <cell r="B13" t="str">
            <v xml:space="preserve"> </v>
          </cell>
          <cell r="D13" t="str">
            <v xml:space="preserve"> </v>
          </cell>
          <cell r="F13" t="str">
            <v xml:space="preserve"> </v>
          </cell>
          <cell r="H13" t="str">
            <v>17N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</row>
        <row r="15">
          <cell r="L15">
            <v>0</v>
          </cell>
          <cell r="M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</row>
        <row r="17">
          <cell r="B17" t="str">
            <v xml:space="preserve"> </v>
          </cell>
          <cell r="C17" t="str">
            <v xml:space="preserve"> </v>
          </cell>
          <cell r="D17" t="str">
            <v>LITHO-CALENDARS</v>
          </cell>
          <cell r="E17">
            <v>151.87</v>
          </cell>
        </row>
        <row r="18">
          <cell r="B18" t="str">
            <v xml:space="preserve"> </v>
          </cell>
          <cell r="C18" t="str">
            <v xml:space="preserve"> </v>
          </cell>
          <cell r="D18" t="str">
            <v>MISC RADIO &amp; PAPER</v>
          </cell>
          <cell r="E18">
            <v>312.8</v>
          </cell>
          <cell r="H18">
            <v>23.85</v>
          </cell>
          <cell r="I18">
            <v>88.97</v>
          </cell>
          <cell r="J18">
            <v>60.5</v>
          </cell>
          <cell r="L18">
            <v>549.02</v>
          </cell>
          <cell r="M18">
            <v>329.09000000000003</v>
          </cell>
        </row>
        <row r="20">
          <cell r="B20" t="str">
            <v>COMMUNITY REC-DON</v>
          </cell>
          <cell r="C20">
            <v>500</v>
          </cell>
          <cell r="D20" t="str">
            <v>MISC RADIO &amp; PAPER</v>
          </cell>
          <cell r="E20">
            <v>96</v>
          </cell>
          <cell r="I20">
            <v>36.93</v>
          </cell>
        </row>
        <row r="21">
          <cell r="B21" t="str">
            <v>AUTO SAFETY CAMPAIGN</v>
          </cell>
          <cell r="C21">
            <v>520</v>
          </cell>
          <cell r="D21" t="str">
            <v>BILL INSERT</v>
          </cell>
          <cell r="E21">
            <v>25.79</v>
          </cell>
          <cell r="H21">
            <v>36.15</v>
          </cell>
          <cell r="I21" t="str">
            <v>FLOWERS</v>
          </cell>
          <cell r="J21">
            <v>41.839999999999996</v>
          </cell>
          <cell r="L21">
            <v>1779.9399999999998</v>
          </cell>
          <cell r="M21">
            <v>933.57</v>
          </cell>
        </row>
        <row r="22">
          <cell r="E22">
            <v>103.12</v>
          </cell>
          <cell r="I22" t="str">
            <v>FUNERAL</v>
          </cell>
        </row>
        <row r="23">
          <cell r="B23" t="str">
            <v>4TH OF JULY-FIREWORKS</v>
          </cell>
          <cell r="C23">
            <v>100</v>
          </cell>
          <cell r="D23" t="str">
            <v>LEXICOM-NEWSLETTER</v>
          </cell>
          <cell r="E23">
            <v>151.56</v>
          </cell>
          <cell r="I23">
            <v>31.5</v>
          </cell>
        </row>
        <row r="24">
          <cell r="D24" t="str">
            <v>MISC RADIO &amp; PAPER</v>
          </cell>
          <cell r="E24">
            <v>112.39</v>
          </cell>
          <cell r="F24">
            <v>35</v>
          </cell>
          <cell r="G24" t="str">
            <v xml:space="preserve"> </v>
          </cell>
          <cell r="I24" t="str">
            <v>FLOWERS</v>
          </cell>
          <cell r="J24">
            <v>15.4</v>
          </cell>
          <cell r="L24">
            <v>2090.79</v>
          </cell>
          <cell r="M24">
            <v>1372.78</v>
          </cell>
        </row>
        <row r="25">
          <cell r="I25" t="str">
            <v>FUNERAL</v>
          </cell>
        </row>
        <row r="26">
          <cell r="B26">
            <v>0</v>
          </cell>
          <cell r="C26">
            <v>1020</v>
          </cell>
          <cell r="D26">
            <v>0</v>
          </cell>
          <cell r="E26">
            <v>824.62</v>
          </cell>
          <cell r="F26">
            <v>0</v>
          </cell>
          <cell r="G26">
            <v>0</v>
          </cell>
          <cell r="H26">
            <v>60</v>
          </cell>
          <cell r="I26">
            <v>68.430000000000007</v>
          </cell>
          <cell r="J26">
            <v>117.74000000000001</v>
          </cell>
          <cell r="K26">
            <v>0</v>
          </cell>
          <cell r="L26">
            <v>2090.79</v>
          </cell>
          <cell r="M26">
            <v>1372.7799999999997</v>
          </cell>
        </row>
        <row r="27">
          <cell r="B27" t="str">
            <v>FFA DONATION</v>
          </cell>
          <cell r="C27">
            <v>100</v>
          </cell>
          <cell r="D27" t="str">
            <v>MISC RADIO &amp; PAPER</v>
          </cell>
          <cell r="E27">
            <v>179</v>
          </cell>
          <cell r="F27" t="str">
            <v>BOND.ARCHIVES</v>
          </cell>
          <cell r="G27">
            <v>50</v>
          </cell>
          <cell r="I27">
            <v>47.48</v>
          </cell>
        </row>
        <row r="28">
          <cell r="B28" t="str">
            <v>MDA DONATION</v>
          </cell>
          <cell r="C28">
            <v>25</v>
          </cell>
          <cell r="D28" t="str">
            <v>MISC NEWSPAPER</v>
          </cell>
          <cell r="E28">
            <v>20</v>
          </cell>
          <cell r="I28" t="str">
            <v>FLOWERS</v>
          </cell>
          <cell r="L28">
            <v>2467.27</v>
          </cell>
          <cell r="M28">
            <v>1417.78</v>
          </cell>
        </row>
        <row r="29">
          <cell r="I29" t="str">
            <v>FUNERAL</v>
          </cell>
        </row>
        <row r="30">
          <cell r="D30" t="str">
            <v>LEXICOM-NEWSLETTER</v>
          </cell>
          <cell r="E30">
            <v>170.17</v>
          </cell>
        </row>
        <row r="31">
          <cell r="D31" t="str">
            <v>4TH OF JULY AD</v>
          </cell>
          <cell r="E31">
            <v>20</v>
          </cell>
          <cell r="L31">
            <v>2732.44</v>
          </cell>
          <cell r="M31">
            <v>2315.2399999999998</v>
          </cell>
        </row>
        <row r="32">
          <cell r="D32" t="str">
            <v>SENIOR SALUTE AD</v>
          </cell>
          <cell r="E32">
            <v>75</v>
          </cell>
        </row>
        <row r="33">
          <cell r="D33" t="str">
            <v>AD-GRADUATION</v>
          </cell>
          <cell r="E33">
            <v>20</v>
          </cell>
          <cell r="J33">
            <v>10</v>
          </cell>
        </row>
        <row r="36">
          <cell r="B36">
            <v>0</v>
          </cell>
          <cell r="C36">
            <v>1120</v>
          </cell>
        </row>
        <row r="46">
          <cell r="B46">
            <v>0</v>
          </cell>
          <cell r="C46">
            <v>1120</v>
          </cell>
        </row>
        <row r="56">
          <cell r="B56">
            <v>0</v>
          </cell>
          <cell r="C56">
            <v>400</v>
          </cell>
        </row>
        <row r="59">
          <cell r="B59">
            <v>0</v>
          </cell>
          <cell r="C59">
            <v>1120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5WP95"/>
    </sheetNames>
    <definedNames>
      <definedName name="[PrintModule].printall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7 - Effect Revenue Test only"/>
      <sheetName val="S17 Effect On Revenue duplicate"/>
    </sheetNames>
    <definedNames>
      <definedName name="autofix" refersTo="#REF!"/>
      <definedName name="hideunhide" refersTo="#REF!" sheetId="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l Summary"/>
      <sheetName val="Load Summary"/>
      <sheetName val="Monthly Summary $$"/>
      <sheetName val="Hours"/>
      <sheetName val="LMPs"/>
      <sheetName val="Price Assumptions"/>
      <sheetName val="Cap Chart"/>
      <sheetName val="Load Forecast"/>
      <sheetName val="load ratio on-off"/>
      <sheetName val="Capacity KW"/>
      <sheetName val="Energy Rates"/>
      <sheetName val="Ryegate Rate"/>
      <sheetName val="VT Wind Rates"/>
      <sheetName val="Capacity Rates"/>
      <sheetName val="Cap Factors"/>
      <sheetName val="Energy Chart"/>
      <sheetName val="Energy Entitlement kwh"/>
      <sheetName val="OnOff Peak Adj Factors"/>
      <sheetName val="OnOffPk Energy kwh"/>
      <sheetName val="OnOffPk Contract Rates"/>
      <sheetName val="OnOffPk Charges"/>
      <sheetName val="Self Supply kw"/>
      <sheetName val="Self Supply Credits"/>
      <sheetName val="Renewable Credit MWH"/>
      <sheetName val="Energy Contract Charges"/>
      <sheetName val="ISO Energy onoff peak Credits"/>
      <sheetName val="ISO Energy Credits Summary"/>
      <sheetName val="Capacity Contract Charges"/>
      <sheetName val="FCM Credits"/>
      <sheetName val="Renewable Credits"/>
      <sheetName val="Ancilliary Load Charges"/>
      <sheetName val="Transmission"/>
      <sheetName val="GMP Trans Build"/>
      <sheetName val="Admin Load Charg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Washington Electric Coop</v>
          </cell>
        </row>
      </sheetData>
      <sheetData sheetId="28"/>
      <sheetData sheetId="29"/>
      <sheetData sheetId="30">
        <row r="7">
          <cell r="A7" t="str">
            <v>Loss Revenues</v>
          </cell>
        </row>
      </sheetData>
      <sheetData sheetId="31">
        <row r="7">
          <cell r="A7" t="str">
            <v xml:space="preserve">GMP Transmission              </v>
          </cell>
        </row>
      </sheetData>
      <sheetData sheetId="32"/>
      <sheetData sheetId="33">
        <row r="7">
          <cell r="A7" t="str">
            <v>HQ Participant Charges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3WP95"/>
    </sheetNames>
    <definedNames>
      <definedName name="printall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4WP95"/>
    </sheetNames>
    <definedNames>
      <definedName name="PrintModule.printall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0"/>
  <sheetViews>
    <sheetView showGridLines="0" tabSelected="1" zoomScale="75" zoomScaleNormal="75" workbookViewId="0">
      <selection activeCell="B1" sqref="B1"/>
    </sheetView>
  </sheetViews>
  <sheetFormatPr defaultColWidth="8" defaultRowHeight="15" x14ac:dyDescent="0.25"/>
  <cols>
    <col min="1" max="1" width="4.1796875" style="2" customWidth="1"/>
    <col min="2" max="2" width="50.08984375" style="2" customWidth="1"/>
    <col min="3" max="3" width="18" style="2" bestFit="1" customWidth="1"/>
    <col min="4" max="4" width="12.54296875" style="2" customWidth="1"/>
    <col min="5" max="5" width="18.1796875" style="2" bestFit="1" customWidth="1"/>
    <col min="6" max="6" width="11.81640625" style="2" bestFit="1" customWidth="1"/>
    <col min="7" max="7" width="4.54296875" style="2" customWidth="1"/>
    <col min="8" max="8" width="11.54296875" style="17" customWidth="1"/>
    <col min="9" max="10" width="8" style="17"/>
    <col min="11" max="11" width="11.81640625" style="17" bestFit="1" customWidth="1"/>
    <col min="12" max="12" width="8" style="17"/>
    <col min="13" max="13" width="12.453125" style="17" bestFit="1" customWidth="1"/>
    <col min="14" max="14" width="8" style="17"/>
    <col min="15" max="16384" width="8" style="8"/>
  </cols>
  <sheetData>
    <row r="1" spans="1:12" ht="17.399999999999999" x14ac:dyDescent="0.3">
      <c r="A1" s="37" t="s">
        <v>1509</v>
      </c>
      <c r="B1" s="21"/>
      <c r="C1" s="424"/>
      <c r="D1" s="425"/>
      <c r="E1" s="21"/>
      <c r="F1" s="21"/>
      <c r="G1" s="21"/>
    </row>
    <row r="2" spans="1:12" ht="21.75" customHeight="1" x14ac:dyDescent="0.4">
      <c r="A2" s="37" t="s">
        <v>111</v>
      </c>
      <c r="B2" s="21"/>
      <c r="C2" s="964"/>
      <c r="D2" s="965"/>
      <c r="E2" s="426"/>
      <c r="F2" s="426"/>
      <c r="G2" s="21"/>
    </row>
    <row r="3" spans="1:12" ht="21.75" customHeight="1" x14ac:dyDescent="0.3">
      <c r="A3" s="21" t="s">
        <v>296</v>
      </c>
      <c r="B3" s="21"/>
      <c r="C3" s="426"/>
      <c r="D3" s="426"/>
      <c r="E3" s="427"/>
      <c r="F3" s="426"/>
      <c r="G3" s="21"/>
    </row>
    <row r="4" spans="1:12" ht="21.75" customHeight="1" x14ac:dyDescent="0.25">
      <c r="A4" s="21"/>
      <c r="B4" s="21"/>
      <c r="C4" s="21"/>
      <c r="D4" s="122"/>
      <c r="E4" s="122"/>
      <c r="F4" s="21"/>
      <c r="G4" s="21"/>
    </row>
    <row r="5" spans="1:12" ht="21.75" customHeight="1" x14ac:dyDescent="0.3">
      <c r="A5" s="21"/>
      <c r="B5" s="21"/>
      <c r="C5" s="1277" t="s">
        <v>613</v>
      </c>
      <c r="D5" s="1278"/>
      <c r="E5" s="1278"/>
      <c r="F5" s="1279"/>
      <c r="G5" s="85"/>
      <c r="K5" s="1250"/>
      <c r="L5" s="1251"/>
    </row>
    <row r="6" spans="1:12" ht="21.75" customHeight="1" x14ac:dyDescent="0.3">
      <c r="A6" s="24"/>
      <c r="B6" s="24"/>
      <c r="C6" s="427" t="s">
        <v>1428</v>
      </c>
      <c r="D6" s="427" t="s">
        <v>342</v>
      </c>
      <c r="E6" s="427" t="s">
        <v>1426</v>
      </c>
      <c r="F6" s="77" t="s">
        <v>127</v>
      </c>
      <c r="G6" s="77"/>
      <c r="K6" s="1250"/>
      <c r="L6" s="1251"/>
    </row>
    <row r="7" spans="1:12" ht="21.75" customHeight="1" x14ac:dyDescent="0.3">
      <c r="A7" s="78" t="s">
        <v>128</v>
      </c>
      <c r="B7" s="84" t="s">
        <v>129</v>
      </c>
      <c r="C7" s="78" t="s">
        <v>114</v>
      </c>
      <c r="D7" s="78" t="s">
        <v>343</v>
      </c>
      <c r="E7" s="78" t="s">
        <v>614</v>
      </c>
      <c r="F7" s="78" t="s">
        <v>130</v>
      </c>
      <c r="G7" s="78"/>
      <c r="K7" s="1250"/>
      <c r="L7" s="1251"/>
    </row>
    <row r="8" spans="1:12" ht="21.75" customHeight="1" x14ac:dyDescent="0.25">
      <c r="A8" s="24">
        <v>1</v>
      </c>
      <c r="B8" s="21" t="s">
        <v>131</v>
      </c>
      <c r="C8" s="22">
        <f>'Trial Balance'!C42</f>
        <v>8495999.3399999999</v>
      </c>
      <c r="D8" s="22">
        <f>+'S2 - Power Supply'!F17</f>
        <v>703615.66000000015</v>
      </c>
      <c r="E8" s="22">
        <f>+C8+D8</f>
        <v>9199615</v>
      </c>
      <c r="F8" s="24" t="s">
        <v>1489</v>
      </c>
      <c r="G8" s="24"/>
      <c r="H8" s="1118"/>
      <c r="K8" s="1250"/>
      <c r="L8" s="1251"/>
    </row>
    <row r="9" spans="1:12" ht="21.75" customHeight="1" x14ac:dyDescent="0.25">
      <c r="A9" s="24">
        <f t="shared" ref="A9:A42" si="0">A8+1</f>
        <v>2</v>
      </c>
      <c r="B9" s="22" t="s">
        <v>643</v>
      </c>
      <c r="C9" s="22">
        <f>'Trial Balance'!C54</f>
        <v>90499.62999999999</v>
      </c>
      <c r="D9" s="22">
        <f>+'S3 - Transmission &amp; Power Prod'!E26</f>
        <v>1312.5353153577371</v>
      </c>
      <c r="E9" s="22">
        <f t="shared" ref="E9:E14" si="1">C9+D9</f>
        <v>91812.165315357721</v>
      </c>
      <c r="F9" s="24" t="s">
        <v>1490</v>
      </c>
      <c r="G9" s="24"/>
      <c r="H9" s="1118"/>
      <c r="K9" s="1251"/>
      <c r="L9" s="1251"/>
    </row>
    <row r="10" spans="1:12" ht="21.75" customHeight="1" x14ac:dyDescent="0.25">
      <c r="A10" s="24">
        <f t="shared" si="0"/>
        <v>3</v>
      </c>
      <c r="B10" s="21" t="s">
        <v>224</v>
      </c>
      <c r="C10" s="22">
        <f>'Trial Balance'!C78</f>
        <v>2313037.9000000004</v>
      </c>
      <c r="D10" s="22">
        <f>+'S4 - Dist Maint &amp; Ops'!H44</f>
        <v>57344.636495581595</v>
      </c>
      <c r="E10" s="22">
        <f t="shared" si="1"/>
        <v>2370382.5364955822</v>
      </c>
      <c r="F10" s="24" t="s">
        <v>1491</v>
      </c>
      <c r="G10" s="24"/>
      <c r="H10" s="1118"/>
      <c r="K10" s="1251"/>
      <c r="L10" s="1251"/>
    </row>
    <row r="11" spans="1:12" ht="21.75" customHeight="1" x14ac:dyDescent="0.25">
      <c r="A11" s="24">
        <f t="shared" si="0"/>
        <v>4</v>
      </c>
      <c r="B11" s="21" t="s">
        <v>225</v>
      </c>
      <c r="C11" s="22">
        <f>'Trial Balance'!C103</f>
        <v>3454154.2000000007</v>
      </c>
      <c r="D11" s="22">
        <f>+'S4 - Dist Maint &amp; Ops'!H28</f>
        <v>-57410.766502651531</v>
      </c>
      <c r="E11" s="22">
        <f t="shared" si="1"/>
        <v>3396743.4334973493</v>
      </c>
      <c r="F11" s="24" t="s">
        <v>1491</v>
      </c>
      <c r="G11" s="24"/>
      <c r="H11" s="1118"/>
      <c r="K11" s="1251"/>
      <c r="L11" s="1251"/>
    </row>
    <row r="12" spans="1:12" ht="21.75" customHeight="1" x14ac:dyDescent="0.25">
      <c r="A12" s="24">
        <f t="shared" si="0"/>
        <v>5</v>
      </c>
      <c r="B12" s="26" t="s">
        <v>226</v>
      </c>
      <c r="C12" s="22">
        <f>'Trial Balance'!C127+'Trial Balance'!C138</f>
        <v>1126374.9100000001</v>
      </c>
      <c r="D12" s="22">
        <f>+'S5 - Cust Accts'!H20</f>
        <v>54312.744617082324</v>
      </c>
      <c r="E12" s="22">
        <f t="shared" si="1"/>
        <v>1180687.6546170826</v>
      </c>
      <c r="F12" s="24" t="s">
        <v>1492</v>
      </c>
      <c r="G12" s="24"/>
      <c r="H12" s="1118"/>
      <c r="K12" s="1251"/>
      <c r="L12" s="1251"/>
    </row>
    <row r="13" spans="1:12" ht="21.75" customHeight="1" x14ac:dyDescent="0.25">
      <c r="A13" s="24">
        <f t="shared" si="0"/>
        <v>6</v>
      </c>
      <c r="B13" s="26" t="s">
        <v>147</v>
      </c>
      <c r="C13" s="22">
        <f>'Trial Balance'!C187</f>
        <v>1588209.3900000001</v>
      </c>
      <c r="D13" s="22">
        <f>+'S6 - Admin &amp; Gen'!F28</f>
        <v>110402.10846351041</v>
      </c>
      <c r="E13" s="22">
        <f t="shared" si="1"/>
        <v>1698611.4984635105</v>
      </c>
      <c r="F13" s="24" t="s">
        <v>1493</v>
      </c>
      <c r="G13" s="24"/>
      <c r="H13" s="1118"/>
      <c r="K13" s="1251"/>
      <c r="L13" s="1251"/>
    </row>
    <row r="14" spans="1:12" ht="21.75" customHeight="1" x14ac:dyDescent="0.25">
      <c r="A14" s="24">
        <f t="shared" si="0"/>
        <v>7</v>
      </c>
      <c r="B14" s="25" t="s">
        <v>612</v>
      </c>
      <c r="C14" s="794">
        <f>+'Trial Balance'!C33</f>
        <v>232807.93000000002</v>
      </c>
      <c r="D14" s="794">
        <f>+'S3 - Transmission &amp; Power Prod'!E43</f>
        <v>84434.912519846868</v>
      </c>
      <c r="E14" s="794">
        <f t="shared" si="1"/>
        <v>317242.84251984686</v>
      </c>
      <c r="F14" s="24" t="s">
        <v>1490</v>
      </c>
      <c r="G14" s="24"/>
      <c r="H14" s="1118"/>
      <c r="K14" s="1251"/>
      <c r="L14" s="1251"/>
    </row>
    <row r="15" spans="1:12" ht="21.75" customHeight="1" x14ac:dyDescent="0.25">
      <c r="A15" s="24">
        <f t="shared" si="0"/>
        <v>8</v>
      </c>
      <c r="B15" s="26" t="s">
        <v>227</v>
      </c>
      <c r="C15" s="22">
        <f>SUM(C8:C14)</f>
        <v>17301083.300000001</v>
      </c>
      <c r="D15" s="22">
        <f>SUM(D8:D14)</f>
        <v>954011.8309087276</v>
      </c>
      <c r="E15" s="22">
        <f>SUM(E8:E14)</f>
        <v>18255095.130908728</v>
      </c>
      <c r="F15" s="40"/>
      <c r="G15" s="40"/>
      <c r="H15" s="1118"/>
      <c r="K15" s="1250"/>
      <c r="L15" s="21"/>
    </row>
    <row r="16" spans="1:12" ht="21.75" customHeight="1" x14ac:dyDescent="0.25">
      <c r="A16" s="24">
        <f t="shared" si="0"/>
        <v>9</v>
      </c>
      <c r="B16" s="26"/>
      <c r="C16" s="201"/>
      <c r="D16" s="26"/>
      <c r="E16" s="21"/>
      <c r="F16" s="24"/>
      <c r="G16" s="24"/>
      <c r="H16" s="1118"/>
      <c r="K16" s="1251"/>
      <c r="L16" s="1251"/>
    </row>
    <row r="17" spans="1:13" ht="21.75" customHeight="1" x14ac:dyDescent="0.25">
      <c r="A17" s="24">
        <f t="shared" si="0"/>
        <v>10</v>
      </c>
      <c r="B17" s="26" t="s">
        <v>228</v>
      </c>
      <c r="C17" s="22">
        <f>+'Trial Balance'!C198</f>
        <v>2444574.46</v>
      </c>
      <c r="D17" s="22">
        <f>+'S8 - Depreciation'!D9</f>
        <v>1895.7800000002608</v>
      </c>
      <c r="E17" s="22">
        <f t="shared" ref="E17:E22" si="2">C17+D17</f>
        <v>2446470.2400000002</v>
      </c>
      <c r="F17" s="24" t="s">
        <v>1494</v>
      </c>
      <c r="G17" s="24"/>
      <c r="H17" s="1118"/>
      <c r="K17" s="1251"/>
      <c r="L17" s="1251"/>
      <c r="M17" s="1118"/>
    </row>
    <row r="18" spans="1:13" ht="21.75" customHeight="1" x14ac:dyDescent="0.25">
      <c r="A18" s="24">
        <f t="shared" si="0"/>
        <v>11</v>
      </c>
      <c r="B18" s="21" t="s">
        <v>252</v>
      </c>
      <c r="C18" s="22">
        <f>'Trial Balance'!C203</f>
        <v>85338.22</v>
      </c>
      <c r="D18" s="22">
        <f>-C18</f>
        <v>-85338.22</v>
      </c>
      <c r="E18" s="22">
        <f t="shared" si="2"/>
        <v>0</v>
      </c>
      <c r="F18" s="24" t="s">
        <v>1495</v>
      </c>
      <c r="G18" s="24"/>
      <c r="H18" s="1118"/>
      <c r="K18" s="1251"/>
      <c r="L18" s="1251"/>
      <c r="M18" s="1118"/>
    </row>
    <row r="19" spans="1:13" ht="21.75" customHeight="1" x14ac:dyDescent="0.25">
      <c r="A19" s="24">
        <f t="shared" si="0"/>
        <v>12</v>
      </c>
      <c r="B19" s="21" t="s">
        <v>229</v>
      </c>
      <c r="C19" s="22">
        <f>'Trial Balance'!C204</f>
        <v>103791.46</v>
      </c>
      <c r="D19" s="22">
        <f>-C19</f>
        <v>-103791.46</v>
      </c>
      <c r="E19" s="22">
        <f t="shared" si="2"/>
        <v>0</v>
      </c>
      <c r="F19" s="24" t="s">
        <v>1495</v>
      </c>
      <c r="G19" s="24"/>
      <c r="H19" s="1118"/>
      <c r="K19" s="1251"/>
      <c r="L19" s="1251"/>
      <c r="M19" s="1118"/>
    </row>
    <row r="20" spans="1:13" ht="21.75" customHeight="1" x14ac:dyDescent="0.25">
      <c r="A20" s="24">
        <f t="shared" si="0"/>
        <v>13</v>
      </c>
      <c r="B20" s="21" t="s">
        <v>200</v>
      </c>
      <c r="C20" s="22">
        <f>'Trial Balance'!C213</f>
        <v>1206298.6100000001</v>
      </c>
      <c r="D20" s="22">
        <f>+'S9 - Interest Exp'!D25</f>
        <v>-56817.420000000027</v>
      </c>
      <c r="E20" s="22">
        <f>C20+D20</f>
        <v>1149481.1900000002</v>
      </c>
      <c r="F20" s="24" t="s">
        <v>1496</v>
      </c>
      <c r="G20" s="24"/>
      <c r="H20" s="1118"/>
      <c r="K20" s="1250"/>
      <c r="L20" s="21"/>
      <c r="M20" s="1118"/>
    </row>
    <row r="21" spans="1:13" ht="21.75" customHeight="1" x14ac:dyDescent="0.25">
      <c r="A21" s="24">
        <f t="shared" si="0"/>
        <v>14</v>
      </c>
      <c r="B21" s="21" t="s">
        <v>230</v>
      </c>
      <c r="C21" s="22">
        <f>+'Trial Balance'!C219</f>
        <v>4405.8999999999996</v>
      </c>
      <c r="D21" s="22">
        <f>+'S9 - Interest Exp'!D29</f>
        <v>0</v>
      </c>
      <c r="E21" s="22">
        <f t="shared" si="2"/>
        <v>4405.8999999999996</v>
      </c>
      <c r="F21" s="24" t="s">
        <v>1496</v>
      </c>
      <c r="G21" s="24"/>
      <c r="H21" s="1118"/>
      <c r="K21" s="1251"/>
      <c r="L21" s="1251"/>
      <c r="M21" s="1118"/>
    </row>
    <row r="22" spans="1:13" ht="21.75" customHeight="1" x14ac:dyDescent="0.25">
      <c r="A22" s="24">
        <f t="shared" si="0"/>
        <v>15</v>
      </c>
      <c r="B22" s="21" t="s">
        <v>231</v>
      </c>
      <c r="C22" s="22">
        <f>'Trial Balance'!C227</f>
        <v>10123.85</v>
      </c>
      <c r="D22" s="22">
        <f>+'S11  - Other Revenues'!D55</f>
        <v>-10123.85</v>
      </c>
      <c r="E22" s="22">
        <f t="shared" si="2"/>
        <v>0</v>
      </c>
      <c r="F22" s="24" t="s">
        <v>1497</v>
      </c>
      <c r="G22" s="24"/>
      <c r="H22" s="1118"/>
      <c r="K22" s="1251"/>
      <c r="L22" s="1251"/>
      <c r="M22" s="1118"/>
    </row>
    <row r="23" spans="1:13" ht="21.75" customHeight="1" x14ac:dyDescent="0.25">
      <c r="A23" s="24">
        <f t="shared" si="0"/>
        <v>16</v>
      </c>
      <c r="B23" s="21" t="s">
        <v>232</v>
      </c>
      <c r="C23" s="22">
        <f>SUM(C15:C22)</f>
        <v>21155615.800000001</v>
      </c>
      <c r="D23" s="22">
        <f>SUM(D15:D22)</f>
        <v>699836.66090872791</v>
      </c>
      <c r="E23" s="22">
        <f>SUM(E15:E22)</f>
        <v>21855452.46090873</v>
      </c>
      <c r="F23" s="24"/>
      <c r="G23" s="24"/>
      <c r="H23" s="1118"/>
      <c r="K23" s="1251"/>
      <c r="L23" s="1251"/>
      <c r="M23" s="1118"/>
    </row>
    <row r="24" spans="1:13" ht="21.75" customHeight="1" x14ac:dyDescent="0.25">
      <c r="A24" s="24">
        <f t="shared" si="0"/>
        <v>17</v>
      </c>
      <c r="B24" s="21" t="s">
        <v>253</v>
      </c>
      <c r="C24" s="22">
        <f>'Trial Balance'!C237</f>
        <v>-1141319.73</v>
      </c>
      <c r="D24" s="22">
        <f>-'S10 - Int &amp; Div Income'!E12</f>
        <v>-27281.909999999916</v>
      </c>
      <c r="E24" s="22">
        <f t="shared" ref="E24:E29" si="3">C24+D24</f>
        <v>-1168601.6399999999</v>
      </c>
      <c r="F24" s="24" t="s">
        <v>1498</v>
      </c>
      <c r="G24" s="24"/>
      <c r="H24" s="1118"/>
      <c r="K24" s="1250"/>
      <c r="L24" s="21"/>
    </row>
    <row r="25" spans="1:13" ht="21.75" customHeight="1" x14ac:dyDescent="0.25">
      <c r="A25" s="24">
        <f t="shared" si="0"/>
        <v>18</v>
      </c>
      <c r="B25" s="21" t="s">
        <v>690</v>
      </c>
      <c r="C25" s="22">
        <f>+SUM('Trial Balance'!C11:C15)</f>
        <v>-2702158.08</v>
      </c>
      <c r="D25" s="22">
        <f>'S11  - Other Revenues'!D31</f>
        <v>-65798.379999999946</v>
      </c>
      <c r="E25" s="22">
        <f>C25+D25</f>
        <v>-2767956.46</v>
      </c>
      <c r="F25" s="24" t="s">
        <v>1497</v>
      </c>
      <c r="G25" s="24"/>
      <c r="H25" s="1118"/>
      <c r="K25" s="1251"/>
      <c r="L25" s="1251"/>
    </row>
    <row r="26" spans="1:13" ht="21.75" customHeight="1" x14ac:dyDescent="0.25">
      <c r="A26" s="24">
        <f t="shared" si="0"/>
        <v>19</v>
      </c>
      <c r="B26" s="21" t="s">
        <v>233</v>
      </c>
      <c r="C26" s="22">
        <f>'Trial Balance'!C264</f>
        <v>-53512.89</v>
      </c>
      <c r="D26" s="22">
        <f>-'S10 - Int &amp; Div Income'!E22</f>
        <v>0</v>
      </c>
      <c r="E26" s="22">
        <f t="shared" si="3"/>
        <v>-53512.89</v>
      </c>
      <c r="F26" s="24" t="s">
        <v>1498</v>
      </c>
      <c r="G26" s="24"/>
      <c r="H26" s="1118"/>
      <c r="K26" s="1251"/>
      <c r="L26" s="1251"/>
    </row>
    <row r="27" spans="1:13" ht="21.75" customHeight="1" x14ac:dyDescent="0.25">
      <c r="A27" s="24">
        <f t="shared" si="0"/>
        <v>20</v>
      </c>
      <c r="B27" s="21" t="s">
        <v>1118</v>
      </c>
      <c r="C27" s="22">
        <f>('Trial Balance'!C257)</f>
        <v>39552</v>
      </c>
      <c r="D27" s="22">
        <f>+'S11  - Other Revenues'!D38</f>
        <v>-39552</v>
      </c>
      <c r="E27" s="22">
        <f t="shared" si="3"/>
        <v>0</v>
      </c>
      <c r="F27" s="24" t="s">
        <v>1497</v>
      </c>
      <c r="G27" s="24"/>
      <c r="H27" s="1118"/>
      <c r="K27" s="1251"/>
      <c r="L27" s="1251"/>
    </row>
    <row r="28" spans="1:13" ht="21.75" customHeight="1" x14ac:dyDescent="0.25">
      <c r="A28" s="24">
        <f t="shared" si="0"/>
        <v>21</v>
      </c>
      <c r="B28" s="21" t="s">
        <v>707</v>
      </c>
      <c r="C28" s="22">
        <f>+'Trial Balance'!C251</f>
        <v>-14104.38</v>
      </c>
      <c r="D28" s="22">
        <f>+'S11  - Other Revenues'!D46</f>
        <v>9.4575828899562566</v>
      </c>
      <c r="E28" s="22">
        <f t="shared" si="3"/>
        <v>-14094.922417110043</v>
      </c>
      <c r="F28" s="24" t="s">
        <v>1497</v>
      </c>
      <c r="G28" s="24"/>
      <c r="H28" s="1118"/>
      <c r="K28" s="1251"/>
      <c r="L28" s="1251"/>
    </row>
    <row r="29" spans="1:13" ht="21.75" customHeight="1" x14ac:dyDescent="0.25">
      <c r="A29" s="24">
        <f t="shared" si="0"/>
        <v>22</v>
      </c>
      <c r="B29" s="20" t="s">
        <v>1119</v>
      </c>
      <c r="C29" s="794">
        <v>0</v>
      </c>
      <c r="D29" s="794">
        <f>+'S11  - Other Revenues'!D58</f>
        <v>0</v>
      </c>
      <c r="E29" s="794">
        <f t="shared" si="3"/>
        <v>0</v>
      </c>
      <c r="F29" s="24" t="s">
        <v>1497</v>
      </c>
      <c r="G29" s="24"/>
      <c r="H29" s="1118"/>
      <c r="K29" s="1251"/>
      <c r="L29" s="1251"/>
    </row>
    <row r="30" spans="1:13" ht="21.75" customHeight="1" x14ac:dyDescent="0.25">
      <c r="A30" s="24">
        <f t="shared" si="0"/>
        <v>23</v>
      </c>
      <c r="B30" s="21" t="s">
        <v>234</v>
      </c>
      <c r="C30" s="22">
        <f>SUM(C23:C29)</f>
        <v>17284072.720000003</v>
      </c>
      <c r="D30" s="22">
        <f>SUM(D23:D29)</f>
        <v>567213.82849161804</v>
      </c>
      <c r="E30" s="22">
        <f>SUM(E23:E29)</f>
        <v>17851286.548491616</v>
      </c>
      <c r="F30" s="24"/>
      <c r="G30" s="24"/>
      <c r="H30" s="1118"/>
      <c r="K30" s="1251"/>
      <c r="L30" s="1251"/>
    </row>
    <row r="31" spans="1:13" ht="21.75" customHeight="1" x14ac:dyDescent="0.25">
      <c r="A31" s="24">
        <f t="shared" si="0"/>
        <v>24</v>
      </c>
      <c r="B31" s="21" t="s">
        <v>1391</v>
      </c>
      <c r="C31" s="22"/>
      <c r="D31" s="22">
        <v>-235114</v>
      </c>
      <c r="E31" s="22">
        <f>+D31</f>
        <v>-235114</v>
      </c>
      <c r="F31" s="24" t="s">
        <v>1499</v>
      </c>
      <c r="G31" s="24"/>
      <c r="H31" s="1118"/>
      <c r="K31" s="1251"/>
      <c r="L31" s="1251"/>
    </row>
    <row r="32" spans="1:13" ht="21.75" customHeight="1" x14ac:dyDescent="0.25">
      <c r="A32" s="24">
        <f t="shared" si="0"/>
        <v>25</v>
      </c>
      <c r="B32" s="20" t="s">
        <v>235</v>
      </c>
      <c r="C32" s="794">
        <f>-SUM('Trial Balance'!C6:C10)</f>
        <v>17067642.5</v>
      </c>
      <c r="D32" s="794">
        <f>'S17 - Effect on Revenue'!Q60</f>
        <v>-10349.702019102871</v>
      </c>
      <c r="E32" s="794">
        <f>C32+D32+E31</f>
        <v>16822178.797980897</v>
      </c>
      <c r="F32" s="24" t="s">
        <v>1500</v>
      </c>
      <c r="G32" s="24"/>
      <c r="H32" s="1118"/>
      <c r="K32" s="1251"/>
      <c r="L32" s="1251"/>
    </row>
    <row r="33" spans="1:12" ht="21.75" customHeight="1" thickBot="1" x14ac:dyDescent="0.3">
      <c r="A33" s="24">
        <f t="shared" si="0"/>
        <v>26</v>
      </c>
      <c r="B33" s="21" t="s">
        <v>254</v>
      </c>
      <c r="C33" s="22">
        <f>C32-C30</f>
        <v>-216430.22000000253</v>
      </c>
      <c r="D33" s="22"/>
      <c r="E33" s="966">
        <f>E32-E30</f>
        <v>-1029107.7505107187</v>
      </c>
      <c r="F33" s="24"/>
      <c r="G33" s="24"/>
      <c r="H33" s="1119"/>
      <c r="K33" s="1251"/>
      <c r="L33" s="1251"/>
    </row>
    <row r="34" spans="1:12" ht="21.75" customHeight="1" thickBot="1" x14ac:dyDescent="0.3">
      <c r="A34" s="24">
        <f t="shared" si="0"/>
        <v>27</v>
      </c>
      <c r="B34" s="39" t="s">
        <v>125</v>
      </c>
      <c r="C34" s="795">
        <f>+C33</f>
        <v>-216430.22000000253</v>
      </c>
      <c r="D34" s="795">
        <f>+E34-C34</f>
        <v>1365911.4100000027</v>
      </c>
      <c r="E34" s="967">
        <f>+E36</f>
        <v>1149481.1900000002</v>
      </c>
      <c r="F34" s="24"/>
      <c r="G34" s="24"/>
      <c r="H34" s="1118"/>
      <c r="K34" s="1251"/>
      <c r="L34" s="1251"/>
    </row>
    <row r="35" spans="1:12" ht="21.75" customHeight="1" x14ac:dyDescent="0.25">
      <c r="A35" s="24">
        <f t="shared" si="0"/>
        <v>28</v>
      </c>
      <c r="B35" s="21"/>
      <c r="C35" s="199"/>
      <c r="D35" s="22"/>
      <c r="E35" s="22"/>
      <c r="F35" s="24"/>
      <c r="G35" s="24"/>
      <c r="H35" s="1118"/>
      <c r="K35" s="1251"/>
      <c r="L35" s="1251"/>
    </row>
    <row r="36" spans="1:12" ht="21.75" customHeight="1" x14ac:dyDescent="0.25">
      <c r="A36" s="24">
        <f t="shared" si="0"/>
        <v>29</v>
      </c>
      <c r="B36" s="1005" t="str">
        <f>CONCATENATE("TOTAL REQUIRED MARGIN  =  TIER "&amp;(K45))</f>
        <v>TOTAL REQUIRED MARGIN  =  TIER 2</v>
      </c>
      <c r="C36" s="794">
        <f>1.1*(C20)</f>
        <v>1326928.4710000001</v>
      </c>
      <c r="D36" s="794"/>
      <c r="E36" s="794">
        <f>1*(E20)</f>
        <v>1149481.1900000002</v>
      </c>
      <c r="F36" s="24" t="s">
        <v>1501</v>
      </c>
      <c r="G36" s="40"/>
      <c r="H36" s="1118"/>
      <c r="K36" s="1251"/>
      <c r="L36" s="1251"/>
    </row>
    <row r="37" spans="1:12" ht="21.75" customHeight="1" x14ac:dyDescent="0.25">
      <c r="A37" s="24">
        <f t="shared" si="0"/>
        <v>30</v>
      </c>
      <c r="B37" s="21"/>
      <c r="C37" s="22"/>
      <c r="D37" s="22"/>
      <c r="E37" s="22"/>
      <c r="F37" s="40"/>
      <c r="G37" s="40"/>
      <c r="H37" s="1118"/>
      <c r="K37" s="1251"/>
      <c r="L37" s="1251"/>
    </row>
    <row r="38" spans="1:12" ht="21.75" customHeight="1" x14ac:dyDescent="0.25">
      <c r="A38" s="24">
        <f t="shared" si="0"/>
        <v>31</v>
      </c>
      <c r="B38" s="21" t="s">
        <v>255</v>
      </c>
      <c r="C38" s="22">
        <f>+C36-C33</f>
        <v>1543358.6910000027</v>
      </c>
      <c r="D38" s="22">
        <f>+D30+D34</f>
        <v>1933125.2384916209</v>
      </c>
      <c r="E38" s="22">
        <f>+E36-E33</f>
        <v>2178588.9405107191</v>
      </c>
      <c r="F38" s="24"/>
      <c r="G38" s="24"/>
      <c r="H38" s="1118"/>
      <c r="K38" s="1251"/>
      <c r="L38" s="1251"/>
    </row>
    <row r="39" spans="1:12" ht="21.75" customHeight="1" x14ac:dyDescent="0.25">
      <c r="A39" s="24">
        <f t="shared" si="0"/>
        <v>32</v>
      </c>
      <c r="B39" s="21"/>
      <c r="C39" s="22"/>
      <c r="D39" s="22"/>
      <c r="E39" s="22"/>
      <c r="F39" s="24"/>
      <c r="G39" s="24"/>
      <c r="H39" s="1118"/>
      <c r="K39" s="1251"/>
      <c r="L39" s="1251"/>
    </row>
    <row r="40" spans="1:12" ht="21.75" customHeight="1" thickBot="1" x14ac:dyDescent="0.3">
      <c r="A40" s="24">
        <f t="shared" si="0"/>
        <v>33</v>
      </c>
      <c r="B40" s="23" t="s">
        <v>10</v>
      </c>
      <c r="C40" s="968"/>
      <c r="D40" s="968"/>
      <c r="E40" s="968">
        <f>+'S15 - Gross Rec &amp; Rev Tax'!E18</f>
        <v>209289.64073453908</v>
      </c>
      <c r="F40" s="24" t="s">
        <v>1502</v>
      </c>
      <c r="G40" s="24"/>
      <c r="H40" s="1118"/>
      <c r="K40" s="1250"/>
      <c r="L40" s="21"/>
    </row>
    <row r="41" spans="1:12" ht="21.75" customHeight="1" thickTop="1" x14ac:dyDescent="0.25">
      <c r="A41" s="24">
        <f t="shared" si="0"/>
        <v>34</v>
      </c>
      <c r="B41" s="21" t="s">
        <v>126</v>
      </c>
      <c r="C41" s="22">
        <f>+C38+C40</f>
        <v>1543358.6910000027</v>
      </c>
      <c r="D41" s="22"/>
      <c r="E41" s="22">
        <f>+E38+E40</f>
        <v>2387878.581245258</v>
      </c>
      <c r="F41" s="24"/>
      <c r="G41" s="24"/>
      <c r="H41" s="1118"/>
      <c r="K41" s="1250"/>
      <c r="L41" s="21"/>
    </row>
    <row r="42" spans="1:12" ht="21.75" customHeight="1" x14ac:dyDescent="0.25">
      <c r="A42" s="24">
        <f t="shared" si="0"/>
        <v>35</v>
      </c>
      <c r="B42" s="21" t="s">
        <v>146</v>
      </c>
      <c r="C42" s="970"/>
      <c r="D42" s="969"/>
      <c r="E42" s="970">
        <f>ROUND(+E41/E32,4)</f>
        <v>0.1419</v>
      </c>
      <c r="F42" s="41"/>
      <c r="G42" s="41"/>
      <c r="H42" s="1118"/>
      <c r="K42" s="1250"/>
      <c r="L42" s="21"/>
    </row>
    <row r="43" spans="1:12" x14ac:dyDescent="0.25">
      <c r="A43" s="21"/>
      <c r="B43" s="21"/>
      <c r="C43" s="21"/>
      <c r="D43" s="26"/>
      <c r="E43" s="21"/>
      <c r="F43" s="200"/>
      <c r="G43" s="24"/>
      <c r="H43" s="1118"/>
      <c r="K43" s="1250"/>
      <c r="L43" s="21"/>
    </row>
    <row r="44" spans="1:12" ht="15.6" x14ac:dyDescent="0.3">
      <c r="A44" s="21"/>
      <c r="B44" s="21"/>
      <c r="C44" s="21"/>
      <c r="D44" s="123"/>
      <c r="E44" s="667"/>
      <c r="F44" s="24"/>
      <c r="G44" s="24"/>
      <c r="K44" s="1250"/>
      <c r="L44" s="1251"/>
    </row>
    <row r="45" spans="1:12" ht="15.6" x14ac:dyDescent="0.3">
      <c r="A45" s="21"/>
      <c r="B45" s="124"/>
      <c r="C45" s="22"/>
      <c r="D45" s="124"/>
      <c r="E45" s="21"/>
      <c r="F45" s="24"/>
      <c r="G45" s="24"/>
      <c r="K45" s="1252">
        <v>2</v>
      </c>
      <c r="L45" s="1253"/>
    </row>
    <row r="46" spans="1:12" ht="15.6" x14ac:dyDescent="0.3">
      <c r="A46" s="21"/>
      <c r="B46" s="124"/>
      <c r="C46" s="22"/>
      <c r="D46" s="124"/>
      <c r="E46" s="21"/>
      <c r="F46" s="24"/>
      <c r="G46" s="24"/>
    </row>
    <row r="47" spans="1:12" ht="15.6" x14ac:dyDescent="0.3">
      <c r="A47" s="21"/>
      <c r="B47" s="124"/>
      <c r="C47" s="22"/>
      <c r="D47" s="124"/>
      <c r="E47" s="21"/>
      <c r="F47" s="24"/>
      <c r="G47" s="24"/>
    </row>
    <row r="48" spans="1:12" ht="15.6" x14ac:dyDescent="0.3">
      <c r="A48" s="21"/>
      <c r="B48" s="124"/>
      <c r="C48" s="22"/>
      <c r="D48" s="124"/>
      <c r="E48" s="21"/>
      <c r="F48" s="24"/>
      <c r="G48" s="24"/>
    </row>
    <row r="49" spans="1:7" x14ac:dyDescent="0.25">
      <c r="A49" s="3"/>
      <c r="F49" s="9"/>
      <c r="G49" s="9"/>
    </row>
    <row r="50" spans="1:7" x14ac:dyDescent="0.25">
      <c r="A50" s="10"/>
      <c r="D50" s="7"/>
    </row>
    <row r="51" spans="1:7" x14ac:dyDescent="0.25">
      <c r="E51" s="9"/>
    </row>
    <row r="54" spans="1:7" x14ac:dyDescent="0.25">
      <c r="A54" s="9"/>
      <c r="B54" s="9"/>
      <c r="C54" s="9"/>
      <c r="D54" s="9"/>
      <c r="E54" s="9"/>
      <c r="F54" s="9"/>
      <c r="G54" s="9"/>
    </row>
    <row r="55" spans="1:7" x14ac:dyDescent="0.25">
      <c r="A55" s="9"/>
      <c r="B55" s="9"/>
      <c r="C55" s="9"/>
      <c r="D55" s="9"/>
      <c r="E55" s="9"/>
      <c r="F55" s="9"/>
      <c r="G55" s="9"/>
    </row>
    <row r="56" spans="1:7" x14ac:dyDescent="0.25">
      <c r="A56" s="9"/>
      <c r="C56" s="7"/>
      <c r="D56" s="7"/>
      <c r="E56" s="7"/>
      <c r="F56" s="11"/>
      <c r="G56" s="11"/>
    </row>
    <row r="57" spans="1:7" x14ac:dyDescent="0.25">
      <c r="A57" s="9"/>
      <c r="C57" s="7"/>
      <c r="D57" s="7"/>
      <c r="E57" s="7"/>
      <c r="F57" s="9"/>
      <c r="G57" s="9"/>
    </row>
    <row r="58" spans="1:7" x14ac:dyDescent="0.25">
      <c r="A58" s="9"/>
      <c r="C58" s="7"/>
      <c r="D58" s="7"/>
      <c r="E58" s="7"/>
      <c r="F58" s="9"/>
      <c r="G58" s="9"/>
    </row>
    <row r="59" spans="1:7" x14ac:dyDescent="0.25">
      <c r="A59" s="11"/>
      <c r="B59" s="6"/>
      <c r="C59" s="15"/>
      <c r="D59" s="15"/>
      <c r="E59" s="15"/>
      <c r="F59" s="11"/>
      <c r="G59" s="11"/>
    </row>
    <row r="60" spans="1:7" x14ac:dyDescent="0.25">
      <c r="A60" s="9"/>
      <c r="C60" s="7"/>
      <c r="D60" s="7"/>
      <c r="E60" s="7"/>
      <c r="F60" s="9"/>
      <c r="G60" s="9"/>
    </row>
    <row r="61" spans="1:7" x14ac:dyDescent="0.25">
      <c r="A61" s="9"/>
      <c r="C61" s="7"/>
      <c r="D61" s="7"/>
      <c r="E61" s="7"/>
      <c r="F61" s="9"/>
      <c r="G61" s="9"/>
    </row>
    <row r="62" spans="1:7" x14ac:dyDescent="0.25">
      <c r="A62" s="9"/>
      <c r="C62" s="7"/>
      <c r="D62" s="7"/>
      <c r="E62" s="7"/>
      <c r="F62" s="9"/>
      <c r="G62" s="9"/>
    </row>
    <row r="63" spans="1:7" x14ac:dyDescent="0.25">
      <c r="A63" s="9"/>
      <c r="C63" s="7"/>
      <c r="D63" s="7"/>
      <c r="E63" s="7"/>
      <c r="F63" s="9"/>
      <c r="G63" s="9"/>
    </row>
    <row r="64" spans="1:7" x14ac:dyDescent="0.25">
      <c r="A64" s="9"/>
      <c r="C64" s="7"/>
      <c r="D64" s="7"/>
      <c r="E64" s="7"/>
      <c r="F64" s="9"/>
      <c r="G64" s="9"/>
    </row>
    <row r="65" spans="1:7" x14ac:dyDescent="0.25">
      <c r="A65" s="9"/>
      <c r="C65" s="7"/>
      <c r="D65" s="7"/>
      <c r="E65" s="7"/>
      <c r="F65" s="9"/>
      <c r="G65" s="9"/>
    </row>
    <row r="66" spans="1:7" x14ac:dyDescent="0.25">
      <c r="A66" s="9"/>
      <c r="C66" s="7"/>
      <c r="D66" s="7"/>
      <c r="E66" s="7"/>
      <c r="F66" s="9"/>
      <c r="G66" s="9"/>
    </row>
    <row r="67" spans="1:7" x14ac:dyDescent="0.25">
      <c r="A67" s="9"/>
      <c r="C67" s="7"/>
      <c r="D67" s="7"/>
      <c r="E67" s="7"/>
      <c r="F67" s="9"/>
      <c r="G67" s="9"/>
    </row>
    <row r="68" spans="1:7" x14ac:dyDescent="0.25">
      <c r="A68" s="9"/>
      <c r="F68" s="9"/>
      <c r="G68" s="9"/>
    </row>
    <row r="69" spans="1:7" x14ac:dyDescent="0.25">
      <c r="A69" s="9"/>
      <c r="C69" s="7"/>
      <c r="D69" s="7"/>
      <c r="E69" s="7"/>
      <c r="F69" s="9"/>
      <c r="G69" s="9"/>
    </row>
    <row r="70" spans="1:7" x14ac:dyDescent="0.25">
      <c r="A70" s="9"/>
      <c r="B70" s="6"/>
      <c r="C70" s="7"/>
      <c r="D70" s="7"/>
      <c r="E70" s="7"/>
      <c r="F70" s="9"/>
      <c r="G70" s="9"/>
    </row>
    <row r="71" spans="1:7" x14ac:dyDescent="0.25">
      <c r="A71" s="9"/>
      <c r="F71" s="9"/>
      <c r="G71" s="9"/>
    </row>
    <row r="72" spans="1:7" x14ac:dyDescent="0.25">
      <c r="A72" s="9"/>
      <c r="C72" s="7"/>
      <c r="D72" s="7"/>
      <c r="E72" s="7"/>
      <c r="F72" s="9"/>
      <c r="G72" s="9"/>
    </row>
    <row r="73" spans="1:7" x14ac:dyDescent="0.25">
      <c r="A73" s="9"/>
      <c r="C73" s="7"/>
      <c r="D73" s="7"/>
      <c r="E73" s="7"/>
      <c r="F73" s="9"/>
      <c r="G73" s="9"/>
    </row>
    <row r="74" spans="1:7" x14ac:dyDescent="0.25">
      <c r="A74" s="9"/>
      <c r="C74" s="7"/>
      <c r="D74" s="7"/>
      <c r="E74" s="7"/>
      <c r="F74" s="9"/>
      <c r="G74" s="9"/>
    </row>
    <row r="75" spans="1:7" x14ac:dyDescent="0.25">
      <c r="A75" s="9"/>
      <c r="C75" s="7"/>
      <c r="D75" s="7"/>
      <c r="F75" s="9"/>
      <c r="G75" s="9"/>
    </row>
    <row r="76" spans="1:7" x14ac:dyDescent="0.25">
      <c r="A76" s="9"/>
      <c r="C76" s="7"/>
      <c r="D76" s="7"/>
      <c r="E76" s="7"/>
      <c r="F76" s="9"/>
      <c r="G76" s="9"/>
    </row>
    <row r="77" spans="1:7" x14ac:dyDescent="0.25">
      <c r="A77" s="9"/>
      <c r="C77" s="7"/>
      <c r="D77" s="7"/>
      <c r="E77" s="7"/>
      <c r="F77" s="9"/>
      <c r="G77" s="9"/>
    </row>
    <row r="78" spans="1:7" x14ac:dyDescent="0.25">
      <c r="A78" s="9"/>
      <c r="B78" s="6"/>
      <c r="C78" s="6"/>
      <c r="D78" s="6"/>
      <c r="E78" s="6"/>
      <c r="F78" s="11"/>
      <c r="G78" s="11"/>
    </row>
    <row r="79" spans="1:7" x14ac:dyDescent="0.25">
      <c r="A79" s="9"/>
      <c r="C79" s="7"/>
      <c r="D79" s="7"/>
      <c r="E79" s="7"/>
      <c r="F79" s="9"/>
      <c r="G79" s="9"/>
    </row>
    <row r="80" spans="1:7" x14ac:dyDescent="0.25">
      <c r="A80" s="9"/>
      <c r="B80" s="6"/>
      <c r="C80" s="12"/>
      <c r="D80" s="12"/>
      <c r="E80" s="12"/>
      <c r="F80" s="11"/>
      <c r="G80" s="11"/>
    </row>
    <row r="81" spans="1:7" x14ac:dyDescent="0.25">
      <c r="A81" s="9"/>
      <c r="C81" s="7"/>
      <c r="D81" s="7"/>
      <c r="E81" s="7"/>
      <c r="F81" s="9"/>
      <c r="G81" s="9"/>
    </row>
    <row r="82" spans="1:7" x14ac:dyDescent="0.25">
      <c r="A82" s="9"/>
      <c r="C82" s="7"/>
      <c r="D82" s="7"/>
      <c r="E82" s="7"/>
      <c r="F82" s="9"/>
      <c r="G82" s="9"/>
    </row>
    <row r="83" spans="1:7" x14ac:dyDescent="0.25">
      <c r="A83" s="11"/>
      <c r="C83" s="7"/>
      <c r="D83" s="7"/>
      <c r="E83" s="7"/>
      <c r="F83" s="11"/>
      <c r="G83" s="11"/>
    </row>
    <row r="84" spans="1:7" x14ac:dyDescent="0.25">
      <c r="A84" s="9"/>
      <c r="C84" s="12"/>
      <c r="D84" s="12"/>
      <c r="E84" s="12"/>
      <c r="F84" s="9"/>
      <c r="G84" s="9"/>
    </row>
    <row r="85" spans="1:7" x14ac:dyDescent="0.25">
      <c r="A85" s="9"/>
      <c r="C85" s="12"/>
      <c r="D85" s="7"/>
      <c r="E85" s="7"/>
      <c r="F85" s="9"/>
      <c r="G85" s="9"/>
    </row>
    <row r="86" spans="1:7" x14ac:dyDescent="0.25">
      <c r="A86" s="9"/>
      <c r="F86" s="9">
        <v>13</v>
      </c>
      <c r="G86" s="9"/>
    </row>
    <row r="87" spans="1:7" x14ac:dyDescent="0.25">
      <c r="A87" s="9"/>
      <c r="C87" s="7"/>
      <c r="E87" s="7"/>
      <c r="F87" s="9"/>
      <c r="G87" s="9"/>
    </row>
    <row r="88" spans="1:7" x14ac:dyDescent="0.25">
      <c r="A88" s="9"/>
      <c r="C88" s="7"/>
      <c r="E88" s="7"/>
      <c r="F88" s="9"/>
      <c r="G88" s="9"/>
    </row>
    <row r="89" spans="1:7" x14ac:dyDescent="0.25">
      <c r="A89" s="9"/>
      <c r="C89" s="7"/>
      <c r="E89" s="7"/>
      <c r="F89" s="9"/>
      <c r="G89" s="9"/>
    </row>
    <row r="90" spans="1:7" x14ac:dyDescent="0.25">
      <c r="C90" s="16"/>
      <c r="D90" s="13"/>
      <c r="E90" s="16"/>
      <c r="F90" s="9"/>
      <c r="G90" s="9"/>
    </row>
  </sheetData>
  <mergeCells count="1">
    <mergeCell ref="C5:F5"/>
  </mergeCells>
  <phoneticPr fontId="12" type="noConversion"/>
  <pageMargins left="0.81" right="0.26" top="0.28999999999999998" bottom="0.61" header="0.17" footer="0.28000000000000003"/>
  <pageSetup scale="66" orientation="portrait" r:id="rId1"/>
  <headerFooter alignWithMargins="0">
    <oddHeader>&amp;R&amp;A</oddHeader>
    <oddFooter>&amp;L&amp;8&amp;Z&amp;F&amp;A&amp;R&amp;8&amp;T &amp;D</oddFooter>
  </headerFooter>
  <ignoredErrors>
    <ignoredError sqref="C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62"/>
  <sheetViews>
    <sheetView zoomScaleNormal="100" workbookViewId="0">
      <selection activeCell="E15" sqref="E15"/>
    </sheetView>
  </sheetViews>
  <sheetFormatPr defaultColWidth="11.08984375" defaultRowHeight="13.2" x14ac:dyDescent="0.25"/>
  <cols>
    <col min="1" max="1" width="38.1796875" style="64" customWidth="1"/>
    <col min="2" max="2" width="16.6328125" style="64" customWidth="1"/>
    <col min="3" max="3" width="8" style="64" customWidth="1"/>
    <col min="4" max="4" width="10.453125" style="64" bestFit="1" customWidth="1"/>
    <col min="5" max="6" width="11.08984375" style="64" customWidth="1"/>
    <col min="7" max="7" width="2.453125" style="64" customWidth="1"/>
    <col min="8" max="16384" width="11.08984375" style="64"/>
  </cols>
  <sheetData>
    <row r="1" spans="1:8" x14ac:dyDescent="0.25">
      <c r="A1" s="62" t="s">
        <v>747</v>
      </c>
    </row>
    <row r="2" spans="1:8" ht="15.6" x14ac:dyDescent="0.25">
      <c r="A2" s="64" t="s">
        <v>718</v>
      </c>
      <c r="B2" s="412"/>
      <c r="C2" s="309"/>
    </row>
    <row r="3" spans="1:8" x14ac:dyDescent="0.25">
      <c r="A3" s="309" t="s">
        <v>719</v>
      </c>
      <c r="B3" s="309"/>
      <c r="C3" s="309"/>
    </row>
    <row r="5" spans="1:8" x14ac:dyDescent="0.25">
      <c r="A5" s="373"/>
      <c r="B5" s="373"/>
      <c r="C5" s="373"/>
      <c r="D5" s="373"/>
      <c r="E5" s="373"/>
      <c r="F5" s="373"/>
      <c r="G5" s="184"/>
    </row>
    <row r="6" spans="1:8" x14ac:dyDescent="0.25">
      <c r="B6" s="372" t="s">
        <v>731</v>
      </c>
      <c r="C6" s="372" t="s">
        <v>739</v>
      </c>
      <c r="D6" s="372" t="s">
        <v>733</v>
      </c>
    </row>
    <row r="7" spans="1:8" x14ac:dyDescent="0.25">
      <c r="A7" s="182"/>
      <c r="B7" s="374" t="s">
        <v>732</v>
      </c>
      <c r="C7" s="374" t="s">
        <v>732</v>
      </c>
      <c r="D7" s="374" t="s">
        <v>734</v>
      </c>
      <c r="F7" s="181"/>
      <c r="H7" s="182"/>
    </row>
    <row r="8" spans="1:8" x14ac:dyDescent="0.25">
      <c r="A8" s="369" t="s">
        <v>720</v>
      </c>
      <c r="B8" s="47"/>
      <c r="C8" s="47"/>
      <c r="D8" s="47"/>
      <c r="F8" s="185"/>
      <c r="G8" s="185"/>
    </row>
    <row r="9" spans="1:8" x14ac:dyDescent="0.25">
      <c r="F9" s="185"/>
      <c r="G9" s="185"/>
    </row>
    <row r="10" spans="1:8" x14ac:dyDescent="0.25">
      <c r="A10" s="64" t="s">
        <v>1316</v>
      </c>
      <c r="B10" s="812">
        <f>+'S1-Revenue Requirement'!D8</f>
        <v>703615.66000000015</v>
      </c>
      <c r="C10" s="1000">
        <f t="shared" ref="C10:C16" si="0">+B10/($B$32+$B$35)</f>
        <v>0.29466140595518497</v>
      </c>
      <c r="D10" s="488">
        <f t="shared" ref="D10:D16" si="1">+$B$38*C10</f>
        <v>4.1826666358132661E-2</v>
      </c>
      <c r="F10" s="185"/>
      <c r="G10" s="185"/>
    </row>
    <row r="11" spans="1:8" x14ac:dyDescent="0.25">
      <c r="A11" s="64" t="s">
        <v>1315</v>
      </c>
      <c r="B11" s="812">
        <f>+'S1-Revenue Requirement'!D14</f>
        <v>84434.912519846868</v>
      </c>
      <c r="C11" s="1000">
        <f t="shared" si="0"/>
        <v>3.5359801450128507E-2</v>
      </c>
      <c r="D11" s="488">
        <f t="shared" si="1"/>
        <v>5.019261389017057E-3</v>
      </c>
      <c r="F11" s="185"/>
      <c r="G11" s="185"/>
    </row>
    <row r="12" spans="1:8" x14ac:dyDescent="0.25">
      <c r="A12" s="64" t="s">
        <v>721</v>
      </c>
      <c r="B12" s="812">
        <f>SUM('S1-Revenue Requirement'!D9:D13)</f>
        <v>165961.25838888052</v>
      </c>
      <c r="C12" s="1000">
        <f t="shared" si="0"/>
        <v>6.9501548232964658E-2</v>
      </c>
      <c r="D12" s="488">
        <f t="shared" si="1"/>
        <v>9.8656220684564498E-3</v>
      </c>
      <c r="F12" s="881"/>
      <c r="G12" s="881"/>
      <c r="H12" s="309"/>
    </row>
    <row r="13" spans="1:8" x14ac:dyDescent="0.25">
      <c r="A13" s="64" t="s">
        <v>722</v>
      </c>
      <c r="B13" s="812">
        <f>+'S1-Revenue Requirement'!D17</f>
        <v>1895.7800000002608</v>
      </c>
      <c r="C13" s="1000">
        <f t="shared" si="0"/>
        <v>7.9391808900586053E-4</v>
      </c>
      <c r="D13" s="488">
        <f t="shared" si="1"/>
        <v>1.1269527109222048E-4</v>
      </c>
      <c r="F13" s="185"/>
      <c r="G13" s="185"/>
    </row>
    <row r="14" spans="1:8" x14ac:dyDescent="0.25">
      <c r="A14" s="64" t="s">
        <v>738</v>
      </c>
      <c r="B14" s="812">
        <f>+'S1-Revenue Requirement'!D18+'S1-Revenue Requirement'!D19+'S1-Revenue Requirement'!E40</f>
        <v>20159.960734539083</v>
      </c>
      <c r="C14" s="1000">
        <f t="shared" si="0"/>
        <v>8.4426238808280769E-3</v>
      </c>
      <c r="D14" s="488">
        <f t="shared" si="1"/>
        <v>1.198415554646156E-3</v>
      </c>
      <c r="F14" s="185"/>
      <c r="G14" s="186"/>
    </row>
    <row r="15" spans="1:8" x14ac:dyDescent="0.25">
      <c r="A15" s="64" t="s">
        <v>723</v>
      </c>
      <c r="B15" s="812">
        <f>+'S1-Revenue Requirement'!D20</f>
        <v>-56817.420000000027</v>
      </c>
      <c r="C15" s="1000">
        <f t="shared" si="0"/>
        <v>-2.3794099267128666E-2</v>
      </c>
      <c r="D15" s="488">
        <f t="shared" si="1"/>
        <v>-3.377530383092802E-3</v>
      </c>
      <c r="F15" s="185"/>
      <c r="G15" s="185"/>
    </row>
    <row r="16" spans="1:8" x14ac:dyDescent="0.25">
      <c r="A16" s="64" t="s">
        <v>736</v>
      </c>
      <c r="B16" s="812">
        <f>+'S1-Revenue Requirement'!D22</f>
        <v>-10123.85</v>
      </c>
      <c r="C16" s="1000">
        <f t="shared" si="0"/>
        <v>-4.2396837425127789E-3</v>
      </c>
      <c r="D16" s="488">
        <f t="shared" si="1"/>
        <v>-6.0181562219604567E-4</v>
      </c>
      <c r="F16" s="185"/>
      <c r="G16" s="185"/>
    </row>
    <row r="17" spans="1:11" x14ac:dyDescent="0.25">
      <c r="B17" s="309"/>
      <c r="C17" s="186"/>
      <c r="F17" s="185"/>
      <c r="G17" s="185"/>
    </row>
    <row r="18" spans="1:11" x14ac:dyDescent="0.25">
      <c r="A18" s="370" t="s">
        <v>724</v>
      </c>
      <c r="B18" s="140"/>
      <c r="C18" s="1001"/>
      <c r="D18" s="194"/>
      <c r="E18" s="194"/>
      <c r="F18" s="185"/>
      <c r="G18" s="364"/>
      <c r="H18" s="194"/>
      <c r="I18" s="194"/>
      <c r="J18" s="194"/>
      <c r="K18" s="194"/>
    </row>
    <row r="19" spans="1:11" x14ac:dyDescent="0.25">
      <c r="A19" s="194"/>
      <c r="B19" s="140"/>
      <c r="C19" s="1001"/>
      <c r="D19" s="194"/>
      <c r="E19" s="194"/>
      <c r="F19" s="185"/>
      <c r="G19" s="194"/>
      <c r="H19" s="194"/>
      <c r="I19" s="194"/>
      <c r="J19" s="194"/>
      <c r="K19" s="194"/>
    </row>
    <row r="20" spans="1:11" x14ac:dyDescent="0.25">
      <c r="A20" s="194" t="s">
        <v>725</v>
      </c>
      <c r="B20" s="1002">
        <f>-'S1-Revenue Requirement'!D24</f>
        <v>27281.909999999916</v>
      </c>
      <c r="C20" s="1000">
        <f t="shared" ref="C20:C27" si="2">-B20/($B$32+$B$35)</f>
        <v>-1.1425166343999215E-2</v>
      </c>
      <c r="D20" s="488">
        <f t="shared" ref="D20:D27" si="3">+$B$38*C20</f>
        <v>-1.6217821916905593E-3</v>
      </c>
      <c r="E20" s="194"/>
      <c r="F20" s="185"/>
      <c r="G20" s="194"/>
      <c r="H20" s="194"/>
      <c r="I20" s="194"/>
      <c r="J20" s="194"/>
      <c r="K20" s="194"/>
    </row>
    <row r="21" spans="1:11" x14ac:dyDescent="0.25">
      <c r="A21" s="194" t="s">
        <v>727</v>
      </c>
      <c r="B21" s="1003">
        <f>-'S1-Revenue Requirement'!D25</f>
        <v>65798.379999999946</v>
      </c>
      <c r="C21" s="1000">
        <f t="shared" si="2"/>
        <v>-2.7555161521523704E-2</v>
      </c>
      <c r="D21" s="488">
        <f t="shared" si="3"/>
        <v>-3.9114065300445795E-3</v>
      </c>
      <c r="E21" s="187"/>
      <c r="F21" s="185"/>
      <c r="G21" s="187"/>
      <c r="H21" s="194"/>
      <c r="I21" s="194"/>
      <c r="J21" s="194"/>
      <c r="K21" s="194"/>
    </row>
    <row r="22" spans="1:11" x14ac:dyDescent="0.25">
      <c r="A22" s="194" t="s">
        <v>1317</v>
      </c>
      <c r="B22" s="1003">
        <f>-'S1-Revenue Requirement'!D26</f>
        <v>0</v>
      </c>
      <c r="C22" s="1000">
        <f t="shared" si="2"/>
        <v>0</v>
      </c>
      <c r="D22" s="488">
        <f t="shared" si="3"/>
        <v>0</v>
      </c>
      <c r="E22" s="187"/>
      <c r="F22" s="185"/>
      <c r="G22" s="187"/>
      <c r="H22" s="194"/>
      <c r="I22" s="194"/>
      <c r="J22" s="194"/>
      <c r="K22" s="194"/>
    </row>
    <row r="23" spans="1:11" x14ac:dyDescent="0.25">
      <c r="A23" s="194" t="s">
        <v>726</v>
      </c>
      <c r="B23" s="1003">
        <f>-'S1-Revenue Requirement'!D27</f>
        <v>39552</v>
      </c>
      <c r="C23" s="1000">
        <f t="shared" si="2"/>
        <v>-1.656365625566019E-2</v>
      </c>
      <c r="D23" s="488">
        <f t="shared" si="3"/>
        <v>-2.3511817627777966E-3</v>
      </c>
      <c r="E23" s="187"/>
      <c r="F23" s="185"/>
      <c r="G23" s="187"/>
      <c r="H23" s="194"/>
      <c r="I23" s="194"/>
      <c r="J23" s="194"/>
      <c r="K23" s="194"/>
    </row>
    <row r="24" spans="1:11" x14ac:dyDescent="0.25">
      <c r="A24" s="194" t="s">
        <v>737</v>
      </c>
      <c r="B24" s="1003">
        <f>-'S1-Revenue Requirement'!D28</f>
        <v>-9.4575828899562566</v>
      </c>
      <c r="C24" s="1000">
        <f t="shared" si="2"/>
        <v>3.9606632281211757E-6</v>
      </c>
      <c r="D24" s="488">
        <f t="shared" si="3"/>
        <v>5.6220915278176784E-7</v>
      </c>
      <c r="E24" s="187"/>
      <c r="F24" s="185"/>
      <c r="G24" s="187"/>
      <c r="H24" s="194"/>
      <c r="I24" s="194"/>
      <c r="J24" s="194"/>
      <c r="K24" s="194"/>
    </row>
    <row r="25" spans="1:11" x14ac:dyDescent="0.25">
      <c r="A25" s="194" t="s">
        <v>1139</v>
      </c>
      <c r="B25" s="1003">
        <f>+'S1-Revenue Requirement'!C29</f>
        <v>0</v>
      </c>
      <c r="C25" s="1000">
        <f t="shared" si="2"/>
        <v>0</v>
      </c>
      <c r="D25" s="488">
        <f t="shared" si="3"/>
        <v>0</v>
      </c>
      <c r="E25" s="187"/>
      <c r="F25" s="185"/>
      <c r="G25" s="187"/>
      <c r="H25" s="194"/>
      <c r="I25" s="194"/>
      <c r="J25" s="194"/>
      <c r="K25" s="194"/>
    </row>
    <row r="26" spans="1:11" x14ac:dyDescent="0.25">
      <c r="A26" s="194"/>
      <c r="B26" s="1003"/>
      <c r="C26" s="1000"/>
      <c r="D26" s="488"/>
      <c r="E26" s="187"/>
      <c r="F26" s="185"/>
      <c r="G26" s="187"/>
      <c r="H26" s="194"/>
      <c r="I26" s="194"/>
      <c r="J26" s="194"/>
      <c r="K26" s="194"/>
    </row>
    <row r="27" spans="1:11" x14ac:dyDescent="0.25">
      <c r="A27" s="194" t="s">
        <v>1478</v>
      </c>
      <c r="B27" s="1003">
        <f>+'S1-Revenue Requirement'!D32</f>
        <v>-10349.702019102871</v>
      </c>
      <c r="C27" s="1000">
        <f t="shared" si="2"/>
        <v>4.334266449052695E-3</v>
      </c>
      <c r="D27" s="488">
        <f t="shared" si="3"/>
        <v>6.1524147040602781E-4</v>
      </c>
      <c r="E27" s="187"/>
      <c r="F27" s="185"/>
      <c r="G27" s="187"/>
      <c r="H27" s="194"/>
      <c r="I27" s="194"/>
      <c r="J27" s="194"/>
      <c r="K27" s="194"/>
    </row>
    <row r="28" spans="1:11" x14ac:dyDescent="0.25">
      <c r="A28" s="194" t="s">
        <v>735</v>
      </c>
      <c r="B28" s="1003">
        <f>+'S1-Revenue Requirement'!D34</f>
        <v>1365911.4100000027</v>
      </c>
      <c r="C28" s="1000">
        <f>+B28/($B$32+$B$35)</f>
        <v>0.57201878718962829</v>
      </c>
      <c r="D28" s="488">
        <f>+$B$38*C28</f>
        <v>8.1197056956970881E-2</v>
      </c>
      <c r="E28" s="187"/>
      <c r="F28" s="185"/>
      <c r="G28" s="187"/>
      <c r="H28" s="194"/>
      <c r="I28" s="194"/>
      <c r="J28" s="194"/>
      <c r="K28" s="194"/>
    </row>
    <row r="29" spans="1:11" x14ac:dyDescent="0.25">
      <c r="A29" s="194" t="s">
        <v>1370</v>
      </c>
      <c r="B29" s="1003"/>
      <c r="C29" s="1000"/>
      <c r="D29" s="194"/>
      <c r="E29" s="187"/>
      <c r="F29" s="185"/>
      <c r="G29" s="187"/>
      <c r="H29" s="194"/>
      <c r="I29" s="194"/>
      <c r="J29" s="194"/>
      <c r="K29" s="194"/>
    </row>
    <row r="30" spans="1:11" x14ac:dyDescent="0.25">
      <c r="A30" s="140" t="s">
        <v>1392</v>
      </c>
      <c r="B30" s="1002">
        <f>+'S1-Revenue Requirement'!D31</f>
        <v>-235114</v>
      </c>
      <c r="C30" s="1000">
        <f>-B30/($B$32+$B$35)</f>
        <v>9.846145522080528E-2</v>
      </c>
      <c r="D30" s="488">
        <f>+$B$38*C30</f>
        <v>1.3976429737402379E-2</v>
      </c>
      <c r="E30" s="194"/>
      <c r="F30" s="185"/>
      <c r="G30" s="194"/>
      <c r="H30" s="194"/>
      <c r="I30" s="194"/>
      <c r="J30" s="194"/>
      <c r="K30" s="194"/>
    </row>
    <row r="31" spans="1:11" x14ac:dyDescent="0.25">
      <c r="A31" s="194"/>
      <c r="B31" s="194"/>
      <c r="C31" s="194"/>
      <c r="D31" s="194"/>
      <c r="E31" s="194"/>
      <c r="F31" s="185"/>
      <c r="G31" s="194"/>
      <c r="H31" s="194"/>
      <c r="I31" s="194"/>
      <c r="J31" s="194"/>
      <c r="K31" s="194"/>
    </row>
    <row r="32" spans="1:11" x14ac:dyDescent="0.25">
      <c r="A32" s="305" t="s">
        <v>728</v>
      </c>
      <c r="B32" s="1004">
        <f>+'S1-Revenue Requirement'!E41</f>
        <v>2387878.581245258</v>
      </c>
      <c r="C32" s="1001">
        <f>SUM(C10:C31)</f>
        <v>1.0000000000000018</v>
      </c>
      <c r="D32" s="1001">
        <f>SUM(D10:D31)</f>
        <v>0.14194823452547484</v>
      </c>
      <c r="E32" s="194"/>
      <c r="F32" s="185"/>
      <c r="G32" s="194"/>
      <c r="H32" s="194"/>
      <c r="I32" s="194"/>
      <c r="J32" s="194"/>
      <c r="K32" s="194"/>
    </row>
    <row r="33" spans="1:13" x14ac:dyDescent="0.25">
      <c r="A33" s="194"/>
      <c r="B33" s="194"/>
      <c r="C33" s="187"/>
      <c r="D33" s="371"/>
      <c r="E33" s="371"/>
      <c r="F33" s="194"/>
      <c r="G33" s="194"/>
      <c r="H33" s="194"/>
      <c r="I33" s="194"/>
      <c r="J33" s="194"/>
      <c r="K33" s="194"/>
    </row>
    <row r="34" spans="1:13" x14ac:dyDescent="0.25">
      <c r="A34" s="305" t="s">
        <v>729</v>
      </c>
      <c r="B34" s="1004">
        <f>+'S1-Revenue Requirement'!E32</f>
        <v>16822178.797980897</v>
      </c>
      <c r="C34" s="371"/>
      <c r="D34" s="371"/>
      <c r="E34" s="371"/>
      <c r="F34" s="194"/>
      <c r="G34" s="194"/>
      <c r="H34" s="194"/>
      <c r="I34" s="194"/>
      <c r="J34" s="194"/>
      <c r="K34" s="194"/>
    </row>
    <row r="35" spans="1:13" x14ac:dyDescent="0.25">
      <c r="A35" s="305"/>
      <c r="B35" s="1004"/>
      <c r="C35" s="371"/>
      <c r="D35" s="371"/>
      <c r="E35" s="371"/>
      <c r="F35" s="194"/>
      <c r="G35" s="194"/>
      <c r="H35" s="194"/>
      <c r="I35" s="194"/>
      <c r="J35" s="194"/>
      <c r="K35" s="194"/>
    </row>
    <row r="36" spans="1:13" x14ac:dyDescent="0.25">
      <c r="A36" s="305"/>
      <c r="B36" s="1004"/>
      <c r="C36" s="371"/>
      <c r="D36" s="371"/>
      <c r="E36" s="371"/>
      <c r="F36" s="194"/>
      <c r="G36" s="194"/>
      <c r="H36" s="194"/>
      <c r="I36" s="194"/>
      <c r="J36" s="194"/>
      <c r="K36" s="194"/>
    </row>
    <row r="37" spans="1:13" x14ac:dyDescent="0.25">
      <c r="A37" s="305"/>
      <c r="B37" s="1004"/>
      <c r="C37" s="371"/>
      <c r="D37" s="371"/>
      <c r="E37" s="371"/>
      <c r="F37" s="194"/>
      <c r="G37" s="194"/>
      <c r="H37" s="194"/>
      <c r="I37" s="194"/>
      <c r="J37" s="194"/>
      <c r="K37" s="194"/>
    </row>
    <row r="38" spans="1:13" x14ac:dyDescent="0.25">
      <c r="A38" s="305" t="s">
        <v>730</v>
      </c>
      <c r="B38" s="488">
        <f>+B32/B34</f>
        <v>0.14194823452547456</v>
      </c>
      <c r="C38" s="371"/>
      <c r="D38" s="371"/>
      <c r="E38" s="371"/>
      <c r="F38" s="194"/>
      <c r="G38" s="194"/>
      <c r="H38" s="194"/>
      <c r="I38" s="194"/>
      <c r="J38" s="194"/>
      <c r="K38" s="194"/>
    </row>
    <row r="39" spans="1:13" x14ac:dyDescent="0.25">
      <c r="A39" s="194"/>
      <c r="B39" s="367"/>
      <c r="C39" s="367"/>
      <c r="D39" s="367"/>
      <c r="E39" s="194"/>
      <c r="F39" s="194"/>
      <c r="G39" s="194"/>
      <c r="H39" s="194"/>
      <c r="I39" s="194"/>
      <c r="J39" s="194"/>
      <c r="K39" s="194"/>
    </row>
    <row r="40" spans="1:13" x14ac:dyDescent="0.25">
      <c r="A40" s="194"/>
      <c r="B40" s="367"/>
      <c r="C40" s="367"/>
      <c r="D40" s="367"/>
      <c r="E40" s="194"/>
      <c r="F40" s="194"/>
      <c r="G40" s="194"/>
      <c r="H40" s="194"/>
      <c r="I40" s="194"/>
      <c r="J40" s="194"/>
      <c r="K40" s="194"/>
    </row>
    <row r="41" spans="1:13" x14ac:dyDescent="0.25">
      <c r="A41" s="194"/>
      <c r="B41" s="367"/>
      <c r="C41" s="367"/>
      <c r="D41" s="367"/>
      <c r="E41" s="194"/>
      <c r="F41" s="194"/>
      <c r="G41" s="194"/>
      <c r="H41" s="194"/>
      <c r="I41" s="194"/>
      <c r="J41" s="194"/>
      <c r="K41" s="194"/>
    </row>
    <row r="42" spans="1:13" x14ac:dyDescent="0.25">
      <c r="A42" s="194"/>
      <c r="B42" s="194"/>
      <c r="C42" s="194"/>
      <c r="D42" s="1281"/>
      <c r="E42" s="1281"/>
      <c r="F42" s="194"/>
      <c r="G42" s="194"/>
      <c r="H42" s="194"/>
      <c r="I42" s="194"/>
      <c r="J42" s="194"/>
      <c r="K42" s="194"/>
    </row>
    <row r="43" spans="1:13" x14ac:dyDescent="0.25">
      <c r="A43" s="194"/>
      <c r="B43" s="194"/>
      <c r="C43" s="194"/>
      <c r="D43" s="1281"/>
      <c r="E43" s="1281"/>
      <c r="F43" s="194"/>
      <c r="G43" s="194"/>
      <c r="H43" s="194"/>
      <c r="I43" s="194"/>
      <c r="J43" s="194"/>
      <c r="K43" s="194"/>
    </row>
    <row r="44" spans="1:13" x14ac:dyDescent="0.25">
      <c r="A44" s="194"/>
      <c r="B44" s="194"/>
      <c r="C44" s="194"/>
      <c r="D44" s="1281"/>
      <c r="E44" s="1281"/>
      <c r="F44" s="194"/>
      <c r="G44" s="194"/>
      <c r="H44" s="194"/>
      <c r="I44" s="194"/>
      <c r="J44" s="194"/>
      <c r="K44" s="194"/>
    </row>
    <row r="45" spans="1:13" x14ac:dyDescent="0.25">
      <c r="A45" s="194"/>
      <c r="B45" s="194"/>
      <c r="C45" s="194"/>
      <c r="D45" s="1281"/>
      <c r="E45" s="1281"/>
      <c r="F45" s="194"/>
      <c r="G45" s="194"/>
      <c r="H45" s="194"/>
      <c r="I45" s="194"/>
      <c r="J45" s="194"/>
      <c r="K45" s="194"/>
    </row>
    <row r="46" spans="1:13" x14ac:dyDescent="0.25">
      <c r="A46" s="194"/>
      <c r="B46" s="194"/>
      <c r="C46" s="194"/>
      <c r="D46" s="194"/>
      <c r="E46" s="194"/>
      <c r="F46" s="194"/>
      <c r="G46" s="194"/>
      <c r="H46" s="194"/>
      <c r="I46" s="194"/>
      <c r="J46" s="194"/>
      <c r="K46" s="194"/>
    </row>
    <row r="47" spans="1:13" x14ac:dyDescent="0.25">
      <c r="A47" s="1280"/>
      <c r="B47" s="1280"/>
      <c r="C47" s="1280"/>
      <c r="D47" s="1280"/>
      <c r="E47" s="1280"/>
      <c r="F47" s="1280"/>
      <c r="G47" s="365"/>
      <c r="H47" s="1280"/>
      <c r="I47" s="1280"/>
      <c r="J47" s="1280"/>
      <c r="K47" s="1280"/>
      <c r="L47" s="184"/>
      <c r="M47" s="184"/>
    </row>
    <row r="48" spans="1:13" x14ac:dyDescent="0.25">
      <c r="A48" s="194"/>
      <c r="B48" s="194"/>
      <c r="C48" s="194"/>
      <c r="D48" s="194"/>
      <c r="E48" s="194"/>
      <c r="F48" s="194"/>
      <c r="G48" s="194"/>
      <c r="H48" s="194"/>
      <c r="I48" s="194"/>
      <c r="J48" s="194"/>
      <c r="K48" s="194"/>
    </row>
    <row r="49" spans="1:11" x14ac:dyDescent="0.25">
      <c r="A49" s="366"/>
      <c r="B49" s="194"/>
      <c r="C49" s="194"/>
      <c r="D49" s="196"/>
      <c r="E49" s="196"/>
      <c r="F49" s="196"/>
      <c r="G49" s="194"/>
      <c r="H49" s="196"/>
      <c r="I49" s="196"/>
      <c r="J49" s="196"/>
      <c r="K49" s="194"/>
    </row>
    <row r="50" spans="1:11" x14ac:dyDescent="0.25">
      <c r="A50" s="194"/>
      <c r="B50" s="194"/>
      <c r="C50" s="194"/>
      <c r="D50" s="194"/>
      <c r="E50" s="194"/>
      <c r="F50" s="194"/>
      <c r="G50" s="194"/>
      <c r="H50" s="194"/>
      <c r="I50" s="194"/>
      <c r="J50" s="194"/>
      <c r="K50" s="194"/>
    </row>
    <row r="51" spans="1:11" x14ac:dyDescent="0.25">
      <c r="A51" s="194"/>
      <c r="B51" s="194"/>
      <c r="C51" s="194"/>
      <c r="D51" s="360"/>
      <c r="E51" s="360"/>
      <c r="F51" s="362"/>
      <c r="G51" s="367"/>
      <c r="H51" s="360"/>
      <c r="I51" s="360"/>
      <c r="J51" s="362"/>
      <c r="K51" s="194"/>
    </row>
    <row r="52" spans="1:11" x14ac:dyDescent="0.25">
      <c r="A52" s="194"/>
      <c r="B52" s="194"/>
      <c r="C52" s="194"/>
      <c r="D52" s="361"/>
      <c r="E52" s="361"/>
      <c r="F52" s="361"/>
      <c r="G52" s="367"/>
      <c r="H52" s="361"/>
      <c r="I52" s="361"/>
      <c r="J52" s="361"/>
      <c r="K52" s="194"/>
    </row>
    <row r="53" spans="1:11" x14ac:dyDescent="0.25">
      <c r="A53" s="194"/>
      <c r="B53" s="194"/>
      <c r="C53" s="194"/>
      <c r="D53" s="363"/>
      <c r="E53" s="360"/>
      <c r="F53" s="362"/>
      <c r="G53" s="367"/>
      <c r="H53" s="363"/>
      <c r="I53" s="360"/>
      <c r="J53" s="362"/>
      <c r="K53" s="194"/>
    </row>
    <row r="54" spans="1:11" x14ac:dyDescent="0.25">
      <c r="A54" s="194"/>
      <c r="B54" s="194"/>
      <c r="C54" s="194"/>
      <c r="D54" s="361"/>
      <c r="E54" s="361"/>
      <c r="F54" s="361"/>
      <c r="G54" s="367"/>
      <c r="H54" s="361"/>
      <c r="I54" s="361"/>
      <c r="J54" s="361"/>
      <c r="K54" s="194"/>
    </row>
    <row r="55" spans="1:11" x14ac:dyDescent="0.25">
      <c r="A55" s="194"/>
      <c r="B55" s="194"/>
      <c r="C55" s="194"/>
      <c r="D55" s="362"/>
      <c r="E55" s="362"/>
      <c r="F55" s="361"/>
      <c r="G55" s="367"/>
      <c r="H55" s="362"/>
      <c r="I55" s="362"/>
      <c r="J55" s="361"/>
      <c r="K55" s="194"/>
    </row>
    <row r="56" spans="1:11" x14ac:dyDescent="0.25">
      <c r="A56" s="194"/>
      <c r="B56" s="194"/>
      <c r="C56" s="194"/>
      <c r="D56" s="361"/>
      <c r="E56" s="361"/>
      <c r="F56" s="361"/>
      <c r="G56" s="367"/>
      <c r="H56" s="361"/>
      <c r="I56" s="361"/>
      <c r="J56" s="361"/>
      <c r="K56" s="194"/>
    </row>
    <row r="57" spans="1:11" x14ac:dyDescent="0.25">
      <c r="A57" s="194"/>
      <c r="B57" s="194"/>
      <c r="C57" s="194"/>
      <c r="D57" s="360"/>
      <c r="E57" s="361"/>
      <c r="F57" s="361"/>
      <c r="G57" s="367"/>
      <c r="H57" s="363"/>
      <c r="I57" s="361"/>
      <c r="J57" s="361"/>
      <c r="K57" s="194"/>
    </row>
    <row r="58" spans="1:11" x14ac:dyDescent="0.25">
      <c r="A58" s="194"/>
      <c r="B58" s="194"/>
      <c r="C58" s="194"/>
      <c r="D58" s="361"/>
      <c r="E58" s="361"/>
      <c r="F58" s="361"/>
      <c r="G58" s="367"/>
      <c r="H58" s="361"/>
      <c r="I58" s="361"/>
      <c r="J58" s="361"/>
      <c r="K58" s="194"/>
    </row>
    <row r="59" spans="1:11" x14ac:dyDescent="0.25">
      <c r="A59" s="194"/>
      <c r="B59" s="194"/>
      <c r="C59" s="194"/>
      <c r="D59" s="368"/>
      <c r="E59" s="361"/>
      <c r="F59" s="361"/>
      <c r="G59" s="367"/>
      <c r="H59" s="368"/>
      <c r="I59" s="361"/>
      <c r="J59" s="361"/>
      <c r="K59" s="194"/>
    </row>
    <row r="60" spans="1:11" x14ac:dyDescent="0.25">
      <c r="A60" s="194"/>
      <c r="B60" s="194"/>
      <c r="C60" s="194"/>
      <c r="D60" s="194"/>
      <c r="E60" s="194"/>
      <c r="F60" s="194"/>
      <c r="G60" s="194"/>
      <c r="H60" s="194"/>
      <c r="I60" s="194"/>
      <c r="J60" s="194"/>
      <c r="K60" s="194"/>
    </row>
    <row r="61" spans="1:11" x14ac:dyDescent="0.25">
      <c r="A61" s="194"/>
      <c r="B61" s="194"/>
      <c r="C61" s="194"/>
      <c r="D61" s="194"/>
      <c r="E61" s="194"/>
      <c r="F61" s="194"/>
      <c r="G61" s="194"/>
      <c r="H61" s="194"/>
      <c r="I61" s="194"/>
      <c r="J61" s="194"/>
      <c r="K61" s="194"/>
    </row>
    <row r="62" spans="1:11" x14ac:dyDescent="0.25">
      <c r="A62" s="194"/>
      <c r="B62" s="194"/>
      <c r="C62" s="194"/>
      <c r="D62" s="194"/>
      <c r="E62" s="194"/>
      <c r="F62" s="194"/>
      <c r="G62" s="194"/>
      <c r="H62" s="194"/>
      <c r="I62" s="194"/>
      <c r="J62" s="194"/>
      <c r="K62" s="194"/>
    </row>
  </sheetData>
  <mergeCells count="3">
    <mergeCell ref="H47:K47"/>
    <mergeCell ref="D42:E45"/>
    <mergeCell ref="A47:F47"/>
  </mergeCells>
  <pageMargins left="0.75" right="0.75" top="1" bottom="1" header="0.5" footer="0.5"/>
  <pageSetup scale="88" orientation="portrait" r:id="rId1"/>
  <headerFooter alignWithMargins="0">
    <oddHeader>&amp;RS1-A</oddHeader>
    <oddFooter>&amp;L&amp;Z&amp;F&amp;R&amp;T&amp;D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Q88"/>
  <sheetViews>
    <sheetView showGridLines="0" zoomScale="80" zoomScaleNormal="80" workbookViewId="0">
      <selection activeCell="I38" sqref="I38"/>
    </sheetView>
  </sheetViews>
  <sheetFormatPr defaultColWidth="8" defaultRowHeight="15" outlineLevelRow="1" x14ac:dyDescent="0.25"/>
  <cols>
    <col min="1" max="1" width="13.1796875" style="86" customWidth="1"/>
    <col min="2" max="2" width="32.08984375" style="86" customWidth="1"/>
    <col min="3" max="3" width="11.54296875" style="86" customWidth="1"/>
    <col min="4" max="4" width="17.81640625" style="86" bestFit="1" customWidth="1"/>
    <col min="5" max="5" width="18.36328125" style="86" bestFit="1" customWidth="1"/>
    <col min="6" max="6" width="11.54296875" style="86" customWidth="1"/>
    <col min="7" max="7" width="12" style="86" bestFit="1" customWidth="1"/>
    <col min="8" max="8" width="13" style="86" bestFit="1" customWidth="1"/>
    <col min="9" max="9" width="21.1796875" style="86" customWidth="1"/>
    <col min="10" max="10" width="9.453125" style="86" bestFit="1" customWidth="1"/>
    <col min="11" max="11" width="12.36328125" style="86" bestFit="1" customWidth="1"/>
    <col min="12" max="12" width="13" style="86" bestFit="1" customWidth="1"/>
    <col min="13" max="13" width="10.90625" style="86" bestFit="1" customWidth="1"/>
    <col min="14" max="14" width="11" style="86" bestFit="1" customWidth="1"/>
    <col min="15" max="15" width="11.36328125" style="86" bestFit="1" customWidth="1"/>
    <col min="16" max="16" width="8.90625" style="86" customWidth="1"/>
    <col min="17" max="17" width="11.81640625" style="86" bestFit="1" customWidth="1"/>
    <col min="18" max="16384" width="8" style="86"/>
  </cols>
  <sheetData>
    <row r="1" spans="1:17" x14ac:dyDescent="0.25">
      <c r="A1" s="37" t="s">
        <v>747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25">
      <c r="A2" s="21" t="s">
        <v>88</v>
      </c>
      <c r="B2" s="21"/>
      <c r="C2" s="21"/>
      <c r="D2" s="198"/>
      <c r="E2" s="21"/>
      <c r="F2" s="198"/>
      <c r="G2" s="18"/>
      <c r="H2" s="198"/>
      <c r="I2" s="87"/>
      <c r="J2" s="87"/>
      <c r="K2" s="87"/>
      <c r="L2" s="87"/>
      <c r="M2" s="87"/>
      <c r="N2" s="87"/>
      <c r="O2" s="87"/>
      <c r="P2" s="87"/>
      <c r="Q2" s="87"/>
    </row>
    <row r="3" spans="1:17" x14ac:dyDescent="0.25">
      <c r="A3" s="21" t="s">
        <v>670</v>
      </c>
      <c r="B3" s="18"/>
      <c r="C3" s="37"/>
      <c r="D3" s="21"/>
      <c r="E3" s="21"/>
      <c r="F3" s="21"/>
      <c r="G3" s="21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x14ac:dyDescent="0.25">
      <c r="A4" s="21"/>
      <c r="B4" s="21"/>
      <c r="C4" s="21"/>
      <c r="D4" s="21"/>
      <c r="E4" s="21"/>
      <c r="F4" s="21"/>
      <c r="G4" s="21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7" x14ac:dyDescent="0.25">
      <c r="A5" s="18"/>
      <c r="B5" s="21"/>
      <c r="C5" s="21"/>
      <c r="D5" s="21"/>
      <c r="E5" s="21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7" ht="15.6" x14ac:dyDescent="0.3">
      <c r="A6" s="88" t="s">
        <v>615</v>
      </c>
      <c r="B6" s="89"/>
      <c r="C6" s="21"/>
      <c r="D6" s="24"/>
      <c r="E6" s="24"/>
      <c r="F6" s="24"/>
      <c r="G6" s="21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7" ht="15.6" x14ac:dyDescent="0.3">
      <c r="A7" s="21"/>
      <c r="B7" s="21"/>
      <c r="C7" s="21"/>
      <c r="D7" s="427" t="s">
        <v>114</v>
      </c>
      <c r="E7" s="24"/>
      <c r="F7" s="427" t="s">
        <v>342</v>
      </c>
      <c r="G7" s="24"/>
      <c r="H7" s="427" t="str">
        <f>+'S1-Revenue Requirement'!E6</f>
        <v>11/1/22-10/31/23</v>
      </c>
      <c r="I7" s="24"/>
      <c r="J7" s="18"/>
      <c r="K7" s="18"/>
      <c r="L7" s="18"/>
      <c r="M7" s="18"/>
      <c r="N7" s="18"/>
      <c r="O7" s="18"/>
      <c r="P7" s="18"/>
      <c r="Q7" s="18"/>
    </row>
    <row r="8" spans="1:17" ht="15.6" x14ac:dyDescent="0.3">
      <c r="A8" s="88" t="s">
        <v>236</v>
      </c>
      <c r="B8" s="88" t="s">
        <v>215</v>
      </c>
      <c r="C8" s="90"/>
      <c r="D8" s="78" t="str">
        <f>+'S1-Revenue Requirement'!C6</f>
        <v>7/1/21 - 6/30/22</v>
      </c>
      <c r="E8" s="24"/>
      <c r="F8" s="78" t="s">
        <v>343</v>
      </c>
      <c r="G8" s="24"/>
      <c r="H8" s="78" t="s">
        <v>614</v>
      </c>
      <c r="I8" s="84" t="s">
        <v>216</v>
      </c>
      <c r="J8" s="18"/>
      <c r="K8" s="18"/>
      <c r="L8" s="18"/>
      <c r="M8" s="18"/>
      <c r="N8" s="18"/>
      <c r="O8" s="18"/>
      <c r="P8" s="18"/>
      <c r="Q8" s="18"/>
    </row>
    <row r="9" spans="1:17" ht="15.6" x14ac:dyDescent="0.3">
      <c r="A9" s="88"/>
      <c r="B9" s="88"/>
      <c r="C9" s="90"/>
      <c r="D9" s="708"/>
      <c r="E9" s="200"/>
      <c r="F9" s="708"/>
      <c r="G9" s="200"/>
      <c r="H9" s="708"/>
      <c r="I9" s="203"/>
      <c r="J9" s="18"/>
      <c r="K9" s="18"/>
      <c r="L9" s="18"/>
      <c r="M9" s="18"/>
      <c r="N9" s="18"/>
      <c r="O9" s="18"/>
      <c r="P9" s="18"/>
      <c r="Q9" s="18"/>
    </row>
    <row r="10" spans="1:17" ht="15.75" customHeight="1" x14ac:dyDescent="0.25">
      <c r="A10" s="321">
        <v>557.02</v>
      </c>
      <c r="B10" s="21" t="s">
        <v>92</v>
      </c>
      <c r="C10" s="322"/>
      <c r="D10" s="22">
        <v>0</v>
      </c>
      <c r="E10" s="24"/>
      <c r="F10" s="22">
        <f>+H10-D10</f>
        <v>0</v>
      </c>
      <c r="G10" s="200"/>
      <c r="H10" s="22">
        <v>0</v>
      </c>
      <c r="I10" s="18" t="s">
        <v>1479</v>
      </c>
      <c r="J10" s="18"/>
      <c r="K10" s="18"/>
      <c r="L10" s="203"/>
      <c r="M10" s="203"/>
      <c r="N10" s="18"/>
      <c r="O10" s="18"/>
      <c r="P10" s="18"/>
      <c r="Q10" s="18"/>
    </row>
    <row r="11" spans="1:17" ht="15.75" customHeight="1" x14ac:dyDescent="0.25">
      <c r="A11" s="204"/>
      <c r="B11" s="203"/>
      <c r="C11" s="292"/>
      <c r="D11" s="22"/>
      <c r="E11" s="24"/>
      <c r="F11" s="22"/>
      <c r="G11" s="200"/>
      <c r="H11" s="22"/>
      <c r="I11" s="18"/>
      <c r="J11" s="203"/>
      <c r="K11" s="203"/>
      <c r="L11" s="203"/>
      <c r="M11" s="203"/>
      <c r="N11" s="18"/>
      <c r="O11" s="18"/>
      <c r="P11" s="18"/>
      <c r="Q11" s="18"/>
    </row>
    <row r="12" spans="1:17" ht="15.75" customHeight="1" x14ac:dyDescent="0.25">
      <c r="A12" s="41" t="s">
        <v>1175</v>
      </c>
      <c r="B12" s="21" t="s">
        <v>212</v>
      </c>
      <c r="C12" s="21"/>
      <c r="D12" s="821">
        <f>+'Trial Balance'!C42</f>
        <v>8495999.3399999999</v>
      </c>
      <c r="E12" s="24"/>
      <c r="F12" s="22">
        <f>+H12-D12</f>
        <v>703615.66000000015</v>
      </c>
      <c r="G12" s="200"/>
      <c r="H12" s="22">
        <f>+I79</f>
        <v>9199615</v>
      </c>
      <c r="I12" s="21" t="s">
        <v>1168</v>
      </c>
      <c r="J12" s="18"/>
      <c r="K12" s="203"/>
      <c r="L12" s="203"/>
      <c r="M12" s="199"/>
      <c r="N12" s="18"/>
      <c r="O12" s="18"/>
      <c r="P12" s="18"/>
      <c r="Q12" s="18"/>
    </row>
    <row r="13" spans="1:17" ht="15.75" customHeight="1" x14ac:dyDescent="0.25">
      <c r="A13" s="41"/>
      <c r="B13" s="21"/>
      <c r="C13" s="21"/>
      <c r="D13" s="821"/>
      <c r="E13" s="24"/>
      <c r="F13" s="22"/>
      <c r="G13" s="200"/>
      <c r="H13" s="199"/>
      <c r="I13" s="202"/>
      <c r="J13" s="18"/>
      <c r="K13" s="203"/>
      <c r="L13" s="203"/>
      <c r="M13" s="199"/>
      <c r="N13" s="18"/>
      <c r="O13" s="18"/>
      <c r="P13" s="18"/>
      <c r="Q13" s="18"/>
    </row>
    <row r="14" spans="1:17" ht="15.75" customHeight="1" x14ac:dyDescent="0.25">
      <c r="A14" s="915" t="s">
        <v>1365</v>
      </c>
      <c r="B14" s="21" t="s">
        <v>1256</v>
      </c>
      <c r="C14" s="21"/>
      <c r="D14" s="821">
        <v>0</v>
      </c>
      <c r="E14" s="24"/>
      <c r="F14" s="22">
        <f t="shared" ref="F14" si="0">+H14-D14</f>
        <v>0</v>
      </c>
      <c r="G14" s="200"/>
      <c r="H14" s="22">
        <v>0</v>
      </c>
      <c r="I14" s="21" t="s">
        <v>1480</v>
      </c>
      <c r="J14" s="18"/>
      <c r="K14" s="18"/>
      <c r="L14" s="203"/>
      <c r="M14" s="199"/>
      <c r="N14" s="18"/>
      <c r="O14" s="18"/>
      <c r="P14" s="18"/>
      <c r="Q14" s="18"/>
    </row>
    <row r="15" spans="1:17" ht="15.75" customHeight="1" x14ac:dyDescent="0.25">
      <c r="A15" s="41"/>
      <c r="B15" s="18"/>
      <c r="C15" s="202"/>
      <c r="D15" s="932"/>
      <c r="E15" s="822"/>
      <c r="F15" s="823"/>
      <c r="G15" s="380"/>
      <c r="H15" s="823"/>
      <c r="I15" s="18"/>
      <c r="J15" s="203"/>
      <c r="K15" s="203"/>
      <c r="L15" s="203"/>
      <c r="M15" s="203"/>
      <c r="N15" s="18"/>
      <c r="O15" s="18"/>
      <c r="P15" s="18"/>
      <c r="Q15" s="18"/>
    </row>
    <row r="16" spans="1:17" ht="15.75" customHeight="1" x14ac:dyDescent="0.25">
      <c r="A16" s="130"/>
      <c r="B16" s="18"/>
      <c r="C16" s="21"/>
      <c r="D16" s="823"/>
      <c r="E16" s="822"/>
      <c r="F16" s="823"/>
      <c r="G16" s="380"/>
      <c r="H16" s="532"/>
      <c r="I16" s="203"/>
      <c r="J16" s="18"/>
      <c r="K16" s="18"/>
      <c r="L16" s="18"/>
      <c r="M16" s="18"/>
      <c r="N16" s="18"/>
      <c r="O16" s="18"/>
      <c r="P16" s="18"/>
      <c r="Q16" s="18"/>
    </row>
    <row r="17" spans="1:17" ht="15.75" customHeight="1" thickBot="1" x14ac:dyDescent="0.35">
      <c r="A17" s="46" t="s">
        <v>145</v>
      </c>
      <c r="B17" s="33"/>
      <c r="C17" s="21"/>
      <c r="D17" s="823">
        <f>SUM(D10:D15)</f>
        <v>8495999.3399999999</v>
      </c>
      <c r="E17" s="822"/>
      <c r="F17" s="1117">
        <f>SUM(F10:F15)</f>
        <v>703615.66000000015</v>
      </c>
      <c r="G17" s="200"/>
      <c r="H17" s="823">
        <f>SUM(H10:H15)</f>
        <v>9199615</v>
      </c>
      <c r="I17" s="200"/>
      <c r="J17" s="18"/>
      <c r="K17" s="18"/>
      <c r="L17" s="18"/>
      <c r="M17" s="18"/>
      <c r="N17" s="18"/>
      <c r="O17" s="18"/>
      <c r="P17" s="18"/>
      <c r="Q17" s="18"/>
    </row>
    <row r="18" spans="1:17" ht="15.75" customHeight="1" thickTop="1" x14ac:dyDescent="0.25">
      <c r="A18" s="33"/>
      <c r="B18" s="21"/>
      <c r="C18" s="21"/>
      <c r="D18" s="201"/>
      <c r="E18" s="200"/>
      <c r="F18" s="199"/>
      <c r="G18" s="199"/>
      <c r="H18" s="203"/>
      <c r="I18" s="203"/>
      <c r="J18" s="18"/>
      <c r="K18" s="18"/>
      <c r="L18" s="18"/>
      <c r="M18" s="18"/>
      <c r="N18" s="18"/>
      <c r="O18" s="18"/>
      <c r="P18" s="18"/>
      <c r="Q18" s="18"/>
    </row>
    <row r="19" spans="1:17" ht="15.75" customHeight="1" x14ac:dyDescent="0.3">
      <c r="A19" s="320" t="s">
        <v>249</v>
      </c>
      <c r="B19" s="202"/>
      <c r="C19" s="202"/>
      <c r="D19" s="1090" t="s">
        <v>1431</v>
      </c>
      <c r="E19" s="200"/>
      <c r="F19" s="199"/>
      <c r="G19" s="199"/>
      <c r="H19" s="203"/>
      <c r="I19" s="203"/>
      <c r="J19" s="18"/>
      <c r="K19" s="18"/>
      <c r="L19" s="18"/>
      <c r="M19" s="18"/>
      <c r="N19" s="18"/>
      <c r="O19" s="18"/>
      <c r="P19" s="18"/>
      <c r="Q19" s="18"/>
    </row>
    <row r="20" spans="1:17" ht="12.75" customHeight="1" thickBot="1" x14ac:dyDescent="0.3">
      <c r="A20" s="21"/>
      <c r="B20" s="21"/>
      <c r="C20" s="21"/>
      <c r="D20" s="201"/>
      <c r="E20" s="199"/>
      <c r="F20" s="199"/>
      <c r="G20" s="203"/>
      <c r="H20" s="203"/>
      <c r="I20" s="203"/>
      <c r="J20" s="18"/>
      <c r="K20" s="18"/>
      <c r="L20" s="18"/>
      <c r="M20" s="18"/>
      <c r="N20" s="18"/>
      <c r="O20" s="18"/>
      <c r="P20" s="18"/>
      <c r="Q20" s="18"/>
    </row>
    <row r="21" spans="1:17" ht="31.5" customHeight="1" thickBot="1" x14ac:dyDescent="0.35">
      <c r="A21" s="1284" t="s">
        <v>75</v>
      </c>
      <c r="B21" s="1286" t="s">
        <v>297</v>
      </c>
      <c r="C21" s="1287"/>
      <c r="D21" s="1289" t="s">
        <v>1439</v>
      </c>
      <c r="E21" s="1290"/>
      <c r="F21" s="1291" t="s">
        <v>298</v>
      </c>
      <c r="G21" s="1292"/>
      <c r="H21" s="1282" t="s">
        <v>1438</v>
      </c>
      <c r="I21" s="1283"/>
      <c r="J21" s="1284" t="s">
        <v>75</v>
      </c>
      <c r="K21" s="120"/>
      <c r="L21" s="120"/>
      <c r="M21" s="120"/>
      <c r="N21" s="120"/>
      <c r="O21" s="120"/>
      <c r="P21" s="120"/>
      <c r="Q21" s="91"/>
    </row>
    <row r="22" spans="1:17" ht="18.75" customHeight="1" thickBot="1" x14ac:dyDescent="0.35">
      <c r="A22" s="1285"/>
      <c r="B22" s="1288"/>
      <c r="C22" s="1288"/>
      <c r="D22" s="916" t="s">
        <v>1440</v>
      </c>
      <c r="E22" s="917" t="s">
        <v>6</v>
      </c>
      <c r="F22" s="918" t="s">
        <v>1440</v>
      </c>
      <c r="G22" s="917" t="s">
        <v>6</v>
      </c>
      <c r="H22" s="919" t="s">
        <v>1440</v>
      </c>
      <c r="I22" s="917" t="s">
        <v>6</v>
      </c>
      <c r="J22" s="1285"/>
      <c r="K22" s="120"/>
      <c r="L22" s="120"/>
      <c r="M22" s="120"/>
      <c r="N22" s="120"/>
      <c r="O22" s="120"/>
      <c r="P22" s="120"/>
      <c r="Q22" s="91"/>
    </row>
    <row r="23" spans="1:17" ht="16.2" thickBot="1" x14ac:dyDescent="0.3">
      <c r="A23" s="149">
        <v>1</v>
      </c>
      <c r="B23" s="330" t="s">
        <v>668</v>
      </c>
      <c r="C23" s="150"/>
      <c r="D23" s="1086">
        <v>73823</v>
      </c>
      <c r="E23" s="1088">
        <v>8967606</v>
      </c>
      <c r="F23" s="1015"/>
      <c r="G23" s="1015">
        <f t="shared" ref="G23:G78" si="1">+I23-E23</f>
        <v>5157577</v>
      </c>
      <c r="H23" s="1091">
        <v>77881</v>
      </c>
      <c r="I23" s="1091">
        <v>14125183</v>
      </c>
      <c r="J23" s="149">
        <v>1</v>
      </c>
      <c r="K23" s="120"/>
      <c r="L23" s="120"/>
      <c r="M23" s="120"/>
      <c r="N23" s="120"/>
      <c r="O23" s="120"/>
      <c r="P23" s="120"/>
      <c r="Q23" s="91"/>
    </row>
    <row r="24" spans="1:17" ht="15.6" outlineLevel="1" x14ac:dyDescent="0.3">
      <c r="A24" s="151">
        <f>1+A23</f>
        <v>2</v>
      </c>
      <c r="B24" s="328" t="s">
        <v>1296</v>
      </c>
      <c r="C24" s="153"/>
      <c r="D24" s="1176">
        <v>1984</v>
      </c>
      <c r="E24" s="1089">
        <v>94434</v>
      </c>
      <c r="F24" s="1016">
        <f t="shared" ref="F24:F78" si="2">+H24-D24</f>
        <v>-1984</v>
      </c>
      <c r="G24" s="1016">
        <f t="shared" si="1"/>
        <v>-94434</v>
      </c>
      <c r="H24" s="1017"/>
      <c r="I24" s="1092">
        <v>0</v>
      </c>
      <c r="J24" s="151">
        <f>1+J23</f>
        <v>2</v>
      </c>
      <c r="K24" s="991"/>
      <c r="L24" s="1175"/>
      <c r="M24" s="120"/>
      <c r="N24" s="120"/>
      <c r="O24" s="120"/>
      <c r="P24" s="120"/>
      <c r="Q24" s="91"/>
    </row>
    <row r="25" spans="1:17" ht="15.6" outlineLevel="1" x14ac:dyDescent="0.3">
      <c r="A25" s="151">
        <f t="shared" ref="A25:A85" si="3">1+A24</f>
        <v>3</v>
      </c>
      <c r="B25" s="328" t="s">
        <v>651</v>
      </c>
      <c r="C25" s="153"/>
      <c r="D25" s="1176">
        <v>11250</v>
      </c>
      <c r="E25" s="1089">
        <v>-328298</v>
      </c>
      <c r="F25" s="1016">
        <f t="shared" si="2"/>
        <v>-872</v>
      </c>
      <c r="G25" s="1016">
        <f t="shared" si="1"/>
        <v>-481912</v>
      </c>
      <c r="H25" s="1017">
        <v>10378</v>
      </c>
      <c r="I25" s="1092">
        <v>-810210</v>
      </c>
      <c r="J25" s="151">
        <f t="shared" ref="J25:J85" si="4">1+J24</f>
        <v>3</v>
      </c>
      <c r="K25" s="991"/>
      <c r="L25" s="1175"/>
      <c r="M25" s="120"/>
      <c r="N25" s="120"/>
      <c r="O25" s="120"/>
      <c r="P25" s="120"/>
      <c r="Q25" s="91"/>
    </row>
    <row r="26" spans="1:17" ht="15.6" outlineLevel="1" x14ac:dyDescent="0.3">
      <c r="A26" s="151">
        <f t="shared" si="3"/>
        <v>4</v>
      </c>
      <c r="B26" s="328" t="s">
        <v>652</v>
      </c>
      <c r="C26" s="153"/>
      <c r="D26" s="1176">
        <v>263</v>
      </c>
      <c r="E26" s="1089">
        <v>-17379</v>
      </c>
      <c r="F26" s="1016">
        <f t="shared" si="2"/>
        <v>5</v>
      </c>
      <c r="G26" s="1016">
        <f t="shared" si="1"/>
        <v>-10118</v>
      </c>
      <c r="H26" s="1017">
        <v>268</v>
      </c>
      <c r="I26" s="1092">
        <v>-27497</v>
      </c>
      <c r="J26" s="151">
        <f t="shared" si="4"/>
        <v>4</v>
      </c>
      <c r="K26" s="991"/>
      <c r="L26" s="1175"/>
      <c r="M26" s="120"/>
      <c r="N26" s="120"/>
      <c r="O26" s="120"/>
      <c r="P26" s="120"/>
      <c r="Q26" s="91"/>
    </row>
    <row r="27" spans="1:17" ht="15.6" outlineLevel="1" x14ac:dyDescent="0.3">
      <c r="A27" s="151">
        <f t="shared" si="3"/>
        <v>5</v>
      </c>
      <c r="B27" s="328" t="s">
        <v>1167</v>
      </c>
      <c r="C27" s="153"/>
      <c r="D27" s="1176">
        <v>2258</v>
      </c>
      <c r="E27" s="1089">
        <v>61648</v>
      </c>
      <c r="F27" s="1016">
        <f t="shared" si="2"/>
        <v>9</v>
      </c>
      <c r="G27" s="1016">
        <f t="shared" si="1"/>
        <v>-136075</v>
      </c>
      <c r="H27" s="1017">
        <v>2267</v>
      </c>
      <c r="I27" s="1092">
        <v>-74427</v>
      </c>
      <c r="J27" s="151">
        <f t="shared" si="4"/>
        <v>5</v>
      </c>
      <c r="K27" s="991"/>
      <c r="L27" s="1175"/>
      <c r="M27" s="120"/>
      <c r="N27" s="120"/>
      <c r="O27" s="120"/>
      <c r="P27" s="120"/>
      <c r="Q27" s="91"/>
    </row>
    <row r="28" spans="1:17" ht="15.6" outlineLevel="1" x14ac:dyDescent="0.3">
      <c r="A28" s="151">
        <f t="shared" si="3"/>
        <v>6</v>
      </c>
      <c r="B28" s="328" t="s">
        <v>1228</v>
      </c>
      <c r="C28" s="153"/>
      <c r="D28" s="1176"/>
      <c r="E28" s="1089"/>
      <c r="F28" s="1016">
        <f t="shared" si="2"/>
        <v>0</v>
      </c>
      <c r="G28" s="1016">
        <f t="shared" si="1"/>
        <v>0</v>
      </c>
      <c r="H28" s="1017"/>
      <c r="I28" s="1092"/>
      <c r="J28" s="151">
        <f t="shared" si="4"/>
        <v>6</v>
      </c>
      <c r="K28" s="991"/>
      <c r="L28" s="1175"/>
      <c r="M28" s="120"/>
      <c r="N28" s="120"/>
      <c r="O28" s="120"/>
      <c r="P28" s="120"/>
      <c r="Q28" s="91"/>
    </row>
    <row r="29" spans="1:17" ht="15.6" outlineLevel="1" x14ac:dyDescent="0.3">
      <c r="A29" s="151">
        <f t="shared" si="3"/>
        <v>7</v>
      </c>
      <c r="B29" s="328" t="s">
        <v>653</v>
      </c>
      <c r="C29" s="153"/>
      <c r="D29" s="1176">
        <v>1046</v>
      </c>
      <c r="E29" s="1089"/>
      <c r="F29" s="1016">
        <f t="shared" si="2"/>
        <v>400</v>
      </c>
      <c r="G29" s="1016">
        <f t="shared" si="1"/>
        <v>-181832</v>
      </c>
      <c r="H29" s="1017">
        <v>1446</v>
      </c>
      <c r="I29" s="1092">
        <v>-181832</v>
      </c>
      <c r="J29" s="151">
        <f t="shared" si="4"/>
        <v>7</v>
      </c>
      <c r="K29" s="991"/>
      <c r="L29" s="1175"/>
      <c r="M29" s="120"/>
      <c r="N29" s="120"/>
      <c r="O29" s="120"/>
      <c r="P29" s="120"/>
      <c r="Q29" s="91"/>
    </row>
    <row r="30" spans="1:17" ht="15.6" outlineLevel="1" x14ac:dyDescent="0.3">
      <c r="A30" s="151">
        <f t="shared" si="3"/>
        <v>8</v>
      </c>
      <c r="B30" s="328" t="s">
        <v>669</v>
      </c>
      <c r="C30" s="153"/>
      <c r="D30" s="1176">
        <v>48903</v>
      </c>
      <c r="E30" s="1089">
        <v>-1763704</v>
      </c>
      <c r="F30" s="1016">
        <f t="shared" si="2"/>
        <v>1658</v>
      </c>
      <c r="G30" s="1016">
        <f t="shared" si="1"/>
        <v>-2634247</v>
      </c>
      <c r="H30" s="1017">
        <v>50561</v>
      </c>
      <c r="I30" s="1092">
        <v>-4397951</v>
      </c>
      <c r="J30" s="151">
        <f t="shared" si="4"/>
        <v>8</v>
      </c>
      <c r="K30" s="991"/>
      <c r="L30" s="1175"/>
      <c r="M30" s="120"/>
      <c r="N30" s="120"/>
      <c r="O30" s="120"/>
      <c r="P30" s="120"/>
      <c r="Q30" s="91"/>
    </row>
    <row r="31" spans="1:17" ht="15.6" outlineLevel="1" x14ac:dyDescent="0.3">
      <c r="A31" s="151">
        <f t="shared" si="3"/>
        <v>9</v>
      </c>
      <c r="B31" s="328" t="s">
        <v>871</v>
      </c>
      <c r="C31" s="153"/>
      <c r="D31" s="1176">
        <v>8119</v>
      </c>
      <c r="E31" s="1089">
        <v>57278</v>
      </c>
      <c r="F31" s="1016">
        <f t="shared" si="2"/>
        <v>-54</v>
      </c>
      <c r="G31" s="1016">
        <f t="shared" si="1"/>
        <v>-653781</v>
      </c>
      <c r="H31" s="1017">
        <v>8065</v>
      </c>
      <c r="I31" s="1092">
        <v>-596503</v>
      </c>
      <c r="J31" s="151">
        <f t="shared" si="4"/>
        <v>9</v>
      </c>
      <c r="K31" s="991"/>
      <c r="L31" s="1175"/>
      <c r="M31" s="120"/>
      <c r="N31" s="120"/>
      <c r="O31" s="120"/>
      <c r="P31" s="120"/>
      <c r="Q31" s="91"/>
    </row>
    <row r="32" spans="1:17" ht="15.6" outlineLevel="1" x14ac:dyDescent="0.3">
      <c r="A32" s="151">
        <f t="shared" si="3"/>
        <v>10</v>
      </c>
      <c r="B32" s="328" t="s">
        <v>1441</v>
      </c>
      <c r="C32" s="153"/>
      <c r="D32" s="710"/>
      <c r="E32" s="711"/>
      <c r="F32" s="1016">
        <f t="shared" si="2"/>
        <v>4896</v>
      </c>
      <c r="G32" s="1016">
        <f t="shared" si="1"/>
        <v>-8833</v>
      </c>
      <c r="H32" s="1017">
        <v>4896</v>
      </c>
      <c r="I32" s="1092">
        <v>-8833</v>
      </c>
      <c r="J32" s="151">
        <f t="shared" si="4"/>
        <v>10</v>
      </c>
      <c r="K32" s="991"/>
      <c r="L32" s="1175"/>
      <c r="M32" s="120"/>
      <c r="N32" s="120"/>
      <c r="O32" s="120"/>
      <c r="P32" s="120"/>
      <c r="Q32" s="91"/>
    </row>
    <row r="33" spans="1:17" ht="15.6" x14ac:dyDescent="0.3">
      <c r="A33" s="151">
        <f t="shared" si="3"/>
        <v>11</v>
      </c>
      <c r="B33" s="328"/>
      <c r="C33" s="153"/>
      <c r="D33" s="710"/>
      <c r="E33" s="711"/>
      <c r="F33" s="1016">
        <f t="shared" si="2"/>
        <v>0</v>
      </c>
      <c r="G33" s="1016">
        <f t="shared" si="1"/>
        <v>0</v>
      </c>
      <c r="H33" s="1017"/>
      <c r="I33" s="1093">
        <v>0</v>
      </c>
      <c r="J33" s="151">
        <f t="shared" si="4"/>
        <v>11</v>
      </c>
      <c r="K33" s="991"/>
      <c r="L33" s="1175"/>
      <c r="M33" s="120"/>
      <c r="N33" s="120"/>
      <c r="O33" s="120"/>
      <c r="P33" s="120"/>
      <c r="Q33" s="91"/>
    </row>
    <row r="34" spans="1:17" ht="15.6" x14ac:dyDescent="0.3">
      <c r="A34" s="151">
        <f t="shared" si="3"/>
        <v>12</v>
      </c>
      <c r="B34" s="328"/>
      <c r="C34" s="153"/>
      <c r="D34" s="710"/>
      <c r="E34" s="711"/>
      <c r="F34" s="1016">
        <f t="shared" si="2"/>
        <v>0</v>
      </c>
      <c r="G34" s="1016">
        <f t="shared" si="1"/>
        <v>0</v>
      </c>
      <c r="H34" s="1017"/>
      <c r="I34" s="1093">
        <v>0</v>
      </c>
      <c r="J34" s="151">
        <f t="shared" si="4"/>
        <v>12</v>
      </c>
      <c r="K34" s="991"/>
      <c r="L34" s="1175"/>
      <c r="M34" s="120"/>
      <c r="N34" s="120"/>
      <c r="O34" s="120"/>
      <c r="P34" s="120"/>
      <c r="Q34" s="91"/>
    </row>
    <row r="35" spans="1:17" ht="15.6" x14ac:dyDescent="0.3">
      <c r="A35" s="151">
        <f t="shared" si="3"/>
        <v>13</v>
      </c>
      <c r="B35" s="328"/>
      <c r="C35" s="153"/>
      <c r="D35" s="710"/>
      <c r="E35" s="711"/>
      <c r="F35" s="1016">
        <f t="shared" si="2"/>
        <v>0</v>
      </c>
      <c r="G35" s="1016">
        <f t="shared" si="1"/>
        <v>0</v>
      </c>
      <c r="H35" s="1017"/>
      <c r="I35" s="1093">
        <v>0</v>
      </c>
      <c r="J35" s="151">
        <f t="shared" si="4"/>
        <v>13</v>
      </c>
      <c r="K35" s="991"/>
      <c r="L35" s="1175"/>
      <c r="M35" s="120"/>
      <c r="N35" s="120"/>
      <c r="O35" s="120"/>
      <c r="P35" s="120"/>
      <c r="Q35" s="91"/>
    </row>
    <row r="36" spans="1:17" ht="15.6" x14ac:dyDescent="0.3">
      <c r="A36" s="151">
        <f t="shared" si="3"/>
        <v>14</v>
      </c>
      <c r="B36" s="328"/>
      <c r="C36" s="153"/>
      <c r="D36" s="710"/>
      <c r="E36" s="711"/>
      <c r="F36" s="1016"/>
      <c r="G36" s="1016">
        <f t="shared" si="1"/>
        <v>0</v>
      </c>
      <c r="H36" s="1017"/>
      <c r="I36" s="1093">
        <v>0</v>
      </c>
      <c r="J36" s="151">
        <f t="shared" si="4"/>
        <v>14</v>
      </c>
      <c r="K36" s="991"/>
      <c r="L36" s="1175"/>
      <c r="M36" s="120"/>
      <c r="N36" s="120"/>
      <c r="O36" s="120"/>
      <c r="P36" s="120"/>
      <c r="Q36" s="91"/>
    </row>
    <row r="37" spans="1:17" x14ac:dyDescent="0.25">
      <c r="A37" s="151">
        <f t="shared" si="3"/>
        <v>15</v>
      </c>
      <c r="B37" s="153"/>
      <c r="C37" s="153"/>
      <c r="D37" s="710"/>
      <c r="E37" s="711"/>
      <c r="F37" s="1016">
        <f t="shared" si="2"/>
        <v>0</v>
      </c>
      <c r="G37" s="1016">
        <f t="shared" si="1"/>
        <v>0</v>
      </c>
      <c r="H37" s="1017"/>
      <c r="I37" s="1093"/>
      <c r="J37" s="151">
        <f t="shared" si="4"/>
        <v>15</v>
      </c>
      <c r="K37" s="991"/>
      <c r="L37" s="1175"/>
      <c r="M37" s="120"/>
      <c r="N37" s="120"/>
      <c r="O37" s="120"/>
      <c r="P37" s="120"/>
      <c r="Q37" s="91"/>
    </row>
    <row r="38" spans="1:17" ht="15.6" x14ac:dyDescent="0.3">
      <c r="A38" s="151">
        <f t="shared" si="3"/>
        <v>16</v>
      </c>
      <c r="B38" s="327" t="s">
        <v>654</v>
      </c>
      <c r="C38" s="153"/>
      <c r="D38" s="710"/>
      <c r="E38" s="711"/>
      <c r="F38" s="1016">
        <f t="shared" si="2"/>
        <v>0</v>
      </c>
      <c r="G38" s="1016">
        <f t="shared" si="1"/>
        <v>0</v>
      </c>
      <c r="H38" s="1017"/>
      <c r="I38" s="1093"/>
      <c r="J38" s="151">
        <f t="shared" si="4"/>
        <v>16</v>
      </c>
      <c r="K38" s="991"/>
      <c r="L38" s="1175"/>
      <c r="M38" s="120"/>
      <c r="N38" s="120"/>
      <c r="O38" s="120"/>
      <c r="P38" s="120"/>
      <c r="Q38" s="91"/>
    </row>
    <row r="39" spans="1:17" ht="15.6" x14ac:dyDescent="0.3">
      <c r="A39" s="151">
        <f t="shared" si="3"/>
        <v>17</v>
      </c>
      <c r="B39" s="328" t="s">
        <v>655</v>
      </c>
      <c r="C39" s="153"/>
      <c r="D39" s="1087">
        <v>78918</v>
      </c>
      <c r="E39" s="711"/>
      <c r="F39" s="1016"/>
      <c r="G39" s="1016">
        <f t="shared" si="1"/>
        <v>0</v>
      </c>
      <c r="H39" s="1017">
        <v>78918</v>
      </c>
      <c r="I39" s="1093"/>
      <c r="J39" s="151">
        <f t="shared" si="4"/>
        <v>17</v>
      </c>
      <c r="K39" s="120"/>
      <c r="L39" s="1175"/>
      <c r="M39" s="120"/>
      <c r="N39" s="120"/>
      <c r="O39" s="120"/>
      <c r="P39" s="120"/>
      <c r="Q39" s="91"/>
    </row>
    <row r="40" spans="1:17" ht="15.6" x14ac:dyDescent="0.3">
      <c r="A40" s="151">
        <f t="shared" si="3"/>
        <v>18</v>
      </c>
      <c r="B40" s="328" t="s">
        <v>1297</v>
      </c>
      <c r="C40" s="153"/>
      <c r="D40" s="710"/>
      <c r="E40" s="1089">
        <f>5994928+1</f>
        <v>5994929</v>
      </c>
      <c r="F40" s="1016">
        <f t="shared" si="2"/>
        <v>0</v>
      </c>
      <c r="G40" s="1016">
        <f t="shared" si="1"/>
        <v>5053010</v>
      </c>
      <c r="H40" s="1017"/>
      <c r="I40" s="1092">
        <f>11047938+1</f>
        <v>11047939</v>
      </c>
      <c r="J40" s="151">
        <f t="shared" si="4"/>
        <v>18</v>
      </c>
      <c r="K40" s="120"/>
      <c r="L40" s="1175"/>
      <c r="M40" s="120"/>
      <c r="N40" s="120"/>
      <c r="O40" s="120"/>
      <c r="P40" s="120"/>
      <c r="Q40" s="91"/>
    </row>
    <row r="41" spans="1:17" ht="15.6" x14ac:dyDescent="0.3">
      <c r="A41" s="151">
        <f t="shared" si="3"/>
        <v>19</v>
      </c>
      <c r="B41" s="328" t="s">
        <v>1298</v>
      </c>
      <c r="C41" s="153"/>
      <c r="D41" s="710"/>
      <c r="E41" s="1089">
        <v>1046857</v>
      </c>
      <c r="F41" s="1016">
        <f t="shared" si="2"/>
        <v>0</v>
      </c>
      <c r="G41" s="1016">
        <f t="shared" si="1"/>
        <v>-415474</v>
      </c>
      <c r="H41" s="1017"/>
      <c r="I41" s="1092">
        <v>631383</v>
      </c>
      <c r="J41" s="151">
        <f t="shared" si="4"/>
        <v>19</v>
      </c>
      <c r="K41" s="120"/>
      <c r="L41" s="1175"/>
      <c r="M41" s="120"/>
      <c r="N41" s="120"/>
      <c r="O41" s="120"/>
      <c r="P41" s="120"/>
      <c r="Q41" s="91"/>
    </row>
    <row r="42" spans="1:17" ht="15.6" x14ac:dyDescent="0.3">
      <c r="A42" s="151">
        <f t="shared" si="3"/>
        <v>20</v>
      </c>
      <c r="B42" s="328"/>
      <c r="C42" s="153"/>
      <c r="D42" s="710"/>
      <c r="E42" s="711"/>
      <c r="F42" s="1016">
        <f t="shared" si="2"/>
        <v>0</v>
      </c>
      <c r="G42" s="1016">
        <f t="shared" si="1"/>
        <v>0</v>
      </c>
      <c r="H42" s="1017"/>
      <c r="I42" s="1093">
        <v>0</v>
      </c>
      <c r="J42" s="151">
        <f t="shared" si="4"/>
        <v>20</v>
      </c>
      <c r="K42" s="120"/>
      <c r="L42" s="1175"/>
      <c r="M42" s="120"/>
      <c r="N42" s="120"/>
      <c r="O42" s="120"/>
      <c r="P42" s="120"/>
      <c r="Q42" s="91"/>
    </row>
    <row r="43" spans="1:17" ht="15.6" x14ac:dyDescent="0.3">
      <c r="A43" s="151">
        <f t="shared" si="3"/>
        <v>21</v>
      </c>
      <c r="B43" s="511"/>
      <c r="C43" s="163"/>
      <c r="D43" s="710"/>
      <c r="E43" s="711"/>
      <c r="F43" s="1016"/>
      <c r="G43" s="1016"/>
      <c r="H43" s="1017"/>
      <c r="I43" s="1093"/>
      <c r="J43" s="151">
        <f t="shared" si="4"/>
        <v>21</v>
      </c>
      <c r="K43" s="120"/>
      <c r="L43" s="1175"/>
      <c r="M43" s="120"/>
      <c r="N43" s="120"/>
      <c r="O43" s="120"/>
      <c r="P43" s="120"/>
      <c r="Q43" s="91"/>
    </row>
    <row r="44" spans="1:17" x14ac:dyDescent="0.25">
      <c r="A44" s="151">
        <f t="shared" si="3"/>
        <v>22</v>
      </c>
      <c r="B44" s="153"/>
      <c r="C44" s="153"/>
      <c r="D44" s="710"/>
      <c r="E44" s="711"/>
      <c r="F44" s="1016">
        <f t="shared" si="2"/>
        <v>0</v>
      </c>
      <c r="G44" s="1016">
        <f t="shared" si="1"/>
        <v>0</v>
      </c>
      <c r="H44" s="1017"/>
      <c r="I44" s="1093"/>
      <c r="J44" s="151">
        <f t="shared" si="4"/>
        <v>22</v>
      </c>
      <c r="K44" s="120"/>
      <c r="L44" s="1175"/>
      <c r="M44" s="120"/>
      <c r="N44" s="120"/>
      <c r="O44" s="120"/>
      <c r="P44" s="120"/>
      <c r="Q44" s="91"/>
    </row>
    <row r="45" spans="1:17" ht="15.6" x14ac:dyDescent="0.3">
      <c r="A45" s="151">
        <f t="shared" si="3"/>
        <v>23</v>
      </c>
      <c r="B45" s="327" t="s">
        <v>659</v>
      </c>
      <c r="C45" s="153"/>
      <c r="D45" s="710"/>
      <c r="E45" s="711"/>
      <c r="F45" s="1016">
        <f t="shared" si="2"/>
        <v>0</v>
      </c>
      <c r="G45" s="1016">
        <f t="shared" si="1"/>
        <v>0</v>
      </c>
      <c r="H45" s="1017"/>
      <c r="I45" s="1093"/>
      <c r="J45" s="151">
        <f t="shared" si="4"/>
        <v>23</v>
      </c>
      <c r="K45" s="120"/>
      <c r="L45" s="1175"/>
      <c r="M45" s="120"/>
      <c r="N45" s="120"/>
      <c r="O45" s="120"/>
      <c r="P45" s="120"/>
      <c r="Q45" s="91"/>
    </row>
    <row r="46" spans="1:17" ht="15.6" x14ac:dyDescent="0.3">
      <c r="A46" s="151">
        <f t="shared" si="3"/>
        <v>24</v>
      </c>
      <c r="B46" s="328" t="s">
        <v>1442</v>
      </c>
      <c r="C46" s="153"/>
      <c r="D46" s="1270">
        <v>60000</v>
      </c>
      <c r="E46" s="1089">
        <v>287250</v>
      </c>
      <c r="F46" s="1016">
        <f t="shared" si="2"/>
        <v>-4896</v>
      </c>
      <c r="G46" s="1016">
        <f t="shared" si="1"/>
        <v>263790</v>
      </c>
      <c r="H46" s="1017">
        <v>55104</v>
      </c>
      <c r="I46" s="1092">
        <v>551040</v>
      </c>
      <c r="J46" s="151">
        <f t="shared" si="4"/>
        <v>24</v>
      </c>
      <c r="K46" s="120"/>
      <c r="L46" s="1175"/>
      <c r="M46" s="120"/>
      <c r="N46" s="120"/>
      <c r="O46" s="120"/>
      <c r="P46" s="120"/>
      <c r="Q46" s="91"/>
    </row>
    <row r="47" spans="1:17" ht="15.6" x14ac:dyDescent="0.3">
      <c r="A47" s="151">
        <f t="shared" si="3"/>
        <v>25</v>
      </c>
      <c r="B47" s="328" t="s">
        <v>656</v>
      </c>
      <c r="C47" s="153"/>
      <c r="D47" s="1270"/>
      <c r="E47" s="1089">
        <v>-22470</v>
      </c>
      <c r="F47" s="1016">
        <f t="shared" si="2"/>
        <v>0</v>
      </c>
      <c r="G47" s="1016">
        <f t="shared" si="1"/>
        <v>0</v>
      </c>
      <c r="H47" s="1017"/>
      <c r="I47" s="1092">
        <v>-22470</v>
      </c>
      <c r="J47" s="151">
        <f t="shared" si="4"/>
        <v>25</v>
      </c>
      <c r="K47" s="120"/>
      <c r="L47" s="1272"/>
      <c r="M47" s="120"/>
      <c r="N47" s="120"/>
      <c r="O47" s="120"/>
      <c r="P47" s="120"/>
      <c r="Q47" s="91"/>
    </row>
    <row r="48" spans="1:17" ht="15.6" x14ac:dyDescent="0.3">
      <c r="A48" s="151">
        <f t="shared" si="3"/>
        <v>26</v>
      </c>
      <c r="B48" s="328" t="s">
        <v>657</v>
      </c>
      <c r="C48" s="153"/>
      <c r="D48" s="710"/>
      <c r="E48" s="1089">
        <v>25349</v>
      </c>
      <c r="F48" s="1016">
        <f t="shared" si="2"/>
        <v>0</v>
      </c>
      <c r="G48" s="1016">
        <f t="shared" si="1"/>
        <v>0</v>
      </c>
      <c r="H48" s="1017"/>
      <c r="I48" s="1092">
        <v>25349</v>
      </c>
      <c r="J48" s="151">
        <f t="shared" si="4"/>
        <v>26</v>
      </c>
      <c r="K48" s="120"/>
      <c r="L48" s="1175"/>
      <c r="M48" s="120"/>
      <c r="N48" s="120"/>
      <c r="O48" s="120"/>
      <c r="P48" s="120"/>
      <c r="Q48" s="91"/>
    </row>
    <row r="49" spans="1:17" ht="15.6" x14ac:dyDescent="0.3">
      <c r="A49" s="151">
        <f t="shared" si="3"/>
        <v>27</v>
      </c>
      <c r="B49" s="328" t="s">
        <v>658</v>
      </c>
      <c r="C49" s="153"/>
      <c r="D49" s="710"/>
      <c r="E49" s="1089">
        <v>-10135</v>
      </c>
      <c r="F49" s="1016">
        <f t="shared" si="2"/>
        <v>0</v>
      </c>
      <c r="G49" s="1016">
        <f t="shared" si="1"/>
        <v>0</v>
      </c>
      <c r="H49" s="1017"/>
      <c r="I49" s="1092">
        <v>-10135</v>
      </c>
      <c r="J49" s="151">
        <f t="shared" si="4"/>
        <v>27</v>
      </c>
      <c r="K49" s="120"/>
      <c r="L49" s="1175"/>
      <c r="M49" s="120"/>
      <c r="N49" s="120"/>
      <c r="O49" s="120"/>
      <c r="P49" s="120"/>
      <c r="Q49" s="91"/>
    </row>
    <row r="50" spans="1:17" ht="15.6" x14ac:dyDescent="0.3">
      <c r="A50" s="151">
        <f t="shared" si="3"/>
        <v>28</v>
      </c>
      <c r="B50" s="328" t="s">
        <v>1446</v>
      </c>
      <c r="C50" s="153"/>
      <c r="D50" s="710"/>
      <c r="E50" s="1089">
        <v>-16455</v>
      </c>
      <c r="F50" s="1016">
        <f t="shared" si="2"/>
        <v>0</v>
      </c>
      <c r="G50" s="1016">
        <f t="shared" si="1"/>
        <v>0</v>
      </c>
      <c r="H50" s="1017"/>
      <c r="I50" s="1092">
        <v>-16455</v>
      </c>
      <c r="J50" s="151">
        <f t="shared" si="4"/>
        <v>28</v>
      </c>
      <c r="K50" s="120"/>
      <c r="L50" s="1175"/>
      <c r="M50" s="120"/>
      <c r="N50" s="120"/>
      <c r="O50" s="120"/>
      <c r="P50" s="120"/>
      <c r="Q50" s="91"/>
    </row>
    <row r="51" spans="1:17" ht="15.6" x14ac:dyDescent="0.3">
      <c r="A51" s="151">
        <f t="shared" si="3"/>
        <v>29</v>
      </c>
      <c r="B51" s="328" t="s">
        <v>1299</v>
      </c>
      <c r="C51" s="153"/>
      <c r="D51" s="710"/>
      <c r="E51" s="1089">
        <v>18378</v>
      </c>
      <c r="F51" s="1016">
        <f t="shared" si="2"/>
        <v>0</v>
      </c>
      <c r="G51" s="1016">
        <f t="shared" si="1"/>
        <v>0</v>
      </c>
      <c r="H51" s="1017"/>
      <c r="I51" s="1092">
        <v>18378</v>
      </c>
      <c r="J51" s="151">
        <f t="shared" si="4"/>
        <v>29</v>
      </c>
      <c r="K51" s="120"/>
      <c r="L51" s="1175"/>
      <c r="M51" s="120"/>
      <c r="N51" s="120"/>
      <c r="O51" s="120"/>
      <c r="P51" s="120"/>
      <c r="Q51" s="91"/>
    </row>
    <row r="52" spans="1:17" ht="15.6" x14ac:dyDescent="0.3">
      <c r="A52" s="151">
        <f t="shared" si="3"/>
        <v>30</v>
      </c>
      <c r="B52" s="328" t="s">
        <v>1443</v>
      </c>
      <c r="C52" s="153"/>
      <c r="D52" s="710"/>
      <c r="E52" s="1089">
        <v>20542</v>
      </c>
      <c r="F52" s="1016">
        <f t="shared" si="2"/>
        <v>0</v>
      </c>
      <c r="G52" s="1016">
        <f t="shared" si="1"/>
        <v>0</v>
      </c>
      <c r="H52" s="1017"/>
      <c r="I52" s="1092">
        <v>20542</v>
      </c>
      <c r="J52" s="151">
        <f t="shared" si="4"/>
        <v>30</v>
      </c>
      <c r="K52" s="120"/>
      <c r="L52" s="1175"/>
      <c r="M52" s="120"/>
      <c r="N52" s="120"/>
      <c r="O52" s="120"/>
      <c r="P52" s="120"/>
      <c r="Q52" s="91"/>
    </row>
    <row r="53" spans="1:17" ht="15.6" x14ac:dyDescent="0.3">
      <c r="A53" s="151">
        <f t="shared" si="3"/>
        <v>31</v>
      </c>
      <c r="B53" s="328" t="s">
        <v>1447</v>
      </c>
      <c r="C53" s="153"/>
      <c r="D53" s="710"/>
      <c r="E53" s="1089">
        <f>41387+14900-434</f>
        <v>55853</v>
      </c>
      <c r="F53" s="1016">
        <f t="shared" si="2"/>
        <v>0</v>
      </c>
      <c r="G53" s="1016">
        <f t="shared" si="1"/>
        <v>0</v>
      </c>
      <c r="H53" s="1017"/>
      <c r="I53" s="1089">
        <f>41387+14900-434</f>
        <v>55853</v>
      </c>
      <c r="J53" s="151">
        <f t="shared" si="4"/>
        <v>31</v>
      </c>
      <c r="K53" s="120"/>
      <c r="L53" s="1175"/>
      <c r="M53" s="120"/>
      <c r="N53" s="120"/>
      <c r="O53" s="120"/>
      <c r="P53" s="120"/>
      <c r="Q53" s="91"/>
    </row>
    <row r="54" spans="1:17" ht="15.6" x14ac:dyDescent="0.3">
      <c r="A54" s="151">
        <f t="shared" si="3"/>
        <v>32</v>
      </c>
      <c r="B54" s="328" t="s">
        <v>1300</v>
      </c>
      <c r="C54" s="153"/>
      <c r="D54" s="710"/>
      <c r="E54" s="1089">
        <v>0</v>
      </c>
      <c r="F54" s="1016">
        <f t="shared" si="2"/>
        <v>0</v>
      </c>
      <c r="G54" s="1016">
        <f t="shared" si="1"/>
        <v>0</v>
      </c>
      <c r="H54" s="1017"/>
      <c r="I54" s="1092"/>
      <c r="J54" s="151">
        <f t="shared" si="4"/>
        <v>32</v>
      </c>
      <c r="K54" s="120"/>
      <c r="L54" s="1175"/>
      <c r="M54" s="120"/>
      <c r="N54" s="120"/>
      <c r="O54" s="120"/>
      <c r="P54" s="120"/>
      <c r="Q54" s="91"/>
    </row>
    <row r="55" spans="1:17" ht="15.6" x14ac:dyDescent="0.3">
      <c r="A55" s="151">
        <f t="shared" si="3"/>
        <v>33</v>
      </c>
      <c r="B55" s="328" t="s">
        <v>1453</v>
      </c>
      <c r="C55" s="153"/>
      <c r="D55" s="710"/>
      <c r="E55" s="1089">
        <v>139174</v>
      </c>
      <c r="F55" s="1016">
        <f t="shared" si="2"/>
        <v>0</v>
      </c>
      <c r="G55" s="1016">
        <f t="shared" si="1"/>
        <v>0</v>
      </c>
      <c r="H55" s="1017"/>
      <c r="I55" s="1092">
        <v>139174</v>
      </c>
      <c r="J55" s="151">
        <f t="shared" si="4"/>
        <v>33</v>
      </c>
      <c r="K55" s="120"/>
      <c r="L55" s="1175"/>
      <c r="M55" s="120"/>
      <c r="N55" s="120"/>
      <c r="O55" s="120"/>
      <c r="P55" s="120"/>
      <c r="Q55" s="91"/>
    </row>
    <row r="56" spans="1:17" ht="15.6" outlineLevel="1" x14ac:dyDescent="0.3">
      <c r="A56" s="151">
        <f t="shared" si="3"/>
        <v>34</v>
      </c>
      <c r="B56" s="327" t="s">
        <v>660</v>
      </c>
      <c r="C56" s="153"/>
      <c r="D56" s="710"/>
      <c r="E56" s="1089"/>
      <c r="F56" s="1016">
        <f t="shared" si="2"/>
        <v>0</v>
      </c>
      <c r="G56" s="1016">
        <f t="shared" si="1"/>
        <v>0</v>
      </c>
      <c r="H56" s="1017"/>
      <c r="I56" s="1093"/>
      <c r="J56" s="151">
        <f t="shared" si="4"/>
        <v>34</v>
      </c>
      <c r="K56" s="120"/>
      <c r="L56" s="1175"/>
      <c r="M56" s="120"/>
      <c r="N56" s="120"/>
      <c r="O56" s="120"/>
      <c r="P56" s="120"/>
      <c r="Q56" s="91"/>
    </row>
    <row r="57" spans="1:17" ht="15.6" outlineLevel="1" x14ac:dyDescent="0.3">
      <c r="A57" s="151">
        <f t="shared" si="3"/>
        <v>35</v>
      </c>
      <c r="B57" s="328" t="s">
        <v>661</v>
      </c>
      <c r="C57" s="153"/>
      <c r="D57" s="1177"/>
      <c r="E57" s="1089">
        <v>325633</v>
      </c>
      <c r="F57" s="1016">
        <f t="shared" si="2"/>
        <v>0</v>
      </c>
      <c r="G57" s="1016">
        <f t="shared" si="1"/>
        <v>28979</v>
      </c>
      <c r="H57" s="1017"/>
      <c r="I57" s="1092">
        <v>354612</v>
      </c>
      <c r="J57" s="151">
        <f t="shared" si="4"/>
        <v>35</v>
      </c>
      <c r="K57" s="120"/>
      <c r="L57" s="1175"/>
      <c r="M57" s="120"/>
      <c r="N57" s="120"/>
      <c r="O57" s="120"/>
      <c r="P57" s="120"/>
      <c r="Q57" s="91"/>
    </row>
    <row r="58" spans="1:17" ht="15.6" outlineLevel="1" x14ac:dyDescent="0.3">
      <c r="A58" s="151">
        <f t="shared" si="3"/>
        <v>36</v>
      </c>
      <c r="B58" s="328" t="s">
        <v>1444</v>
      </c>
      <c r="C58" s="153"/>
      <c r="D58" s="710"/>
      <c r="E58" s="1089"/>
      <c r="F58" s="1016">
        <f t="shared" si="2"/>
        <v>0</v>
      </c>
      <c r="G58" s="1016">
        <f t="shared" si="1"/>
        <v>0</v>
      </c>
      <c r="H58" s="1017"/>
      <c r="I58" s="1092"/>
      <c r="J58" s="151">
        <f t="shared" si="4"/>
        <v>36</v>
      </c>
      <c r="K58" s="120"/>
      <c r="L58" s="1175"/>
      <c r="M58" s="120"/>
      <c r="N58" s="120"/>
      <c r="O58" s="120"/>
      <c r="P58" s="120"/>
      <c r="Q58" s="91"/>
    </row>
    <row r="59" spans="1:17" ht="15.6" outlineLevel="1" x14ac:dyDescent="0.3">
      <c r="A59" s="151">
        <f t="shared" si="3"/>
        <v>37</v>
      </c>
      <c r="B59" s="328" t="s">
        <v>658</v>
      </c>
      <c r="C59" s="153"/>
      <c r="D59" s="710"/>
      <c r="E59" s="1089"/>
      <c r="F59" s="1016">
        <f t="shared" si="2"/>
        <v>0</v>
      </c>
      <c r="G59" s="1016">
        <f t="shared" si="1"/>
        <v>0</v>
      </c>
      <c r="H59" s="1017"/>
      <c r="I59" s="1092"/>
      <c r="J59" s="151">
        <f t="shared" si="4"/>
        <v>37</v>
      </c>
      <c r="K59" s="120"/>
      <c r="L59" s="1175"/>
      <c r="M59" s="120"/>
      <c r="N59" s="120"/>
      <c r="O59" s="120"/>
      <c r="P59" s="120"/>
      <c r="Q59" s="91"/>
    </row>
    <row r="60" spans="1:17" ht="15.6" outlineLevel="1" x14ac:dyDescent="0.3">
      <c r="A60" s="151">
        <f t="shared" si="3"/>
        <v>38</v>
      </c>
      <c r="B60" s="328" t="s">
        <v>662</v>
      </c>
      <c r="C60" s="153"/>
      <c r="D60" s="1177"/>
      <c r="E60" s="1089">
        <v>2053105</v>
      </c>
      <c r="F60" s="1016">
        <f t="shared" si="2"/>
        <v>0</v>
      </c>
      <c r="G60" s="1016">
        <f t="shared" si="1"/>
        <v>-25457</v>
      </c>
      <c r="H60" s="1017"/>
      <c r="I60" s="1092">
        <v>2027648</v>
      </c>
      <c r="J60" s="151">
        <f t="shared" si="4"/>
        <v>38</v>
      </c>
      <c r="K60" s="120"/>
      <c r="L60" s="1175"/>
      <c r="M60" s="120"/>
      <c r="N60" s="120"/>
      <c r="O60" s="120"/>
      <c r="P60" s="120"/>
      <c r="Q60" s="91"/>
    </row>
    <row r="61" spans="1:17" ht="15.6" outlineLevel="1" x14ac:dyDescent="0.3">
      <c r="A61" s="151">
        <f t="shared" si="3"/>
        <v>39</v>
      </c>
      <c r="B61" s="328" t="s">
        <v>663</v>
      </c>
      <c r="C61" s="154"/>
      <c r="D61" s="1177"/>
      <c r="E61" s="1089">
        <v>2081</v>
      </c>
      <c r="F61" s="1016">
        <f t="shared" si="2"/>
        <v>0</v>
      </c>
      <c r="G61" s="1016">
        <f t="shared" si="1"/>
        <v>0</v>
      </c>
      <c r="H61" s="1017"/>
      <c r="I61" s="1092">
        <v>2081</v>
      </c>
      <c r="J61" s="151">
        <f t="shared" si="4"/>
        <v>39</v>
      </c>
      <c r="K61" s="120"/>
      <c r="L61" s="1175"/>
      <c r="M61" s="120"/>
      <c r="N61" s="120"/>
      <c r="O61" s="120"/>
      <c r="P61" s="120"/>
      <c r="Q61" s="91"/>
    </row>
    <row r="62" spans="1:17" ht="15.6" outlineLevel="1" x14ac:dyDescent="0.3">
      <c r="A62" s="151">
        <f t="shared" si="3"/>
        <v>40</v>
      </c>
      <c r="B62" s="328" t="s">
        <v>1445</v>
      </c>
      <c r="C62" s="154"/>
      <c r="D62" s="1177"/>
      <c r="E62" s="1089">
        <v>795</v>
      </c>
      <c r="F62" s="1016"/>
      <c r="G62" s="1016">
        <f t="shared" si="1"/>
        <v>0</v>
      </c>
      <c r="H62" s="1017"/>
      <c r="I62" s="1092">
        <v>795</v>
      </c>
      <c r="J62" s="151">
        <f t="shared" si="4"/>
        <v>40</v>
      </c>
      <c r="K62" s="120"/>
      <c r="L62" s="1175"/>
      <c r="M62" s="120"/>
      <c r="N62" s="120"/>
      <c r="O62" s="120"/>
      <c r="P62" s="120"/>
      <c r="Q62" s="91"/>
    </row>
    <row r="63" spans="1:17" ht="15.6" outlineLevel="1" x14ac:dyDescent="0.3">
      <c r="A63" s="151">
        <f t="shared" si="3"/>
        <v>41</v>
      </c>
      <c r="B63" s="328" t="s">
        <v>1301</v>
      </c>
      <c r="C63" s="154"/>
      <c r="D63" s="1177"/>
      <c r="E63" s="1089">
        <v>3600</v>
      </c>
      <c r="F63" s="1016"/>
      <c r="G63" s="1016">
        <f t="shared" si="1"/>
        <v>0</v>
      </c>
      <c r="H63" s="1017"/>
      <c r="I63" s="1092">
        <v>3600</v>
      </c>
      <c r="J63" s="151">
        <f t="shared" si="4"/>
        <v>41</v>
      </c>
      <c r="K63" s="120"/>
      <c r="L63" s="1175"/>
      <c r="M63" s="120"/>
      <c r="N63" s="120"/>
      <c r="O63" s="120"/>
      <c r="P63" s="120"/>
      <c r="Q63" s="91"/>
    </row>
    <row r="64" spans="1:17" ht="15.6" outlineLevel="1" x14ac:dyDescent="0.3">
      <c r="A64" s="151">
        <f t="shared" si="3"/>
        <v>42</v>
      </c>
      <c r="B64" s="328" t="s">
        <v>664</v>
      </c>
      <c r="C64" s="153"/>
      <c r="D64" s="1177"/>
      <c r="E64" s="1089">
        <v>343458</v>
      </c>
      <c r="F64" s="1016">
        <f t="shared" si="2"/>
        <v>0</v>
      </c>
      <c r="G64" s="1016">
        <f t="shared" si="1"/>
        <v>0</v>
      </c>
      <c r="H64" s="1017"/>
      <c r="I64" s="1092">
        <v>343458</v>
      </c>
      <c r="J64" s="151">
        <f t="shared" si="4"/>
        <v>42</v>
      </c>
      <c r="K64" s="120"/>
      <c r="L64" s="1175"/>
      <c r="M64" s="120"/>
      <c r="N64" s="120"/>
      <c r="O64" s="120"/>
      <c r="P64" s="120"/>
      <c r="Q64" s="91"/>
    </row>
    <row r="65" spans="1:17" ht="15.6" outlineLevel="1" x14ac:dyDescent="0.3">
      <c r="A65" s="151">
        <f t="shared" si="3"/>
        <v>43</v>
      </c>
      <c r="B65" s="328" t="s">
        <v>1132</v>
      </c>
      <c r="C65" s="153"/>
      <c r="D65" s="1177"/>
      <c r="E65" s="1089">
        <f>16478+9054+491+47515+10503</f>
        <v>84041</v>
      </c>
      <c r="F65" s="1016"/>
      <c r="G65" s="1016">
        <f t="shared" si="1"/>
        <v>0</v>
      </c>
      <c r="H65" s="1017"/>
      <c r="I65" s="1092">
        <f>16478+9054+491+47515+10503</f>
        <v>84041</v>
      </c>
      <c r="J65" s="151">
        <f t="shared" si="4"/>
        <v>43</v>
      </c>
      <c r="K65" s="120"/>
      <c r="L65" s="1175"/>
      <c r="M65" s="120"/>
      <c r="N65" s="120"/>
      <c r="O65" s="120"/>
      <c r="P65" s="120"/>
      <c r="Q65" s="91"/>
    </row>
    <row r="66" spans="1:17" ht="15.6" x14ac:dyDescent="0.3">
      <c r="A66" s="151">
        <f t="shared" si="3"/>
        <v>44</v>
      </c>
      <c r="B66" s="328"/>
      <c r="C66" s="153"/>
      <c r="D66" s="710"/>
      <c r="E66" s="1089"/>
      <c r="F66" s="1016">
        <f t="shared" si="2"/>
        <v>0</v>
      </c>
      <c r="G66" s="1016">
        <f t="shared" si="1"/>
        <v>0</v>
      </c>
      <c r="H66" s="1017"/>
      <c r="I66" s="1093"/>
      <c r="J66" s="151">
        <f t="shared" si="4"/>
        <v>44</v>
      </c>
      <c r="K66" s="120"/>
      <c r="L66" s="1175"/>
      <c r="M66" s="120"/>
      <c r="N66" s="120"/>
      <c r="O66" s="120"/>
      <c r="P66" s="120"/>
      <c r="Q66" s="91"/>
    </row>
    <row r="67" spans="1:17" ht="15.6" x14ac:dyDescent="0.25">
      <c r="A67" s="151">
        <f t="shared" si="3"/>
        <v>45</v>
      </c>
      <c r="B67" s="329" t="s">
        <v>665</v>
      </c>
      <c r="C67" s="153"/>
      <c r="D67" s="710"/>
      <c r="E67" s="711"/>
      <c r="F67" s="1016"/>
      <c r="G67" s="1016">
        <f t="shared" si="1"/>
        <v>0</v>
      </c>
      <c r="H67" s="1017"/>
      <c r="I67" s="1093"/>
      <c r="J67" s="151">
        <f t="shared" si="4"/>
        <v>45</v>
      </c>
      <c r="K67" s="120"/>
      <c r="L67" s="1175"/>
      <c r="M67" s="120"/>
      <c r="N67" s="120"/>
      <c r="O67" s="120"/>
      <c r="P67" s="120"/>
      <c r="Q67" s="91"/>
    </row>
    <row r="68" spans="1:17" x14ac:dyDescent="0.25">
      <c r="A68" s="151">
        <f t="shared" si="3"/>
        <v>46</v>
      </c>
      <c r="B68" s="152" t="s">
        <v>666</v>
      </c>
      <c r="C68" s="153"/>
      <c r="D68" s="710"/>
      <c r="E68" s="1089"/>
      <c r="F68" s="1016">
        <f t="shared" si="2"/>
        <v>0</v>
      </c>
      <c r="G68" s="1016">
        <f t="shared" si="1"/>
        <v>0</v>
      </c>
      <c r="H68" s="1017"/>
      <c r="I68" s="1092">
        <v>0</v>
      </c>
      <c r="J68" s="151">
        <f t="shared" si="4"/>
        <v>46</v>
      </c>
      <c r="K68" s="120"/>
      <c r="L68" s="1175"/>
      <c r="M68" s="120"/>
      <c r="N68" s="120"/>
      <c r="O68" s="120"/>
      <c r="P68" s="120"/>
      <c r="Q68" s="91"/>
    </row>
    <row r="69" spans="1:17" x14ac:dyDescent="0.25">
      <c r="A69" s="151">
        <f t="shared" si="3"/>
        <v>47</v>
      </c>
      <c r="B69" s="152" t="s">
        <v>1452</v>
      </c>
      <c r="C69" s="153"/>
      <c r="D69" s="710"/>
      <c r="E69" s="1089">
        <v>698</v>
      </c>
      <c r="F69" s="1016">
        <f t="shared" si="2"/>
        <v>0</v>
      </c>
      <c r="G69" s="1016">
        <f t="shared" si="1"/>
        <v>0</v>
      </c>
      <c r="H69" s="1017"/>
      <c r="I69" s="1092">
        <v>698</v>
      </c>
      <c r="J69" s="151">
        <f t="shared" si="4"/>
        <v>47</v>
      </c>
      <c r="K69" s="120"/>
      <c r="L69" s="1175"/>
      <c r="M69" s="120"/>
      <c r="N69" s="120"/>
      <c r="O69" s="120"/>
      <c r="P69" s="120"/>
      <c r="Q69" s="91"/>
    </row>
    <row r="70" spans="1:17" x14ac:dyDescent="0.25">
      <c r="A70" s="151">
        <f t="shared" si="3"/>
        <v>48</v>
      </c>
      <c r="B70" s="152" t="s">
        <v>1302</v>
      </c>
      <c r="C70" s="153"/>
      <c r="D70" s="710"/>
      <c r="E70" s="1089"/>
      <c r="F70" s="1016">
        <f t="shared" si="2"/>
        <v>0</v>
      </c>
      <c r="G70" s="1016">
        <f t="shared" si="1"/>
        <v>0</v>
      </c>
      <c r="H70" s="1017"/>
      <c r="I70" s="1092"/>
      <c r="J70" s="151">
        <f t="shared" si="4"/>
        <v>48</v>
      </c>
      <c r="K70" s="120"/>
      <c r="L70" s="1175"/>
      <c r="M70" s="120"/>
      <c r="N70" s="120"/>
      <c r="O70" s="120"/>
      <c r="P70" s="120"/>
      <c r="Q70" s="91"/>
    </row>
    <row r="71" spans="1:17" x14ac:dyDescent="0.25">
      <c r="A71" s="151">
        <f t="shared" si="3"/>
        <v>49</v>
      </c>
      <c r="B71" s="152" t="s">
        <v>1339</v>
      </c>
      <c r="C71" s="153"/>
      <c r="D71" s="710"/>
      <c r="E71" s="1089"/>
      <c r="F71" s="1016">
        <f t="shared" si="2"/>
        <v>0</v>
      </c>
      <c r="G71" s="1016">
        <f t="shared" si="1"/>
        <v>0</v>
      </c>
      <c r="H71" s="1017"/>
      <c r="I71" s="1092"/>
      <c r="J71" s="151">
        <f t="shared" si="4"/>
        <v>49</v>
      </c>
      <c r="K71" s="120"/>
      <c r="L71" s="1175"/>
      <c r="M71" s="120"/>
      <c r="N71" s="120"/>
      <c r="O71" s="120"/>
      <c r="P71" s="120"/>
      <c r="Q71" s="91"/>
    </row>
    <row r="72" spans="1:17" x14ac:dyDescent="0.25">
      <c r="A72" s="151">
        <f t="shared" si="3"/>
        <v>50</v>
      </c>
      <c r="B72" s="152" t="s">
        <v>1369</v>
      </c>
      <c r="C72" s="153"/>
      <c r="D72" s="710"/>
      <c r="E72" s="1089"/>
      <c r="F72" s="1016">
        <f t="shared" si="2"/>
        <v>0</v>
      </c>
      <c r="G72" s="1016">
        <f t="shared" si="1"/>
        <v>0</v>
      </c>
      <c r="H72" s="1017"/>
      <c r="I72" s="1092"/>
      <c r="J72" s="151">
        <f t="shared" si="4"/>
        <v>50</v>
      </c>
      <c r="K72" s="120"/>
      <c r="L72" s="1175"/>
      <c r="M72" s="120"/>
      <c r="N72" s="120"/>
      <c r="O72" s="120"/>
      <c r="P72" s="120"/>
      <c r="Q72" s="91"/>
    </row>
    <row r="73" spans="1:17" x14ac:dyDescent="0.25">
      <c r="A73" s="151">
        <f t="shared" si="3"/>
        <v>51</v>
      </c>
      <c r="B73" s="153" t="s">
        <v>1451</v>
      </c>
      <c r="C73" s="153"/>
      <c r="D73" s="710"/>
      <c r="E73" s="1089">
        <v>544</v>
      </c>
      <c r="F73" s="1016">
        <f t="shared" si="2"/>
        <v>0</v>
      </c>
      <c r="G73" s="1016">
        <f t="shared" si="1"/>
        <v>0</v>
      </c>
      <c r="H73" s="1017"/>
      <c r="I73" s="1092">
        <v>544</v>
      </c>
      <c r="J73" s="151">
        <f t="shared" si="4"/>
        <v>51</v>
      </c>
      <c r="K73" s="120"/>
      <c r="L73" s="1175"/>
      <c r="M73" s="120"/>
      <c r="N73" s="120"/>
      <c r="O73" s="120"/>
      <c r="P73" s="120"/>
      <c r="Q73" s="91"/>
    </row>
    <row r="74" spans="1:17" x14ac:dyDescent="0.25">
      <c r="A74" s="151">
        <f t="shared" si="3"/>
        <v>52</v>
      </c>
      <c r="B74" s="153" t="s">
        <v>1450</v>
      </c>
      <c r="C74" s="153"/>
      <c r="D74" s="710"/>
      <c r="E74" s="1089">
        <v>10326</v>
      </c>
      <c r="F74" s="1016">
        <f t="shared" si="2"/>
        <v>0</v>
      </c>
      <c r="G74" s="1016">
        <f t="shared" si="1"/>
        <v>0</v>
      </c>
      <c r="H74" s="1017"/>
      <c r="I74" s="1092">
        <v>10326</v>
      </c>
      <c r="J74" s="151">
        <f t="shared" si="4"/>
        <v>52</v>
      </c>
      <c r="K74" s="120"/>
      <c r="L74" s="1175"/>
      <c r="M74" s="120"/>
      <c r="N74" s="120"/>
      <c r="O74" s="120"/>
      <c r="P74" s="120"/>
      <c r="Q74" s="91"/>
    </row>
    <row r="75" spans="1:17" x14ac:dyDescent="0.25">
      <c r="A75" s="151">
        <f t="shared" si="3"/>
        <v>53</v>
      </c>
      <c r="B75" s="153" t="s">
        <v>1448</v>
      </c>
      <c r="C75" s="153"/>
      <c r="D75" s="712"/>
      <c r="E75" s="1089">
        <v>16146</v>
      </c>
      <c r="F75" s="1016">
        <f t="shared" si="2"/>
        <v>0</v>
      </c>
      <c r="G75" s="1016">
        <f t="shared" si="1"/>
        <v>0</v>
      </c>
      <c r="H75" s="1017"/>
      <c r="I75" s="1092">
        <v>16146</v>
      </c>
      <c r="J75" s="151">
        <f t="shared" si="4"/>
        <v>53</v>
      </c>
      <c r="K75" s="120"/>
      <c r="L75" s="1175"/>
      <c r="M75" s="120"/>
      <c r="N75" s="120"/>
      <c r="O75" s="120"/>
      <c r="P75" s="120"/>
      <c r="Q75" s="91"/>
    </row>
    <row r="76" spans="1:17" x14ac:dyDescent="0.25">
      <c r="A76" s="151">
        <f t="shared" si="3"/>
        <v>54</v>
      </c>
      <c r="B76" s="153" t="s">
        <v>1449</v>
      </c>
      <c r="C76" s="153"/>
      <c r="D76" s="712"/>
      <c r="E76" s="1089">
        <v>2996</v>
      </c>
      <c r="F76" s="1016"/>
      <c r="G76" s="1016">
        <f t="shared" si="1"/>
        <v>0</v>
      </c>
      <c r="H76" s="1017"/>
      <c r="I76" s="1092">
        <v>2996</v>
      </c>
      <c r="J76" s="151">
        <f t="shared" si="4"/>
        <v>54</v>
      </c>
      <c r="K76" s="120"/>
      <c r="L76" s="1175"/>
      <c r="M76" s="120"/>
      <c r="N76" s="120"/>
      <c r="O76" s="120"/>
      <c r="P76" s="120"/>
      <c r="Q76" s="91"/>
    </row>
    <row r="77" spans="1:17" x14ac:dyDescent="0.25">
      <c r="A77" s="151">
        <f t="shared" si="3"/>
        <v>55</v>
      </c>
      <c r="B77" s="153" t="s">
        <v>1338</v>
      </c>
      <c r="C77" s="153"/>
      <c r="D77" s="712"/>
      <c r="E77" s="1089">
        <f>3202+2893+3232-2</f>
        <v>9325</v>
      </c>
      <c r="F77" s="1016"/>
      <c r="G77" s="1016">
        <f t="shared" si="1"/>
        <v>0</v>
      </c>
      <c r="H77" s="1017"/>
      <c r="I77" s="1089">
        <f>3202+2893+3232-2</f>
        <v>9325</v>
      </c>
      <c r="J77" s="151">
        <f t="shared" si="4"/>
        <v>55</v>
      </c>
      <c r="K77" s="120"/>
      <c r="L77" s="1175"/>
      <c r="M77" s="120"/>
      <c r="N77" s="120"/>
      <c r="O77" s="120"/>
      <c r="P77" s="120"/>
      <c r="Q77" s="91"/>
    </row>
    <row r="78" spans="1:17" x14ac:dyDescent="0.25">
      <c r="A78" s="151">
        <f t="shared" si="3"/>
        <v>56</v>
      </c>
      <c r="B78" s="155"/>
      <c r="C78" s="155"/>
      <c r="D78" s="712"/>
      <c r="E78" s="1006"/>
      <c r="F78" s="1016">
        <f t="shared" si="2"/>
        <v>0</v>
      </c>
      <c r="G78" s="1016">
        <f t="shared" si="1"/>
        <v>0</v>
      </c>
      <c r="H78" s="1017"/>
      <c r="I78" s="1092"/>
      <c r="J78" s="151">
        <f t="shared" si="4"/>
        <v>56</v>
      </c>
      <c r="K78" s="120"/>
      <c r="L78" s="1175"/>
      <c r="M78" s="120"/>
      <c r="N78" s="120"/>
      <c r="O78" s="120"/>
      <c r="P78" s="120"/>
      <c r="Q78" s="91"/>
    </row>
    <row r="79" spans="1:17" ht="15.6" x14ac:dyDescent="0.25">
      <c r="A79" s="151">
        <f t="shared" si="3"/>
        <v>57</v>
      </c>
      <c r="B79" s="156" t="s">
        <v>299</v>
      </c>
      <c r="C79" s="157"/>
      <c r="D79" s="713"/>
      <c r="E79" s="1007">
        <f t="shared" ref="E79:I79" si="5">+SUM(E24:E78)</f>
        <v>8495999</v>
      </c>
      <c r="F79" s="1018">
        <f t="shared" si="5"/>
        <v>-838</v>
      </c>
      <c r="G79" s="1019">
        <f t="shared" si="5"/>
        <v>703616</v>
      </c>
      <c r="H79" s="1007">
        <f t="shared" si="5"/>
        <v>211903</v>
      </c>
      <c r="I79" s="1007">
        <f t="shared" si="5"/>
        <v>9199615</v>
      </c>
      <c r="J79" s="151">
        <f t="shared" si="4"/>
        <v>57</v>
      </c>
      <c r="K79" s="120"/>
      <c r="L79" s="120"/>
      <c r="M79" s="120"/>
      <c r="N79" s="120"/>
      <c r="O79" s="120"/>
      <c r="P79" s="120"/>
      <c r="Q79" s="91"/>
    </row>
    <row r="80" spans="1:17" x14ac:dyDescent="0.25">
      <c r="A80" s="151">
        <f t="shared" si="3"/>
        <v>58</v>
      </c>
      <c r="B80" s="155"/>
      <c r="C80" s="158"/>
      <c r="D80" s="1008"/>
      <c r="E80" s="1009">
        <v>0</v>
      </c>
      <c r="F80" s="1020">
        <f t="shared" ref="F80:G82" si="6">+H80-D80</f>
        <v>0</v>
      </c>
      <c r="G80" s="1021">
        <f t="shared" si="6"/>
        <v>0</v>
      </c>
      <c r="H80" s="1022">
        <v>0</v>
      </c>
      <c r="I80" s="1014">
        <v>0</v>
      </c>
      <c r="J80" s="151">
        <f t="shared" si="4"/>
        <v>58</v>
      </c>
      <c r="K80" s="120"/>
      <c r="L80" s="120"/>
      <c r="M80" s="120"/>
      <c r="N80" s="120"/>
      <c r="O80" s="120"/>
      <c r="P80" s="120"/>
      <c r="Q80" s="91"/>
    </row>
    <row r="81" spans="1:17" x14ac:dyDescent="0.25">
      <c r="A81" s="151">
        <f t="shared" si="3"/>
        <v>59</v>
      </c>
      <c r="B81" s="415"/>
      <c r="C81" s="155"/>
      <c r="D81" s="1010"/>
      <c r="E81" s="1011">
        <v>0</v>
      </c>
      <c r="F81" s="1023">
        <f t="shared" si="6"/>
        <v>0</v>
      </c>
      <c r="G81" s="1024">
        <f t="shared" si="6"/>
        <v>0</v>
      </c>
      <c r="H81" s="1017">
        <v>0</v>
      </c>
      <c r="I81" s="1014"/>
      <c r="J81" s="151">
        <f t="shared" si="4"/>
        <v>59</v>
      </c>
      <c r="K81" s="120"/>
      <c r="L81" s="120"/>
      <c r="M81" s="120"/>
      <c r="N81" s="120"/>
      <c r="O81" s="120"/>
      <c r="P81" s="120"/>
      <c r="Q81" s="91"/>
    </row>
    <row r="82" spans="1:17" ht="15.6" x14ac:dyDescent="0.25">
      <c r="A82" s="151">
        <f t="shared" si="3"/>
        <v>60</v>
      </c>
      <c r="B82" s="159" t="s">
        <v>300</v>
      </c>
      <c r="C82" s="160"/>
      <c r="D82" s="1012">
        <f>+D81+D80</f>
        <v>0</v>
      </c>
      <c r="E82" s="1012">
        <f>+E81+E80</f>
        <v>0</v>
      </c>
      <c r="F82" s="1018">
        <f t="shared" si="6"/>
        <v>0</v>
      </c>
      <c r="G82" s="1018">
        <f t="shared" si="6"/>
        <v>0</v>
      </c>
      <c r="H82" s="1012">
        <f>+H81+H80</f>
        <v>0</v>
      </c>
      <c r="I82" s="1012">
        <f>+I81+I80</f>
        <v>0</v>
      </c>
      <c r="J82" s="151">
        <f t="shared" si="4"/>
        <v>60</v>
      </c>
      <c r="K82" s="120"/>
      <c r="L82" s="120"/>
      <c r="M82" s="120"/>
      <c r="N82" s="120"/>
      <c r="O82" s="120"/>
      <c r="P82" s="120"/>
      <c r="Q82" s="91"/>
    </row>
    <row r="83" spans="1:17" ht="15.6" x14ac:dyDescent="0.25">
      <c r="A83" s="151">
        <f t="shared" si="3"/>
        <v>61</v>
      </c>
      <c r="B83" s="159" t="s">
        <v>301</v>
      </c>
      <c r="C83" s="160"/>
      <c r="D83" s="1012">
        <f t="shared" ref="D83:I83" si="7">+D79-D82</f>
        <v>0</v>
      </c>
      <c r="E83" s="1012">
        <f t="shared" si="7"/>
        <v>8495999</v>
      </c>
      <c r="F83" s="1018">
        <f t="shared" si="7"/>
        <v>-838</v>
      </c>
      <c r="G83" s="1018">
        <f t="shared" si="7"/>
        <v>703616</v>
      </c>
      <c r="H83" s="1012">
        <f t="shared" si="7"/>
        <v>211903</v>
      </c>
      <c r="I83" s="1012">
        <f t="shared" si="7"/>
        <v>9199615</v>
      </c>
      <c r="J83" s="151">
        <f t="shared" si="4"/>
        <v>61</v>
      </c>
      <c r="K83" s="120"/>
      <c r="L83" s="120"/>
      <c r="M83" s="120"/>
      <c r="N83" s="120"/>
      <c r="O83" s="120"/>
      <c r="P83" s="120"/>
      <c r="Q83" s="91"/>
    </row>
    <row r="84" spans="1:17" ht="16.2" thickBot="1" x14ac:dyDescent="0.3">
      <c r="A84" s="151">
        <f t="shared" si="3"/>
        <v>62</v>
      </c>
      <c r="B84" s="161" t="s">
        <v>87</v>
      </c>
      <c r="C84" s="162"/>
      <c r="D84" s="1013"/>
      <c r="E84" s="1013"/>
      <c r="F84" s="1025">
        <f t="shared" ref="F84" si="8">+F23</f>
        <v>0</v>
      </c>
      <c r="G84" s="1025"/>
      <c r="H84" s="1013">
        <f>+H23</f>
        <v>77881</v>
      </c>
      <c r="I84" s="1026"/>
      <c r="J84" s="151">
        <f t="shared" si="4"/>
        <v>62</v>
      </c>
      <c r="K84" s="120"/>
      <c r="L84" s="120"/>
      <c r="M84" s="120"/>
      <c r="N84" s="120"/>
      <c r="O84" s="120"/>
      <c r="P84" s="120"/>
      <c r="Q84" s="91"/>
    </row>
    <row r="85" spans="1:17" ht="15.6" x14ac:dyDescent="0.25">
      <c r="A85" s="151">
        <f t="shared" si="3"/>
        <v>63</v>
      </c>
      <c r="B85" s="159" t="s">
        <v>113</v>
      </c>
      <c r="C85" s="160"/>
      <c r="D85" s="1012">
        <f t="shared" ref="D85:I85" si="9">+D83+D84</f>
        <v>0</v>
      </c>
      <c r="E85" s="1012">
        <f t="shared" si="9"/>
        <v>8495999</v>
      </c>
      <c r="F85" s="1018">
        <f t="shared" si="9"/>
        <v>-838</v>
      </c>
      <c r="G85" s="1018">
        <f t="shared" si="9"/>
        <v>703616</v>
      </c>
      <c r="H85" s="1012">
        <f>+H83+H84</f>
        <v>289784</v>
      </c>
      <c r="I85" s="1012">
        <f t="shared" si="9"/>
        <v>9199615</v>
      </c>
      <c r="J85" s="151">
        <f t="shared" si="4"/>
        <v>63</v>
      </c>
      <c r="K85" s="120"/>
      <c r="L85" s="120"/>
      <c r="M85" s="120"/>
      <c r="N85" s="120"/>
      <c r="O85" s="120"/>
      <c r="P85" s="120"/>
      <c r="Q85" s="91"/>
    </row>
    <row r="86" spans="1:17" x14ac:dyDescent="0.25">
      <c r="A86" s="120"/>
      <c r="B86" s="120"/>
      <c r="C86" s="120"/>
      <c r="D86" s="241"/>
      <c r="E86" s="590">
        <f>+D12-E85</f>
        <v>0.33999999985098839</v>
      </c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91"/>
    </row>
    <row r="87" spans="1:17" x14ac:dyDescent="0.25">
      <c r="A87" s="91"/>
      <c r="B87" s="163"/>
      <c r="C87" s="163"/>
      <c r="D87" s="163"/>
      <c r="E87" s="163"/>
      <c r="F87" s="163"/>
      <c r="G87" s="163"/>
      <c r="H87" s="163"/>
      <c r="I87" s="91"/>
      <c r="J87" s="91"/>
      <c r="K87" s="91"/>
      <c r="L87" s="91"/>
      <c r="M87" s="91"/>
      <c r="N87" s="91"/>
      <c r="O87" s="91"/>
      <c r="P87" s="91"/>
      <c r="Q87" s="91"/>
    </row>
    <row r="88" spans="1:17" x14ac:dyDescent="0.25">
      <c r="A88" s="91"/>
      <c r="B88" s="163"/>
      <c r="C88" s="163"/>
      <c r="D88" s="163"/>
      <c r="E88" s="163"/>
      <c r="F88" s="163"/>
      <c r="G88" s="163"/>
      <c r="H88" s="163"/>
      <c r="I88" s="91"/>
      <c r="J88" s="91"/>
      <c r="K88" s="91"/>
      <c r="L88" s="91"/>
      <c r="M88" s="91"/>
      <c r="N88" s="91"/>
      <c r="O88" s="91"/>
      <c r="P88" s="91"/>
      <c r="Q88" s="91"/>
    </row>
  </sheetData>
  <mergeCells count="6">
    <mergeCell ref="H21:I21"/>
    <mergeCell ref="J21:J22"/>
    <mergeCell ref="A21:A22"/>
    <mergeCell ref="B21:C22"/>
    <mergeCell ref="D21:E21"/>
    <mergeCell ref="F21:G21"/>
  </mergeCells>
  <phoneticPr fontId="12" type="noConversion"/>
  <pageMargins left="0.49" right="0.26" top="0.83" bottom="0.87" header="0.36" footer="0.5"/>
  <pageSetup scale="42" orientation="portrait" r:id="rId1"/>
  <headerFooter alignWithMargins="0">
    <oddHeader>&amp;C&amp;"Arial,Bold"&amp;8
&amp;R&amp;A</oddHeader>
    <oddFooter>&amp;L&amp;8&amp;Z&amp;F&amp;A&amp;R&amp;8&amp;T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95"/>
  <sheetViews>
    <sheetView showGridLines="0" zoomScaleNormal="100" workbookViewId="0">
      <selection activeCell="E53" sqref="E53"/>
    </sheetView>
  </sheetViews>
  <sheetFormatPr defaultColWidth="8" defaultRowHeight="13.2" x14ac:dyDescent="0.25"/>
  <cols>
    <col min="1" max="1" width="9.08984375" style="38" customWidth="1"/>
    <col min="2" max="2" width="21.453125" style="38" customWidth="1"/>
    <col min="3" max="3" width="12.453125" style="38" customWidth="1"/>
    <col min="4" max="4" width="14.08984375" style="38" bestFit="1" customWidth="1"/>
    <col min="5" max="5" width="12.453125" style="38" customWidth="1"/>
    <col min="6" max="6" width="14" style="38" bestFit="1" customWidth="1"/>
    <col min="7" max="7" width="23.36328125" style="38" customWidth="1"/>
    <col min="8" max="8" width="4.90625" style="38" customWidth="1"/>
    <col min="9" max="9" width="9.1796875" style="38" customWidth="1"/>
    <col min="10" max="10" width="3" style="38" customWidth="1"/>
    <col min="11" max="13" width="8" style="38" customWidth="1"/>
    <col min="14" max="14" width="9.08984375" style="38" customWidth="1"/>
    <col min="15" max="17" width="8" style="38" customWidth="1"/>
    <col min="18" max="18" width="11" style="38" bestFit="1" customWidth="1"/>
    <col min="19" max="16384" width="8" style="38"/>
  </cols>
  <sheetData>
    <row r="1" spans="1:11" x14ac:dyDescent="0.25">
      <c r="A1" s="62" t="s">
        <v>747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25">
      <c r="A2" s="33" t="s">
        <v>89</v>
      </c>
      <c r="B2" s="33"/>
      <c r="C2" s="33"/>
      <c r="D2" s="33"/>
      <c r="E2" s="33"/>
      <c r="F2" s="33"/>
      <c r="G2" s="33"/>
      <c r="H2" s="33"/>
      <c r="I2" s="36"/>
      <c r="J2" s="36"/>
      <c r="K2" s="36"/>
    </row>
    <row r="3" spans="1:11" x14ac:dyDescent="0.25">
      <c r="A3" s="33" t="s">
        <v>642</v>
      </c>
      <c r="B3" s="36"/>
      <c r="C3" s="62"/>
      <c r="D3" s="33"/>
      <c r="E3" s="33"/>
      <c r="F3" s="33"/>
      <c r="G3" s="33"/>
      <c r="H3" s="33"/>
      <c r="I3" s="33"/>
      <c r="J3" s="33"/>
      <c r="K3" s="36"/>
    </row>
    <row r="4" spans="1:1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6"/>
    </row>
    <row r="5" spans="1:11" x14ac:dyDescent="0.25">
      <c r="A5" s="33"/>
      <c r="B5" s="127"/>
      <c r="C5" s="33"/>
      <c r="D5" s="33"/>
      <c r="E5" s="33"/>
      <c r="F5" s="33"/>
      <c r="G5" s="33"/>
      <c r="H5" s="33"/>
      <c r="I5" s="33"/>
      <c r="J5" s="33"/>
      <c r="K5" s="36"/>
    </row>
    <row r="6" spans="1:11" x14ac:dyDescent="0.25">
      <c r="A6" s="59" t="s">
        <v>616</v>
      </c>
      <c r="B6" s="126"/>
      <c r="C6" s="33"/>
      <c r="D6" s="52"/>
      <c r="E6" s="52"/>
      <c r="F6" s="52"/>
      <c r="G6" s="33"/>
      <c r="H6" s="127"/>
      <c r="I6" s="127"/>
      <c r="J6" s="127"/>
      <c r="K6" s="127"/>
    </row>
    <row r="7" spans="1:11" x14ac:dyDescent="0.25">
      <c r="A7" s="33"/>
      <c r="B7" s="33"/>
      <c r="C7" s="33"/>
      <c r="D7" s="60" t="s">
        <v>114</v>
      </c>
      <c r="E7" s="60" t="s">
        <v>342</v>
      </c>
      <c r="F7" s="60" t="str">
        <f>+'S1-Revenue Requirement'!E6</f>
        <v>11/1/22-10/31/23</v>
      </c>
      <c r="G7" s="725"/>
      <c r="H7" s="127"/>
      <c r="I7" s="127"/>
      <c r="J7" s="127"/>
      <c r="K7" s="127"/>
    </row>
    <row r="8" spans="1:11" x14ac:dyDescent="0.25">
      <c r="A8" s="125" t="s">
        <v>236</v>
      </c>
      <c r="B8" s="125" t="s">
        <v>215</v>
      </c>
      <c r="C8" s="129"/>
      <c r="D8" s="61" t="str">
        <f>+'S1-Revenue Requirement'!C6</f>
        <v>7/1/21 - 6/30/22</v>
      </c>
      <c r="E8" s="61" t="s">
        <v>343</v>
      </c>
      <c r="F8" s="61" t="s">
        <v>614</v>
      </c>
      <c r="G8" s="61" t="s">
        <v>216</v>
      </c>
      <c r="H8" s="127"/>
      <c r="I8" s="127"/>
      <c r="J8" s="127"/>
      <c r="K8" s="127"/>
    </row>
    <row r="9" spans="1:11" x14ac:dyDescent="0.25">
      <c r="A9" s="125"/>
      <c r="B9" s="125"/>
      <c r="C9" s="129"/>
      <c r="D9" s="61"/>
      <c r="E9" s="61"/>
      <c r="F9" s="61"/>
      <c r="G9" s="725"/>
      <c r="H9" s="127"/>
      <c r="I9" s="127"/>
      <c r="J9" s="127"/>
      <c r="K9" s="127"/>
    </row>
    <row r="10" spans="1:11" x14ac:dyDescent="0.25">
      <c r="A10" s="33" t="s">
        <v>190</v>
      </c>
      <c r="B10" s="33" t="s">
        <v>92</v>
      </c>
      <c r="C10" s="33"/>
      <c r="D10" s="42">
        <f>+'S6A - Payroll by Function'!C8</f>
        <v>6556.4976565851302</v>
      </c>
      <c r="E10" s="42">
        <f>+F10-D10</f>
        <v>223.62550287662361</v>
      </c>
      <c r="F10" s="42">
        <f>+'S6A - Payroll by Function'!E8</f>
        <v>6780.1231594617539</v>
      </c>
      <c r="G10" s="913" t="s">
        <v>76</v>
      </c>
      <c r="H10" s="213"/>
      <c r="I10" s="127"/>
      <c r="J10" s="127"/>
      <c r="K10" s="127"/>
    </row>
    <row r="11" spans="1:11" x14ac:dyDescent="0.25">
      <c r="A11" s="215"/>
      <c r="B11" s="215"/>
      <c r="C11" s="211"/>
      <c r="D11" s="442"/>
      <c r="E11" s="442"/>
      <c r="F11" s="443"/>
      <c r="G11" s="207"/>
      <c r="H11" s="213"/>
      <c r="I11" s="127"/>
      <c r="J11" s="127"/>
      <c r="K11" s="127"/>
    </row>
    <row r="12" spans="1:11" x14ac:dyDescent="0.25">
      <c r="A12" s="298">
        <v>563.02</v>
      </c>
      <c r="B12" s="33" t="s">
        <v>1265</v>
      </c>
      <c r="C12" s="205"/>
      <c r="D12" s="808">
        <f>+'S6 - Admin &amp; Gen'!E48</f>
        <v>62615</v>
      </c>
      <c r="E12" s="808">
        <f>+F12-D12</f>
        <v>1089.2998124811129</v>
      </c>
      <c r="F12" s="808">
        <f>+'S6 - Admin &amp; Gen'!G48</f>
        <v>63704.299812481113</v>
      </c>
      <c r="G12" s="805" t="s">
        <v>37</v>
      </c>
      <c r="H12" s="213"/>
      <c r="I12" s="127"/>
      <c r="J12" s="127"/>
      <c r="K12" s="127"/>
    </row>
    <row r="13" spans="1:11" hidden="1" x14ac:dyDescent="0.25">
      <c r="A13" s="215"/>
      <c r="B13" s="215"/>
      <c r="C13" s="211"/>
      <c r="D13" s="442"/>
      <c r="E13" s="442"/>
      <c r="F13" s="443"/>
      <c r="G13" s="207"/>
      <c r="H13" s="213"/>
      <c r="I13" s="127"/>
      <c r="J13" s="127"/>
      <c r="K13" s="127"/>
    </row>
    <row r="14" spans="1:11" hidden="1" x14ac:dyDescent="0.25">
      <c r="A14" s="215"/>
      <c r="B14" s="205"/>
      <c r="C14" s="211"/>
      <c r="D14" s="627"/>
      <c r="E14" s="382"/>
      <c r="F14" s="628"/>
      <c r="G14" s="207"/>
      <c r="H14" s="337"/>
      <c r="I14" s="613"/>
      <c r="J14" s="613"/>
      <c r="K14" s="613"/>
    </row>
    <row r="15" spans="1:11" x14ac:dyDescent="0.25">
      <c r="A15" s="224"/>
      <c r="B15" s="205"/>
      <c r="C15" s="211"/>
      <c r="D15" s="627"/>
      <c r="E15" s="382"/>
      <c r="F15" s="628"/>
      <c r="G15" s="207"/>
      <c r="H15" s="337"/>
      <c r="I15" s="613"/>
      <c r="J15" s="613"/>
      <c r="K15" s="613"/>
    </row>
    <row r="16" spans="1:11" x14ac:dyDescent="0.25">
      <c r="A16" s="224"/>
      <c r="B16" s="205"/>
      <c r="C16" s="211"/>
      <c r="D16" s="627"/>
      <c r="E16" s="382"/>
      <c r="F16" s="443"/>
      <c r="G16" s="207"/>
      <c r="H16" s="337"/>
      <c r="I16" s="613"/>
      <c r="J16" s="613"/>
      <c r="K16" s="613"/>
    </row>
    <row r="17" spans="1:11" x14ac:dyDescent="0.25">
      <c r="A17" s="215"/>
      <c r="B17" s="215"/>
      <c r="C17" s="211"/>
      <c r="D17" s="442"/>
      <c r="E17" s="442"/>
      <c r="F17" s="443"/>
      <c r="G17" s="207"/>
      <c r="H17" s="337"/>
      <c r="I17" s="613"/>
      <c r="J17" s="613"/>
      <c r="K17" s="613"/>
    </row>
    <row r="18" spans="1:11" x14ac:dyDescent="0.25">
      <c r="A18" s="298">
        <v>571.03</v>
      </c>
      <c r="B18" s="33" t="s">
        <v>1214</v>
      </c>
      <c r="C18" s="205"/>
      <c r="D18" s="808">
        <f>+'Trial Balance'!C52</f>
        <v>21594.39</v>
      </c>
      <c r="E18" s="42">
        <f>+F18-D18</f>
        <v>-0.38999999999941792</v>
      </c>
      <c r="F18" s="1124">
        <v>21594</v>
      </c>
      <c r="G18" s="805"/>
      <c r="H18" s="213"/>
      <c r="I18" s="1116"/>
      <c r="J18" s="1116"/>
      <c r="K18" s="1116"/>
    </row>
    <row r="19" spans="1:11" hidden="1" x14ac:dyDescent="0.25">
      <c r="A19" s="210"/>
      <c r="B19" s="205"/>
      <c r="C19" s="205"/>
      <c r="D19" s="266"/>
      <c r="E19" s="266"/>
      <c r="F19" s="628"/>
      <c r="G19" s="205"/>
      <c r="H19" s="213"/>
      <c r="I19" s="127"/>
      <c r="J19" s="127"/>
      <c r="K19" s="127"/>
    </row>
    <row r="20" spans="1:11" hidden="1" x14ac:dyDescent="0.25">
      <c r="A20" s="210"/>
      <c r="B20" s="205"/>
      <c r="C20" s="205"/>
      <c r="D20" s="266"/>
      <c r="E20" s="266"/>
      <c r="F20" s="628"/>
      <c r="G20" s="205"/>
      <c r="H20" s="213"/>
      <c r="I20" s="127"/>
      <c r="J20" s="127"/>
      <c r="K20" s="127"/>
    </row>
    <row r="21" spans="1:11" hidden="1" x14ac:dyDescent="0.25">
      <c r="A21" s="210"/>
      <c r="B21" s="205"/>
      <c r="C21" s="205"/>
      <c r="D21" s="266"/>
      <c r="E21" s="266"/>
      <c r="F21" s="714"/>
      <c r="G21" s="205"/>
      <c r="H21" s="213"/>
      <c r="I21" s="127"/>
      <c r="J21" s="127"/>
      <c r="K21" s="127"/>
    </row>
    <row r="22" spans="1:11" hidden="1" x14ac:dyDescent="0.25">
      <c r="A22" s="205"/>
      <c r="B22" s="205"/>
      <c r="C22" s="205"/>
      <c r="D22" s="266"/>
      <c r="E22" s="266"/>
      <c r="F22" s="714"/>
      <c r="G22" s="205"/>
      <c r="H22" s="213"/>
      <c r="I22" s="127"/>
      <c r="J22" s="127"/>
      <c r="K22" s="127"/>
    </row>
    <row r="23" spans="1:11" hidden="1" x14ac:dyDescent="0.25">
      <c r="A23" s="205"/>
      <c r="B23" s="205"/>
      <c r="C23" s="205"/>
      <c r="D23" s="266"/>
      <c r="E23" s="266"/>
      <c r="F23" s="628"/>
      <c r="G23" s="207"/>
      <c r="H23" s="213"/>
      <c r="I23" s="127"/>
      <c r="J23" s="127"/>
      <c r="K23" s="127"/>
    </row>
    <row r="24" spans="1:11" hidden="1" x14ac:dyDescent="0.25">
      <c r="A24" s="210"/>
      <c r="B24" s="205"/>
      <c r="C24" s="205"/>
      <c r="D24" s="266"/>
      <c r="E24" s="266"/>
      <c r="F24" s="628"/>
      <c r="G24" s="207"/>
      <c r="H24" s="213"/>
      <c r="I24" s="127"/>
      <c r="J24" s="127"/>
      <c r="K24" s="127"/>
    </row>
    <row r="25" spans="1:11" x14ac:dyDescent="0.25">
      <c r="A25" s="205"/>
      <c r="B25" s="205"/>
      <c r="C25" s="205"/>
      <c r="D25" s="209"/>
      <c r="E25" s="206"/>
      <c r="F25" s="207"/>
      <c r="G25" s="207"/>
      <c r="H25" s="213"/>
      <c r="I25" s="127"/>
      <c r="J25" s="127"/>
      <c r="K25" s="127"/>
    </row>
    <row r="26" spans="1:11" ht="13.8" thickBot="1" x14ac:dyDescent="0.3">
      <c r="A26" s="303" t="s">
        <v>359</v>
      </c>
      <c r="B26" s="33"/>
      <c r="C26" s="33"/>
      <c r="D26" s="209"/>
      <c r="E26" s="817">
        <f>SUM(E10:E18)</f>
        <v>1312.5353153577371</v>
      </c>
      <c r="F26" s="207"/>
      <c r="G26" s="207"/>
      <c r="H26" s="213"/>
      <c r="I26" s="127"/>
      <c r="J26" s="127"/>
      <c r="K26" s="127"/>
    </row>
    <row r="27" spans="1:11" ht="13.8" thickTop="1" x14ac:dyDescent="0.25">
      <c r="A27" s="212"/>
      <c r="B27" s="205"/>
      <c r="C27" s="205"/>
      <c r="D27" s="209"/>
      <c r="E27" s="929"/>
      <c r="F27" s="207"/>
      <c r="G27" s="207"/>
      <c r="H27" s="213"/>
      <c r="I27" s="127"/>
      <c r="J27" s="127"/>
      <c r="K27" s="127"/>
    </row>
    <row r="28" spans="1:11" x14ac:dyDescent="0.25">
      <c r="A28" s="59"/>
      <c r="B28" s="205"/>
      <c r="C28" s="205"/>
      <c r="D28" s="209"/>
      <c r="E28" s="929"/>
      <c r="F28" s="207"/>
      <c r="G28" s="207"/>
      <c r="H28" s="213"/>
      <c r="I28" s="127"/>
      <c r="J28" s="127"/>
      <c r="K28" s="127"/>
    </row>
    <row r="29" spans="1:11" x14ac:dyDescent="0.25">
      <c r="A29" s="205"/>
      <c r="B29" s="209"/>
      <c r="C29" s="266"/>
      <c r="D29" s="214"/>
      <c r="E29" s="60"/>
      <c r="F29" s="214"/>
      <c r="G29" s="207"/>
      <c r="H29" s="213"/>
      <c r="I29" s="127"/>
      <c r="J29" s="127"/>
      <c r="K29" s="127"/>
    </row>
    <row r="30" spans="1:11" ht="16.8" x14ac:dyDescent="0.55000000000000004">
      <c r="A30" s="267"/>
      <c r="B30" s="267"/>
      <c r="C30" s="268"/>
      <c r="D30" s="381"/>
      <c r="E30" s="61"/>
      <c r="F30" s="381"/>
      <c r="G30" s="207"/>
      <c r="H30" s="213"/>
      <c r="I30" s="127"/>
      <c r="J30" s="127"/>
      <c r="K30" s="127"/>
    </row>
    <row r="31" spans="1:11" x14ac:dyDescent="0.25">
      <c r="A31" s="331"/>
      <c r="B31" s="270"/>
      <c r="C31" s="271"/>
      <c r="D31" s="272"/>
      <c r="E31" s="923"/>
      <c r="F31" s="273"/>
      <c r="G31" s="207"/>
      <c r="H31" s="213"/>
      <c r="I31" s="127"/>
      <c r="J31" s="127"/>
      <c r="K31" s="127"/>
    </row>
    <row r="32" spans="1:11" ht="15" x14ac:dyDescent="0.4">
      <c r="A32" s="331" t="s">
        <v>671</v>
      </c>
      <c r="B32" s="270"/>
      <c r="C32" s="271"/>
      <c r="D32" s="274"/>
      <c r="E32" s="930"/>
      <c r="F32" s="275"/>
      <c r="G32" s="207"/>
      <c r="H32" s="213"/>
      <c r="I32" s="127"/>
      <c r="J32" s="127"/>
      <c r="K32" s="127"/>
    </row>
    <row r="33" spans="1:11" x14ac:dyDescent="0.25">
      <c r="A33" s="269"/>
      <c r="B33" s="276"/>
      <c r="C33" s="271"/>
      <c r="D33" s="60" t="s">
        <v>114</v>
      </c>
      <c r="E33" s="60" t="s">
        <v>342</v>
      </c>
      <c r="F33" s="60" t="str">
        <f>+F7</f>
        <v>11/1/22-10/31/23</v>
      </c>
      <c r="G33" s="725"/>
      <c r="H33" s="213"/>
      <c r="I33" s="127"/>
      <c r="J33" s="127"/>
      <c r="K33" s="127"/>
    </row>
    <row r="34" spans="1:11" x14ac:dyDescent="0.25">
      <c r="A34" s="125" t="s">
        <v>236</v>
      </c>
      <c r="B34" s="125" t="s">
        <v>215</v>
      </c>
      <c r="C34" s="271"/>
      <c r="D34" s="61" t="str">
        <f>+D8</f>
        <v>7/1/21 - 6/30/22</v>
      </c>
      <c r="E34" s="61" t="s">
        <v>343</v>
      </c>
      <c r="F34" s="61" t="str">
        <f>+F8</f>
        <v>ADJ Rate Year</v>
      </c>
      <c r="G34" s="61" t="s">
        <v>216</v>
      </c>
      <c r="H34" s="213"/>
      <c r="I34" s="127"/>
      <c r="J34" s="127"/>
      <c r="K34" s="127"/>
    </row>
    <row r="35" spans="1:11" x14ac:dyDescent="0.25">
      <c r="A35" s="33"/>
      <c r="B35" s="33"/>
      <c r="C35" s="271"/>
      <c r="D35" s="272"/>
      <c r="E35" s="923"/>
      <c r="F35" s="273"/>
      <c r="G35" s="207"/>
      <c r="H35" s="213"/>
      <c r="I35" s="127"/>
      <c r="J35" s="127"/>
      <c r="K35" s="127"/>
    </row>
    <row r="36" spans="1:11" x14ac:dyDescent="0.25">
      <c r="A36" s="33" t="s">
        <v>190</v>
      </c>
      <c r="B36" s="33" t="s">
        <v>92</v>
      </c>
      <c r="C36" s="271"/>
      <c r="D36" s="42">
        <f>+'S6A - Payroll by Function'!C9</f>
        <v>60091.440047600976</v>
      </c>
      <c r="E36" s="42">
        <f>+F36-D36</f>
        <v>2049.5665831175211</v>
      </c>
      <c r="F36" s="42">
        <f>+'S6A - Payroll by Function'!E9</f>
        <v>62141.006630718497</v>
      </c>
      <c r="G36" s="913" t="s">
        <v>76</v>
      </c>
      <c r="H36" s="213"/>
      <c r="I36" s="127"/>
      <c r="J36" s="127"/>
      <c r="K36" s="127"/>
    </row>
    <row r="37" spans="1:11" ht="15" x14ac:dyDescent="0.4">
      <c r="A37" s="269"/>
      <c r="B37" s="270"/>
      <c r="C37" s="271"/>
      <c r="D37" s="927"/>
      <c r="E37" s="928"/>
      <c r="F37" s="928"/>
      <c r="G37" s="913"/>
      <c r="H37" s="213"/>
      <c r="I37" s="127"/>
      <c r="J37" s="127"/>
      <c r="K37" s="127"/>
    </row>
    <row r="38" spans="1:11" x14ac:dyDescent="0.25">
      <c r="A38" s="334">
        <v>538.01</v>
      </c>
      <c r="B38" s="542" t="s">
        <v>1124</v>
      </c>
      <c r="C38" s="336"/>
      <c r="D38" s="809">
        <f>+'S14 - Property Tax Generation'!C11</f>
        <v>34190</v>
      </c>
      <c r="E38" s="42">
        <f>+F38-D38</f>
        <v>880.62593672934599</v>
      </c>
      <c r="F38" s="923">
        <f>+'S14 - Property Tax Generation'!E11</f>
        <v>35070.625936729346</v>
      </c>
      <c r="G38" s="913" t="s">
        <v>1285</v>
      </c>
      <c r="H38" s="649"/>
      <c r="I38" s="127"/>
      <c r="J38" s="127"/>
      <c r="K38" s="127"/>
    </row>
    <row r="39" spans="1:11" x14ac:dyDescent="0.25">
      <c r="A39" s="334"/>
      <c r="B39" s="335"/>
      <c r="C39" s="336"/>
      <c r="D39" s="809"/>
      <c r="E39" s="42"/>
      <c r="F39" s="923"/>
      <c r="G39" s="913"/>
      <c r="H39" s="539"/>
      <c r="I39" s="539"/>
      <c r="J39" s="539"/>
      <c r="K39" s="539"/>
    </row>
    <row r="40" spans="1:11" x14ac:dyDescent="0.25">
      <c r="A40" s="334">
        <v>548.01</v>
      </c>
      <c r="B40" s="542" t="s">
        <v>1125</v>
      </c>
      <c r="C40" s="271"/>
      <c r="D40" s="809">
        <v>100148</v>
      </c>
      <c r="E40" s="923">
        <f>+F40-D40</f>
        <v>81504.72</v>
      </c>
      <c r="F40" s="924">
        <f>+'S14 - Property Tax Generation'!E13</f>
        <v>181652.72</v>
      </c>
      <c r="G40" s="913" t="s">
        <v>1285</v>
      </c>
      <c r="H40" s="1261" t="s">
        <v>1476</v>
      </c>
      <c r="I40" s="1261"/>
      <c r="J40" s="1261"/>
      <c r="K40" s="1261"/>
    </row>
    <row r="41" spans="1:11" x14ac:dyDescent="0.25">
      <c r="A41" s="269"/>
      <c r="B41" s="276"/>
      <c r="C41" s="271"/>
      <c r="D41" s="809"/>
      <c r="E41" s="923"/>
      <c r="F41" s="923"/>
      <c r="G41" s="913"/>
      <c r="H41" s="1261" t="s">
        <v>1477</v>
      </c>
      <c r="I41" s="1264"/>
      <c r="J41" s="1264"/>
      <c r="K41" s="1264"/>
    </row>
    <row r="42" spans="1:11" x14ac:dyDescent="0.25">
      <c r="A42" s="269"/>
      <c r="B42" s="276"/>
      <c r="C42" s="271"/>
      <c r="D42" s="278"/>
      <c r="E42" s="931"/>
      <c r="F42" s="279"/>
      <c r="G42" s="207"/>
      <c r="H42" s="1264" t="s">
        <v>1503</v>
      </c>
      <c r="I42" s="1264"/>
      <c r="J42" s="1264"/>
      <c r="K42" s="1264"/>
    </row>
    <row r="43" spans="1:11" ht="15.6" thickBot="1" x14ac:dyDescent="0.45">
      <c r="A43" s="303" t="s">
        <v>359</v>
      </c>
      <c r="B43" s="33"/>
      <c r="C43" s="33"/>
      <c r="D43" s="209"/>
      <c r="E43" s="817">
        <f>SUM(E36:E40)</f>
        <v>84434.912519846868</v>
      </c>
      <c r="F43" s="280"/>
      <c r="G43" s="207"/>
      <c r="H43" s="1264"/>
      <c r="I43" s="1264"/>
      <c r="J43" s="1264"/>
      <c r="K43" s="1264"/>
    </row>
    <row r="44" spans="1:11" ht="13.8" thickTop="1" x14ac:dyDescent="0.25">
      <c r="A44" s="269"/>
      <c r="B44" s="276"/>
      <c r="C44" s="271"/>
      <c r="D44" s="272"/>
      <c r="E44" s="923"/>
      <c r="F44" s="273"/>
      <c r="G44" s="207"/>
      <c r="H44" s="213"/>
      <c r="I44" s="127"/>
      <c r="J44" s="127"/>
      <c r="K44" s="127"/>
    </row>
    <row r="45" spans="1:11" x14ac:dyDescent="0.25">
      <c r="A45" s="269"/>
      <c r="B45" s="276"/>
      <c r="C45" s="271"/>
      <c r="D45" s="272"/>
      <c r="E45" s="273"/>
      <c r="F45" s="273"/>
      <c r="G45" s="207"/>
      <c r="H45" s="213"/>
      <c r="I45" s="127"/>
      <c r="J45" s="127"/>
      <c r="K45" s="127"/>
    </row>
    <row r="46" spans="1:11" x14ac:dyDescent="0.25">
      <c r="A46" s="269"/>
      <c r="B46" s="276"/>
      <c r="C46" s="271"/>
      <c r="D46" s="272"/>
      <c r="E46" s="273"/>
      <c r="F46" s="273"/>
      <c r="G46" s="207"/>
      <c r="H46" s="213"/>
      <c r="I46" s="127"/>
      <c r="J46" s="127"/>
      <c r="K46" s="127"/>
    </row>
    <row r="47" spans="1:11" ht="15" x14ac:dyDescent="0.4">
      <c r="A47" s="269"/>
      <c r="B47" s="276"/>
      <c r="C47" s="271"/>
      <c r="D47" s="274"/>
      <c r="E47" s="275"/>
      <c r="F47" s="275"/>
      <c r="G47" s="207"/>
      <c r="H47" s="213"/>
      <c r="I47" s="127"/>
      <c r="J47" s="127"/>
      <c r="K47" s="127"/>
    </row>
    <row r="48" spans="1:11" ht="15" x14ac:dyDescent="0.4">
      <c r="A48" s="269"/>
      <c r="B48" s="270"/>
      <c r="C48" s="271"/>
      <c r="D48" s="277"/>
      <c r="E48" s="280"/>
      <c r="F48" s="280"/>
      <c r="G48" s="207"/>
      <c r="H48" s="213"/>
      <c r="I48" s="127"/>
      <c r="J48" s="127"/>
      <c r="K48" s="127"/>
    </row>
    <row r="49" spans="1:11" x14ac:dyDescent="0.25">
      <c r="A49" s="269"/>
      <c r="B49" s="270"/>
      <c r="C49" s="271"/>
      <c r="D49" s="272"/>
      <c r="E49" s="273"/>
      <c r="F49" s="273"/>
      <c r="G49" s="207"/>
      <c r="H49" s="213"/>
      <c r="I49" s="127"/>
      <c r="J49" s="127"/>
      <c r="K49" s="127"/>
    </row>
    <row r="50" spans="1:11" x14ac:dyDescent="0.25">
      <c r="A50" s="269"/>
      <c r="B50" s="270"/>
      <c r="C50" s="271"/>
      <c r="D50" s="272"/>
      <c r="E50" s="273"/>
      <c r="F50" s="273"/>
      <c r="G50" s="207"/>
      <c r="H50" s="213"/>
      <c r="I50" s="127"/>
      <c r="J50" s="127"/>
      <c r="K50" s="127"/>
    </row>
    <row r="51" spans="1:11" x14ac:dyDescent="0.25">
      <c r="A51" s="269"/>
      <c r="B51" s="270"/>
      <c r="C51" s="271"/>
      <c r="D51" s="272"/>
      <c r="E51" s="273"/>
      <c r="F51" s="273"/>
      <c r="G51" s="207"/>
      <c r="H51" s="213"/>
      <c r="I51" s="127"/>
      <c r="J51" s="127"/>
      <c r="K51" s="127"/>
    </row>
    <row r="52" spans="1:11" x14ac:dyDescent="0.25">
      <c r="A52" s="269"/>
      <c r="B52" s="270"/>
      <c r="C52" s="271"/>
      <c r="D52" s="278"/>
      <c r="E52" s="279"/>
      <c r="F52" s="279"/>
      <c r="G52" s="207"/>
      <c r="H52" s="213"/>
      <c r="I52" s="127"/>
      <c r="J52" s="127"/>
      <c r="K52" s="127"/>
    </row>
    <row r="53" spans="1:11" ht="15" x14ac:dyDescent="0.4">
      <c r="A53" s="281"/>
      <c r="B53" s="282"/>
      <c r="C53" s="283"/>
      <c r="D53" s="284"/>
      <c r="E53" s="285"/>
      <c r="F53" s="285"/>
      <c r="G53" s="207"/>
      <c r="H53" s="213"/>
      <c r="I53" s="127"/>
      <c r="J53" s="127"/>
      <c r="K53" s="127"/>
    </row>
    <row r="54" spans="1:11" x14ac:dyDescent="0.25">
      <c r="A54" s="269"/>
      <c r="B54" s="276"/>
      <c r="C54" s="271"/>
      <c r="D54" s="272"/>
      <c r="E54" s="273"/>
      <c r="F54" s="273"/>
      <c r="G54" s="207"/>
      <c r="H54" s="213"/>
      <c r="I54" s="127"/>
      <c r="J54" s="127"/>
      <c r="K54" s="127"/>
    </row>
    <row r="55" spans="1:11" x14ac:dyDescent="0.25">
      <c r="A55" s="269"/>
      <c r="B55" s="276"/>
      <c r="C55" s="271"/>
      <c r="D55" s="272"/>
      <c r="E55" s="273"/>
      <c r="F55" s="273"/>
      <c r="G55" s="207"/>
      <c r="H55" s="213"/>
      <c r="I55" s="127"/>
      <c r="J55" s="127"/>
      <c r="K55" s="127"/>
    </row>
    <row r="56" spans="1:11" x14ac:dyDescent="0.25">
      <c r="A56" s="269"/>
      <c r="B56" s="276"/>
      <c r="C56" s="271"/>
      <c r="D56" s="278"/>
      <c r="E56" s="279"/>
      <c r="F56" s="279"/>
      <c r="G56" s="207"/>
      <c r="H56" s="213"/>
      <c r="I56" s="127"/>
      <c r="J56" s="127"/>
      <c r="K56" s="127"/>
    </row>
    <row r="57" spans="1:11" ht="15" x14ac:dyDescent="0.4">
      <c r="A57" s="281"/>
      <c r="B57" s="282"/>
      <c r="C57" s="286"/>
      <c r="D57" s="284"/>
      <c r="E57" s="285"/>
      <c r="F57" s="285"/>
      <c r="G57" s="207"/>
      <c r="H57" s="213"/>
      <c r="I57" s="127"/>
      <c r="J57" s="127"/>
      <c r="K57" s="127"/>
    </row>
    <row r="58" spans="1:11" ht="15" x14ac:dyDescent="0.4">
      <c r="A58" s="281"/>
      <c r="B58" s="282"/>
      <c r="C58" s="286"/>
      <c r="D58" s="284"/>
      <c r="E58" s="285"/>
      <c r="F58" s="285"/>
      <c r="G58" s="207"/>
      <c r="H58" s="213"/>
      <c r="I58" s="127"/>
      <c r="J58" s="127"/>
      <c r="K58" s="127"/>
    </row>
    <row r="59" spans="1:11" ht="15" x14ac:dyDescent="0.4">
      <c r="A59" s="281"/>
      <c r="B59" s="282"/>
      <c r="C59" s="286"/>
      <c r="D59" s="284"/>
      <c r="E59" s="285"/>
      <c r="F59" s="285"/>
      <c r="G59" s="207"/>
      <c r="H59" s="213"/>
      <c r="I59" s="127"/>
      <c r="J59" s="127"/>
      <c r="K59" s="127"/>
    </row>
    <row r="60" spans="1:11" ht="15" x14ac:dyDescent="0.4">
      <c r="A60" s="281"/>
      <c r="B60" s="282"/>
      <c r="C60" s="286"/>
      <c r="D60" s="284"/>
      <c r="E60" s="285"/>
      <c r="F60" s="285"/>
      <c r="G60" s="207"/>
      <c r="H60" s="213"/>
      <c r="I60" s="127"/>
      <c r="J60" s="127"/>
      <c r="K60" s="127"/>
    </row>
    <row r="61" spans="1:11" x14ac:dyDescent="0.25">
      <c r="A61" s="287"/>
      <c r="B61" s="287"/>
      <c r="C61" s="287"/>
      <c r="D61" s="287"/>
      <c r="E61" s="287"/>
      <c r="F61" s="288"/>
      <c r="G61" s="207"/>
      <c r="H61" s="213"/>
      <c r="I61" s="127"/>
      <c r="J61" s="127"/>
      <c r="K61" s="127"/>
    </row>
    <row r="62" spans="1:11" x14ac:dyDescent="0.25">
      <c r="A62" s="140"/>
      <c r="B62" s="140"/>
      <c r="C62" s="140"/>
      <c r="D62" s="140"/>
      <c r="E62" s="131"/>
      <c r="F62" s="133"/>
      <c r="G62" s="36"/>
      <c r="H62" s="127"/>
      <c r="I62" s="127"/>
      <c r="J62" s="127"/>
      <c r="K62" s="127"/>
    </row>
    <row r="63" spans="1:11" x14ac:dyDescent="0.25">
      <c r="A63" s="140"/>
      <c r="B63" s="140"/>
      <c r="C63" s="140"/>
      <c r="D63" s="140"/>
      <c r="E63" s="131"/>
      <c r="F63" s="133"/>
      <c r="G63" s="36"/>
      <c r="H63" s="127"/>
      <c r="I63" s="127"/>
      <c r="J63" s="127"/>
      <c r="K63" s="127"/>
    </row>
    <row r="64" spans="1:11" x14ac:dyDescent="0.25">
      <c r="A64" s="103"/>
      <c r="B64" s="140"/>
      <c r="C64" s="140"/>
      <c r="D64" s="141"/>
      <c r="E64" s="131"/>
      <c r="F64" s="131"/>
      <c r="G64" s="36"/>
      <c r="H64" s="127"/>
      <c r="I64" s="127"/>
      <c r="J64" s="127"/>
      <c r="K64" s="127"/>
    </row>
    <row r="65" spans="1:11" x14ac:dyDescent="0.25">
      <c r="A65" s="140"/>
      <c r="B65" s="140"/>
      <c r="C65" s="140"/>
      <c r="D65" s="140"/>
      <c r="E65" s="131"/>
      <c r="F65" s="133"/>
      <c r="G65" s="36"/>
      <c r="H65" s="127"/>
      <c r="I65" s="127"/>
      <c r="J65" s="127"/>
      <c r="K65" s="127"/>
    </row>
    <row r="66" spans="1:11" x14ac:dyDescent="0.25">
      <c r="A66" s="140"/>
      <c r="B66" s="140"/>
      <c r="C66" s="140"/>
      <c r="D66" s="140"/>
      <c r="E66" s="131"/>
      <c r="F66" s="133"/>
      <c r="G66" s="36"/>
      <c r="H66" s="127"/>
      <c r="I66" s="127"/>
      <c r="J66" s="127"/>
      <c r="K66" s="127"/>
    </row>
    <row r="67" spans="1:11" x14ac:dyDescent="0.25">
      <c r="A67" s="140"/>
      <c r="B67" s="140"/>
      <c r="C67" s="140"/>
      <c r="D67" s="140"/>
      <c r="E67" s="131"/>
      <c r="F67" s="133"/>
      <c r="G67" s="36"/>
      <c r="H67" s="127"/>
      <c r="I67" s="127"/>
      <c r="J67" s="127"/>
      <c r="K67" s="127"/>
    </row>
    <row r="68" spans="1:11" x14ac:dyDescent="0.25">
      <c r="A68" s="103"/>
      <c r="B68" s="140"/>
      <c r="C68" s="140"/>
      <c r="D68" s="140"/>
      <c r="E68" s="131"/>
      <c r="F68" s="131"/>
      <c r="G68" s="36"/>
      <c r="H68" s="127"/>
      <c r="I68" s="127"/>
      <c r="J68" s="127"/>
      <c r="K68" s="127"/>
    </row>
    <row r="69" spans="1:11" x14ac:dyDescent="0.25">
      <c r="A69" s="103"/>
      <c r="B69" s="140"/>
      <c r="C69" s="140"/>
      <c r="D69" s="140"/>
      <c r="E69" s="142"/>
      <c r="F69" s="131"/>
      <c r="G69" s="36"/>
      <c r="H69" s="127"/>
      <c r="I69" s="127"/>
      <c r="J69" s="127"/>
      <c r="K69" s="127"/>
    </row>
    <row r="70" spans="1:11" x14ac:dyDescent="0.25">
      <c r="A70" s="103"/>
      <c r="B70" s="140"/>
      <c r="C70" s="140"/>
      <c r="D70" s="140"/>
      <c r="E70" s="143"/>
      <c r="F70" s="133"/>
      <c r="G70" s="36"/>
      <c r="H70" s="127"/>
      <c r="I70" s="127"/>
      <c r="J70" s="127"/>
      <c r="K70" s="127"/>
    </row>
    <row r="71" spans="1:11" x14ac:dyDescent="0.25">
      <c r="A71" s="103"/>
      <c r="B71" s="140"/>
      <c r="C71" s="140"/>
      <c r="D71" s="140"/>
      <c r="E71" s="140"/>
      <c r="F71" s="133"/>
      <c r="G71" s="36"/>
      <c r="H71" s="127"/>
      <c r="I71" s="127"/>
      <c r="J71" s="127"/>
      <c r="K71" s="127"/>
    </row>
    <row r="72" spans="1:11" x14ac:dyDescent="0.25">
      <c r="A72" s="103"/>
      <c r="B72" s="140"/>
      <c r="C72" s="140"/>
      <c r="D72" s="140"/>
      <c r="E72" s="142"/>
      <c r="F72" s="131"/>
      <c r="G72" s="36"/>
      <c r="H72" s="127"/>
      <c r="I72" s="127"/>
      <c r="J72" s="127"/>
      <c r="K72" s="127"/>
    </row>
    <row r="73" spans="1:11" x14ac:dyDescent="0.25">
      <c r="A73" s="103"/>
      <c r="B73" s="140"/>
      <c r="C73" s="140"/>
      <c r="D73" s="140"/>
      <c r="E73" s="144"/>
      <c r="F73" s="133"/>
      <c r="G73" s="36"/>
      <c r="H73" s="127"/>
      <c r="I73" s="127"/>
      <c r="J73" s="127"/>
      <c r="K73" s="127"/>
    </row>
    <row r="74" spans="1:11" x14ac:dyDescent="0.25">
      <c r="A74" s="103"/>
      <c r="B74" s="140"/>
      <c r="C74" s="108"/>
      <c r="D74" s="53"/>
      <c r="E74" s="145"/>
      <c r="F74" s="133"/>
      <c r="G74" s="36"/>
      <c r="H74" s="127"/>
      <c r="I74" s="127"/>
      <c r="J74" s="127"/>
      <c r="K74" s="127"/>
    </row>
    <row r="75" spans="1:11" x14ac:dyDescent="0.25">
      <c r="A75" s="103"/>
      <c r="B75" s="140"/>
      <c r="C75" s="140"/>
      <c r="D75" s="140"/>
      <c r="E75" s="140"/>
      <c r="F75" s="133"/>
      <c r="G75" s="36"/>
      <c r="H75" s="127"/>
      <c r="I75" s="127"/>
      <c r="J75" s="127"/>
      <c r="K75" s="127"/>
    </row>
    <row r="76" spans="1:11" x14ac:dyDescent="0.25">
      <c r="A76" s="103"/>
      <c r="B76" s="140"/>
      <c r="C76" s="140"/>
      <c r="D76" s="140"/>
      <c r="E76" s="145"/>
      <c r="F76" s="133"/>
      <c r="G76" s="36"/>
      <c r="H76" s="127"/>
      <c r="I76" s="127"/>
      <c r="J76" s="127"/>
      <c r="K76" s="127"/>
    </row>
    <row r="77" spans="1:11" x14ac:dyDescent="0.25">
      <c r="A77" s="140"/>
      <c r="B77" s="108"/>
      <c r="C77" s="53"/>
      <c r="D77" s="140"/>
      <c r="E77" s="108"/>
      <c r="F77" s="134"/>
      <c r="G77" s="36"/>
      <c r="H77" s="127"/>
      <c r="I77" s="127"/>
      <c r="J77" s="127"/>
      <c r="K77" s="127"/>
    </row>
    <row r="78" spans="1:11" x14ac:dyDescent="0.25">
      <c r="A78" s="103"/>
      <c r="B78" s="134"/>
      <c r="C78" s="140"/>
      <c r="D78" s="133"/>
      <c r="E78" s="142"/>
      <c r="F78" s="134"/>
      <c r="G78" s="36"/>
      <c r="H78" s="127"/>
      <c r="I78" s="127"/>
      <c r="J78" s="127"/>
      <c r="K78" s="127"/>
    </row>
    <row r="79" spans="1:11" x14ac:dyDescent="0.25">
      <c r="A79" s="140"/>
      <c r="B79" s="134"/>
      <c r="C79" s="146"/>
      <c r="D79" s="140"/>
      <c r="E79" s="147"/>
      <c r="F79" s="133"/>
      <c r="G79" s="36"/>
      <c r="H79" s="127"/>
      <c r="I79" s="127"/>
      <c r="J79" s="127"/>
      <c r="K79" s="127"/>
    </row>
    <row r="80" spans="1:11" x14ac:dyDescent="0.25">
      <c r="A80" s="134"/>
      <c r="B80" s="140"/>
      <c r="C80" s="140"/>
      <c r="D80" s="142"/>
      <c r="E80" s="148"/>
      <c r="F80" s="133"/>
      <c r="G80" s="36"/>
      <c r="H80" s="127"/>
      <c r="I80" s="127"/>
      <c r="J80" s="127"/>
      <c r="K80" s="127"/>
    </row>
    <row r="81" spans="1:11" x14ac:dyDescent="0.25">
      <c r="A81" s="103"/>
      <c r="B81" s="140"/>
      <c r="C81" s="140"/>
      <c r="D81" s="142"/>
      <c r="E81" s="132"/>
      <c r="F81" s="131"/>
      <c r="G81" s="36"/>
      <c r="H81" s="127"/>
      <c r="I81" s="127"/>
      <c r="J81" s="127"/>
      <c r="K81" s="127"/>
    </row>
    <row r="82" spans="1:11" x14ac:dyDescent="0.25">
      <c r="A82" s="103"/>
      <c r="B82" s="140"/>
      <c r="C82" s="140"/>
      <c r="D82" s="135"/>
      <c r="E82" s="140"/>
      <c r="F82" s="133"/>
      <c r="G82" s="36"/>
      <c r="H82" s="127"/>
      <c r="I82" s="127"/>
      <c r="J82" s="127"/>
      <c r="K82" s="127"/>
    </row>
    <row r="83" spans="1:11" x14ac:dyDescent="0.25">
      <c r="A83" s="103"/>
      <c r="B83" s="140"/>
      <c r="C83" s="140"/>
      <c r="D83" s="140"/>
      <c r="E83" s="52"/>
      <c r="F83" s="133"/>
      <c r="G83" s="36"/>
      <c r="H83" s="127"/>
      <c r="I83" s="127"/>
      <c r="J83" s="127"/>
      <c r="K83" s="127"/>
    </row>
    <row r="84" spans="1:11" x14ac:dyDescent="0.25">
      <c r="A84" s="103"/>
      <c r="B84" s="140"/>
      <c r="C84" s="140"/>
      <c r="D84" s="140"/>
      <c r="E84" s="140"/>
      <c r="F84" s="131"/>
      <c r="G84" s="36"/>
      <c r="H84" s="127"/>
      <c r="I84" s="127"/>
      <c r="J84" s="127"/>
      <c r="K84" s="127"/>
    </row>
    <row r="85" spans="1:11" x14ac:dyDescent="0.25">
      <c r="A85" s="103"/>
      <c r="B85" s="140"/>
      <c r="C85" s="140"/>
      <c r="D85" s="140"/>
      <c r="E85" s="139"/>
      <c r="F85" s="138"/>
      <c r="G85" s="36"/>
      <c r="H85" s="127"/>
      <c r="I85" s="127"/>
      <c r="J85" s="127"/>
      <c r="K85" s="127"/>
    </row>
    <row r="86" spans="1:11" x14ac:dyDescent="0.25">
      <c r="A86" s="103"/>
      <c r="B86" s="140"/>
      <c r="C86" s="140"/>
      <c r="D86" s="140"/>
      <c r="E86" s="139"/>
      <c r="F86" s="138"/>
      <c r="G86" s="36"/>
      <c r="H86" s="127"/>
      <c r="I86" s="127"/>
      <c r="J86" s="127"/>
      <c r="K86" s="127"/>
    </row>
    <row r="87" spans="1:11" x14ac:dyDescent="0.25">
      <c r="A87" s="103"/>
      <c r="B87" s="140"/>
      <c r="C87" s="140"/>
      <c r="D87" s="140"/>
      <c r="E87" s="139"/>
      <c r="F87" s="138"/>
      <c r="G87" s="36"/>
      <c r="H87" s="127"/>
      <c r="I87" s="127"/>
      <c r="J87" s="127"/>
      <c r="K87" s="127"/>
    </row>
    <row r="88" spans="1:11" x14ac:dyDescent="0.25">
      <c r="A88" s="103"/>
      <c r="B88" s="140"/>
      <c r="C88" s="140"/>
      <c r="D88" s="140"/>
      <c r="E88" s="52"/>
      <c r="F88" s="131"/>
      <c r="G88" s="36"/>
      <c r="H88" s="127"/>
      <c r="I88" s="127"/>
      <c r="J88" s="127"/>
      <c r="K88" s="127"/>
    </row>
    <row r="89" spans="1:11" x14ac:dyDescent="0.25">
      <c r="A89" s="103"/>
      <c r="B89" s="140"/>
      <c r="C89" s="140"/>
      <c r="D89" s="140"/>
      <c r="E89" s="131"/>
      <c r="F89" s="138"/>
      <c r="G89" s="36"/>
      <c r="H89" s="127"/>
      <c r="I89" s="127"/>
      <c r="J89" s="127"/>
      <c r="K89" s="127"/>
    </row>
    <row r="90" spans="1:11" x14ac:dyDescent="0.25">
      <c r="A90" s="140"/>
      <c r="B90" s="140"/>
      <c r="C90" s="140"/>
      <c r="D90" s="140"/>
      <c r="E90" s="140"/>
      <c r="F90" s="133"/>
      <c r="G90" s="36"/>
      <c r="H90" s="127"/>
      <c r="I90" s="127"/>
      <c r="J90" s="127"/>
      <c r="K90" s="127"/>
    </row>
    <row r="91" spans="1:11" x14ac:dyDescent="0.25">
      <c r="A91" s="103"/>
      <c r="B91" s="140"/>
      <c r="C91" s="140"/>
      <c r="D91" s="140"/>
      <c r="E91" s="52"/>
      <c r="F91" s="133"/>
      <c r="G91" s="36"/>
      <c r="H91" s="127"/>
      <c r="I91" s="127"/>
      <c r="J91" s="127"/>
      <c r="K91" s="127"/>
    </row>
    <row r="92" spans="1:11" x14ac:dyDescent="0.25">
      <c r="A92" s="103"/>
      <c r="B92" s="140"/>
      <c r="C92" s="140"/>
      <c r="D92" s="140"/>
      <c r="E92" s="143"/>
      <c r="F92" s="138"/>
      <c r="G92" s="36"/>
      <c r="H92" s="127"/>
      <c r="I92" s="127"/>
      <c r="J92" s="127"/>
      <c r="K92" s="127"/>
    </row>
    <row r="93" spans="1:11" x14ac:dyDescent="0.25">
      <c r="A93" s="103"/>
      <c r="B93" s="140"/>
      <c r="C93" s="140"/>
      <c r="D93" s="140"/>
      <c r="E93" s="52"/>
      <c r="F93" s="133"/>
      <c r="G93" s="36"/>
      <c r="H93" s="127"/>
      <c r="I93" s="127"/>
      <c r="J93" s="127"/>
      <c r="K93" s="127"/>
    </row>
    <row r="94" spans="1:11" x14ac:dyDescent="0.25">
      <c r="A94" s="140"/>
      <c r="B94" s="136"/>
      <c r="C94" s="136"/>
      <c r="D94" s="136"/>
      <c r="E94" s="128"/>
      <c r="F94" s="137"/>
      <c r="G94" s="36"/>
      <c r="H94" s="127"/>
      <c r="I94" s="127"/>
      <c r="J94" s="127"/>
      <c r="K94" s="127"/>
    </row>
    <row r="95" spans="1:11" x14ac:dyDescent="0.25">
      <c r="A95" s="140"/>
      <c r="B95" s="140"/>
      <c r="C95" s="140"/>
      <c r="D95" s="140"/>
      <c r="E95" s="140"/>
      <c r="F95" s="133"/>
      <c r="G95" s="36"/>
      <c r="H95" s="127"/>
      <c r="I95" s="127"/>
      <c r="J95" s="127"/>
      <c r="K95" s="127"/>
    </row>
  </sheetData>
  <sheetProtection sort="0" pivotTables="0"/>
  <phoneticPr fontId="12" type="noConversion"/>
  <pageMargins left="0.82" right="0.26" top="0.83" bottom="0.87" header="0.36" footer="0.5"/>
  <pageSetup scale="65" orientation="portrait" r:id="rId1"/>
  <headerFooter alignWithMargins="0">
    <oddHeader>&amp;R&amp;A</oddHeader>
    <oddFooter>&amp;L&amp;8&amp;Z&amp;F&amp;A&amp;R&amp;8&amp;T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T67"/>
  <sheetViews>
    <sheetView showGridLines="0" workbookViewId="0">
      <selection activeCell="H24" sqref="H24"/>
    </sheetView>
  </sheetViews>
  <sheetFormatPr defaultColWidth="8" defaultRowHeight="13.2" x14ac:dyDescent="0.25"/>
  <cols>
    <col min="1" max="1" width="7.36328125" style="5" customWidth="1"/>
    <col min="2" max="2" width="11.81640625" style="5" customWidth="1"/>
    <col min="3" max="3" width="6.6328125" style="5" customWidth="1"/>
    <col min="4" max="4" width="8" style="5" customWidth="1"/>
    <col min="5" max="5" width="9.36328125" style="5" customWidth="1"/>
    <col min="6" max="6" width="12.54296875" style="5" customWidth="1"/>
    <col min="7" max="7" width="14.08984375" style="5" bestFit="1" customWidth="1"/>
    <col min="8" max="8" width="10.54296875" style="5" customWidth="1"/>
    <col min="9" max="9" width="14" style="5" bestFit="1" customWidth="1"/>
    <col min="10" max="10" width="31.81640625" style="5" customWidth="1"/>
    <col min="11" max="16384" width="8" style="5"/>
  </cols>
  <sheetData>
    <row r="1" spans="1:11" x14ac:dyDescent="0.25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  <c r="K1" s="29"/>
    </row>
    <row r="2" spans="1:11" x14ac:dyDescent="0.25">
      <c r="A2" s="28" t="s">
        <v>90</v>
      </c>
      <c r="B2" s="28"/>
      <c r="C2" s="28"/>
      <c r="D2" s="28"/>
      <c r="E2" s="28"/>
      <c r="F2" s="28"/>
      <c r="G2" s="28"/>
      <c r="H2" s="29"/>
      <c r="I2" s="29"/>
      <c r="J2" s="29"/>
      <c r="K2" s="29"/>
    </row>
    <row r="3" spans="1:11" x14ac:dyDescent="0.25">
      <c r="A3" s="33" t="s">
        <v>628</v>
      </c>
      <c r="B3" s="29"/>
      <c r="C3" s="27"/>
      <c r="D3" s="28"/>
      <c r="E3" s="28"/>
      <c r="F3" s="28"/>
      <c r="G3" s="28"/>
      <c r="H3" s="28"/>
      <c r="I3" s="28"/>
      <c r="J3" s="29"/>
      <c r="K3" s="29"/>
    </row>
    <row r="4" spans="1:11" x14ac:dyDescent="0.25">
      <c r="A4" s="28"/>
      <c r="B4" s="28"/>
      <c r="C4" s="28"/>
      <c r="D4" s="28"/>
      <c r="E4" s="28"/>
      <c r="F4" s="28"/>
      <c r="G4" s="28"/>
      <c r="H4" s="28"/>
      <c r="I4" s="28"/>
      <c r="J4" s="29"/>
      <c r="K4" s="29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9"/>
      <c r="K5" s="29"/>
    </row>
    <row r="6" spans="1:11" x14ac:dyDescent="0.25">
      <c r="A6" s="28"/>
      <c r="B6" s="28"/>
      <c r="C6" s="28"/>
      <c r="D6" s="28"/>
      <c r="E6" s="28"/>
      <c r="F6" s="28"/>
      <c r="G6" s="60" t="s">
        <v>114</v>
      </c>
      <c r="H6" s="60" t="s">
        <v>342</v>
      </c>
      <c r="I6" s="60" t="str">
        <f>+'S1-Revenue Requirement'!E6</f>
        <v>11/1/22-10/31/23</v>
      </c>
      <c r="J6" s="725"/>
      <c r="K6" s="29"/>
    </row>
    <row r="7" spans="1:11" x14ac:dyDescent="0.25">
      <c r="A7" s="59" t="s">
        <v>236</v>
      </c>
      <c r="B7" s="59" t="s">
        <v>225</v>
      </c>
      <c r="C7" s="58"/>
      <c r="D7" s="58"/>
      <c r="E7" s="34"/>
      <c r="F7" s="32"/>
      <c r="G7" s="61" t="str">
        <f>+'S1-Revenue Requirement'!C6</f>
        <v>7/1/21 - 6/30/22</v>
      </c>
      <c r="H7" s="61" t="s">
        <v>343</v>
      </c>
      <c r="I7" s="61" t="s">
        <v>614</v>
      </c>
      <c r="J7" s="61" t="s">
        <v>216</v>
      </c>
      <c r="K7" s="29"/>
    </row>
    <row r="8" spans="1:11" x14ac:dyDescent="0.25">
      <c r="A8" s="28"/>
      <c r="B8" s="28"/>
      <c r="C8" s="28"/>
      <c r="D8" s="31"/>
      <c r="E8" s="32"/>
      <c r="F8" s="32"/>
      <c r="G8" s="207"/>
      <c r="H8" s="205"/>
      <c r="I8" s="207"/>
      <c r="J8" s="207"/>
      <c r="K8" s="29"/>
    </row>
    <row r="9" spans="1:11" x14ac:dyDescent="0.25">
      <c r="A9" s="33" t="s">
        <v>190</v>
      </c>
      <c r="B9" s="33" t="s">
        <v>92</v>
      </c>
      <c r="C9" s="33"/>
      <c r="D9" s="33"/>
      <c r="E9" s="33"/>
      <c r="F9" s="33"/>
      <c r="G9" s="42">
        <f>+'S6A - Payroll by Function'!C11</f>
        <v>1690111.1370637869</v>
      </c>
      <c r="H9" s="42">
        <f>+I9-G9</f>
        <v>57645.40349734854</v>
      </c>
      <c r="I9" s="42">
        <f>+'S6A - Payroll by Function'!E11</f>
        <v>1747756.5405611354</v>
      </c>
      <c r="J9" s="913" t="s">
        <v>76</v>
      </c>
      <c r="K9" s="29"/>
    </row>
    <row r="10" spans="1:11" x14ac:dyDescent="0.25">
      <c r="A10" s="205"/>
      <c r="B10" s="205"/>
      <c r="C10" s="205"/>
      <c r="D10" s="205"/>
      <c r="E10" s="205"/>
      <c r="F10" s="205"/>
      <c r="G10" s="208"/>
      <c r="H10" s="206"/>
      <c r="I10" s="209"/>
      <c r="J10" s="207"/>
      <c r="K10" s="29"/>
    </row>
    <row r="11" spans="1:11" x14ac:dyDescent="0.25">
      <c r="A11" s="62"/>
      <c r="B11" s="205"/>
      <c r="C11" s="205"/>
      <c r="D11" s="205"/>
      <c r="E11" s="205"/>
      <c r="F11" s="205"/>
      <c r="G11" s="208"/>
      <c r="H11" s="207"/>
      <c r="I11" s="209"/>
      <c r="J11" s="207"/>
      <c r="K11" s="29"/>
    </row>
    <row r="12" spans="1:11" s="38" customFormat="1" hidden="1" x14ac:dyDescent="0.25">
      <c r="A12" s="62"/>
      <c r="B12" s="33"/>
      <c r="C12" s="33"/>
      <c r="D12" s="33"/>
      <c r="E12" s="33"/>
      <c r="F12" s="33"/>
      <c r="G12" s="707"/>
      <c r="H12" s="206"/>
      <c r="I12" s="707"/>
      <c r="J12" s="207"/>
      <c r="K12" s="556"/>
    </row>
    <row r="13" spans="1:11" s="38" customFormat="1" hidden="1" x14ac:dyDescent="0.25">
      <c r="A13" s="33"/>
      <c r="B13" s="556"/>
      <c r="C13" s="556"/>
      <c r="D13" s="556"/>
      <c r="E13" s="33"/>
      <c r="F13" s="33"/>
      <c r="G13" s="208"/>
      <c r="H13" s="206"/>
      <c r="I13" s="208"/>
      <c r="J13" s="207"/>
      <c r="K13" s="556"/>
    </row>
    <row r="14" spans="1:11" s="38" customFormat="1" hidden="1" x14ac:dyDescent="0.25">
      <c r="A14" s="33"/>
      <c r="B14" s="556"/>
      <c r="C14" s="556"/>
      <c r="D14" s="556"/>
      <c r="E14" s="33"/>
      <c r="F14" s="33"/>
      <c r="G14" s="208"/>
      <c r="H14" s="206"/>
      <c r="I14" s="208"/>
      <c r="J14" s="207"/>
      <c r="K14" s="556"/>
    </row>
    <row r="15" spans="1:11" s="38" customFormat="1" hidden="1" x14ac:dyDescent="0.25">
      <c r="A15" s="33"/>
      <c r="B15" s="556"/>
      <c r="C15" s="556"/>
      <c r="D15" s="556"/>
      <c r="E15" s="33"/>
      <c r="F15" s="33"/>
      <c r="G15" s="208"/>
      <c r="H15" s="206"/>
      <c r="I15" s="208"/>
      <c r="J15" s="207"/>
      <c r="K15" s="556"/>
    </row>
    <row r="16" spans="1:11" s="38" customFormat="1" hidden="1" x14ac:dyDescent="0.25">
      <c r="A16" s="33"/>
      <c r="B16" s="556"/>
      <c r="C16" s="556"/>
      <c r="D16" s="556"/>
      <c r="E16" s="33"/>
      <c r="F16" s="33"/>
      <c r="G16" s="208"/>
      <c r="H16" s="206"/>
      <c r="I16" s="208"/>
      <c r="J16" s="207"/>
      <c r="K16" s="556"/>
    </row>
    <row r="17" spans="1:13" s="38" customFormat="1" x14ac:dyDescent="0.25">
      <c r="A17" s="33"/>
      <c r="B17" s="1248"/>
      <c r="C17" s="1248"/>
      <c r="D17" s="1248"/>
      <c r="E17" s="33"/>
      <c r="F17" s="33"/>
      <c r="G17" s="208"/>
      <c r="H17" s="206"/>
      <c r="I17" s="208"/>
      <c r="J17" s="207"/>
      <c r="K17" s="1248"/>
    </row>
    <row r="18" spans="1:13" s="38" customFormat="1" hidden="1" x14ac:dyDescent="0.25">
      <c r="A18" s="33"/>
      <c r="B18" s="33"/>
      <c r="C18" s="33"/>
      <c r="D18" s="33"/>
      <c r="E18" s="33"/>
      <c r="F18" s="33"/>
      <c r="G18" s="208"/>
      <c r="H18" s="207"/>
      <c r="I18" s="209"/>
      <c r="J18" s="207"/>
      <c r="K18" s="1248"/>
    </row>
    <row r="19" spans="1:13" x14ac:dyDescent="0.25">
      <c r="A19" s="130" t="s">
        <v>639</v>
      </c>
      <c r="B19" s="33" t="s">
        <v>640</v>
      </c>
      <c r="C19" s="33"/>
      <c r="D19" s="33"/>
      <c r="E19" s="33"/>
      <c r="F19" s="33"/>
      <c r="G19" s="1246">
        <f>+'Trial Balance'!C90</f>
        <v>1392291.58</v>
      </c>
      <c r="H19" s="42">
        <f>+I19-G19</f>
        <v>-296194.58000000007</v>
      </c>
      <c r="I19" s="42">
        <v>1096097</v>
      </c>
      <c r="J19" s="973"/>
      <c r="K19" s="1248"/>
      <c r="L19" s="38"/>
      <c r="M19" s="38"/>
    </row>
    <row r="20" spans="1:13" x14ac:dyDescent="0.25">
      <c r="A20" s="205"/>
      <c r="B20" s="33"/>
      <c r="C20" s="205"/>
      <c r="D20" s="205"/>
      <c r="E20" s="205"/>
      <c r="F20" s="205"/>
      <c r="G20" s="691"/>
      <c r="H20" s="42">
        <f t="shared" ref="H20" si="0">+I20-G20</f>
        <v>0</v>
      </c>
      <c r="I20" s="937"/>
      <c r="J20" s="973"/>
      <c r="K20" s="1248"/>
      <c r="L20" s="38"/>
      <c r="M20" s="38"/>
    </row>
    <row r="21" spans="1:13" x14ac:dyDescent="0.25">
      <c r="A21" s="210"/>
      <c r="B21" s="205"/>
      <c r="C21" s="205"/>
      <c r="D21" s="205"/>
      <c r="E21" s="205"/>
      <c r="F21" s="205"/>
      <c r="G21" s="133">
        <f>SUM(G19:G20)</f>
        <v>1392291.58</v>
      </c>
      <c r="H21" s="999">
        <f>SUM(H19:H20)</f>
        <v>-296194.58000000007</v>
      </c>
      <c r="I21" s="42">
        <f>SUM(I19:I20)</f>
        <v>1096097</v>
      </c>
      <c r="J21" s="973"/>
      <c r="K21" s="29"/>
      <c r="L21" s="38"/>
      <c r="M21" s="38"/>
    </row>
    <row r="22" spans="1:13" x14ac:dyDescent="0.25">
      <c r="A22" s="205"/>
      <c r="B22" s="205"/>
      <c r="C22" s="205"/>
      <c r="D22" s="205"/>
      <c r="E22" s="205"/>
      <c r="F22" s="205"/>
      <c r="G22" s="208"/>
      <c r="H22" s="206"/>
      <c r="I22" s="206"/>
      <c r="J22" s="207"/>
      <c r="K22" s="29"/>
      <c r="L22" s="38"/>
      <c r="M22" s="38"/>
    </row>
    <row r="23" spans="1:13" x14ac:dyDescent="0.25">
      <c r="A23" s="130" t="s">
        <v>685</v>
      </c>
      <c r="B23" s="33" t="s">
        <v>191</v>
      </c>
      <c r="C23" s="33"/>
      <c r="D23" s="33"/>
      <c r="E23" s="33"/>
      <c r="F23" s="33"/>
      <c r="G23" s="205"/>
      <c r="H23" s="205"/>
      <c r="I23" s="209"/>
      <c r="J23" s="207"/>
      <c r="K23" s="1248"/>
      <c r="L23" s="38"/>
      <c r="M23" s="38"/>
    </row>
    <row r="24" spans="1:13" x14ac:dyDescent="0.25">
      <c r="A24" s="33"/>
      <c r="B24" s="33" t="s">
        <v>1218</v>
      </c>
      <c r="C24" s="33"/>
      <c r="D24" s="33"/>
      <c r="E24" s="33"/>
      <c r="F24" s="33"/>
      <c r="G24" s="206"/>
      <c r="H24" s="205"/>
      <c r="I24" s="42">
        <f>+D54</f>
        <v>212318.5</v>
      </c>
      <c r="J24" s="884" t="s">
        <v>1508</v>
      </c>
      <c r="K24" s="1248"/>
      <c r="L24" s="38"/>
      <c r="M24" s="38"/>
    </row>
    <row r="25" spans="1:13" x14ac:dyDescent="0.25">
      <c r="A25" s="33"/>
      <c r="B25" s="33" t="s">
        <v>1273</v>
      </c>
      <c r="C25" s="33"/>
      <c r="D25" s="33"/>
      <c r="E25" s="33"/>
      <c r="F25" s="33"/>
      <c r="G25" s="1094">
        <f>10107.68+844.18+1644.3+18583.93</f>
        <v>31180.09</v>
      </c>
      <c r="H25" s="205"/>
      <c r="I25" s="211"/>
      <c r="J25" s="207"/>
      <c r="K25" s="1248"/>
      <c r="L25" s="38"/>
      <c r="M25" s="38"/>
    </row>
    <row r="26" spans="1:13" x14ac:dyDescent="0.25">
      <c r="A26" s="33"/>
      <c r="B26" s="33" t="s">
        <v>91</v>
      </c>
      <c r="C26" s="33"/>
      <c r="D26" s="33"/>
      <c r="E26" s="33"/>
      <c r="F26" s="33"/>
      <c r="G26" s="42">
        <f>SUM(G24:G25)</f>
        <v>31180.09</v>
      </c>
      <c r="H26" s="42">
        <f>+I26-G26</f>
        <v>181138.41</v>
      </c>
      <c r="I26" s="42">
        <f>SUM(I24:I25)</f>
        <v>212318.5</v>
      </c>
      <c r="J26" s="207"/>
      <c r="K26" s="36"/>
    </row>
    <row r="27" spans="1:13" x14ac:dyDescent="0.25">
      <c r="A27" s="205"/>
      <c r="B27" s="207"/>
      <c r="C27" s="207"/>
      <c r="D27" s="207"/>
      <c r="E27" s="205"/>
      <c r="F27" s="205"/>
      <c r="G27" s="205"/>
      <c r="H27" s="207"/>
      <c r="I27" s="207"/>
      <c r="J27" s="207"/>
      <c r="K27" s="29"/>
    </row>
    <row r="28" spans="1:13" ht="13.8" thickBot="1" x14ac:dyDescent="0.3">
      <c r="A28" s="205"/>
      <c r="B28" s="303" t="s">
        <v>93</v>
      </c>
      <c r="C28" s="33"/>
      <c r="D28" s="33"/>
      <c r="E28" s="33"/>
      <c r="F28" s="33"/>
      <c r="G28" s="205"/>
      <c r="H28" s="817">
        <f>+H9+H21+H26</f>
        <v>-57410.766502651531</v>
      </c>
      <c r="I28" s="207"/>
      <c r="J28" s="207"/>
      <c r="K28" s="29"/>
    </row>
    <row r="29" spans="1:13" ht="13.8" thickTop="1" x14ac:dyDescent="0.25">
      <c r="A29" s="205"/>
      <c r="B29" s="205"/>
      <c r="C29" s="205"/>
      <c r="D29" s="205"/>
      <c r="E29" s="205"/>
      <c r="F29" s="205"/>
      <c r="G29" s="205"/>
      <c r="H29" s="337"/>
      <c r="I29" s="206"/>
      <c r="J29" s="207"/>
      <c r="K29" s="29"/>
    </row>
    <row r="30" spans="1:13" x14ac:dyDescent="0.25">
      <c r="A30" s="205"/>
      <c r="B30" s="205"/>
      <c r="C30" s="205"/>
      <c r="D30" s="205"/>
      <c r="E30" s="205"/>
      <c r="F30" s="205"/>
      <c r="G30" s="205"/>
      <c r="H30" s="337"/>
      <c r="I30" s="206"/>
      <c r="J30" s="207"/>
      <c r="K30" s="29"/>
    </row>
    <row r="31" spans="1:13" x14ac:dyDescent="0.25">
      <c r="A31" s="205"/>
      <c r="B31" s="205"/>
      <c r="C31" s="205"/>
      <c r="D31" s="205"/>
      <c r="E31" s="205"/>
      <c r="F31" s="205"/>
      <c r="G31" s="60" t="s">
        <v>114</v>
      </c>
      <c r="H31" s="60" t="s">
        <v>342</v>
      </c>
      <c r="I31" s="60" t="str">
        <f>+I6</f>
        <v>11/1/22-10/31/23</v>
      </c>
      <c r="J31" s="725"/>
      <c r="K31" s="29"/>
    </row>
    <row r="32" spans="1:13" x14ac:dyDescent="0.25">
      <c r="A32" s="59" t="s">
        <v>236</v>
      </c>
      <c r="B32" s="59" t="s">
        <v>224</v>
      </c>
      <c r="C32" s="303"/>
      <c r="D32" s="212"/>
      <c r="E32" s="212"/>
      <c r="F32" s="212"/>
      <c r="G32" s="61" t="str">
        <f>+G7</f>
        <v>7/1/21 - 6/30/22</v>
      </c>
      <c r="H32" s="61" t="s">
        <v>343</v>
      </c>
      <c r="I32" s="61" t="str">
        <f>+I7</f>
        <v>ADJ Rate Year</v>
      </c>
      <c r="J32" s="61" t="s">
        <v>216</v>
      </c>
      <c r="K32" s="29"/>
    </row>
    <row r="33" spans="1:20" x14ac:dyDescent="0.25">
      <c r="A33" s="205"/>
      <c r="B33" s="205"/>
      <c r="C33" s="205"/>
      <c r="D33" s="205"/>
      <c r="E33" s="205"/>
      <c r="F33" s="205"/>
      <c r="G33" s="205"/>
      <c r="H33" s="205"/>
      <c r="I33" s="205"/>
      <c r="J33" s="207"/>
      <c r="K33" s="29"/>
    </row>
    <row r="34" spans="1:20" x14ac:dyDescent="0.25">
      <c r="A34" s="33" t="s">
        <v>190</v>
      </c>
      <c r="B34" s="33" t="s">
        <v>92</v>
      </c>
      <c r="C34" s="33"/>
      <c r="D34" s="33"/>
      <c r="E34" s="33"/>
      <c r="F34" s="33"/>
      <c r="G34" s="42">
        <f>+'S6A - Payroll by Function'!C10</f>
        <v>1004805.2011926393</v>
      </c>
      <c r="H34" s="42">
        <f>+I34-G34</f>
        <v>34271.356473996304</v>
      </c>
      <c r="I34" s="105">
        <f>+'S6A - Payroll by Function'!E10</f>
        <v>1039076.5576666356</v>
      </c>
      <c r="J34" s="913" t="s">
        <v>76</v>
      </c>
      <c r="K34" s="29"/>
    </row>
    <row r="35" spans="1:20" hidden="1" x14ac:dyDescent="0.25">
      <c r="A35" s="210"/>
      <c r="B35" s="205"/>
      <c r="C35" s="205"/>
      <c r="D35" s="205"/>
      <c r="E35" s="205"/>
      <c r="F35" s="205"/>
      <c r="G35" s="105"/>
      <c r="H35" s="42"/>
      <c r="I35" s="42"/>
      <c r="J35" s="913"/>
      <c r="K35" s="29"/>
    </row>
    <row r="36" spans="1:20" hidden="1" x14ac:dyDescent="0.25">
      <c r="A36" s="205"/>
      <c r="B36" s="205"/>
      <c r="C36" s="205"/>
      <c r="D36" s="205"/>
      <c r="E36" s="205"/>
      <c r="F36" s="205"/>
      <c r="G36" s="105"/>
      <c r="H36" s="33"/>
      <c r="I36" s="42"/>
      <c r="J36" s="913"/>
      <c r="K36" s="29"/>
    </row>
    <row r="37" spans="1:20" s="29" customFormat="1" hidden="1" x14ac:dyDescent="0.25">
      <c r="A37" s="130"/>
      <c r="B37" s="33"/>
      <c r="C37" s="33"/>
      <c r="D37" s="33"/>
      <c r="E37" s="33"/>
      <c r="F37" s="33"/>
      <c r="G37" s="105"/>
      <c r="H37" s="42"/>
      <c r="I37" s="42"/>
      <c r="J37" s="913"/>
      <c r="K37" s="636"/>
      <c r="L37" s="5"/>
      <c r="M37" s="5"/>
      <c r="N37" s="5"/>
      <c r="O37" s="5"/>
      <c r="P37" s="5"/>
      <c r="Q37" s="5"/>
      <c r="R37" s="5"/>
      <c r="S37" s="5"/>
      <c r="T37" s="5"/>
    </row>
    <row r="38" spans="1:20" s="29" customFormat="1" x14ac:dyDescent="0.25">
      <c r="A38" s="205"/>
      <c r="B38" s="205"/>
      <c r="C38" s="205"/>
      <c r="D38" s="205"/>
      <c r="E38" s="205"/>
      <c r="F38" s="205"/>
      <c r="G38" s="105"/>
      <c r="H38" s="33"/>
      <c r="I38" s="42"/>
      <c r="J38" s="913"/>
      <c r="L38" s="5"/>
      <c r="M38" s="5"/>
      <c r="N38" s="5"/>
      <c r="O38" s="5"/>
      <c r="P38" s="5"/>
      <c r="Q38" s="5"/>
      <c r="R38" s="5"/>
      <c r="S38" s="5"/>
      <c r="T38" s="5"/>
    </row>
    <row r="39" spans="1:20" x14ac:dyDescent="0.25">
      <c r="A39" s="130" t="s">
        <v>638</v>
      </c>
      <c r="B39" s="33" t="s">
        <v>1255</v>
      </c>
      <c r="C39" s="205"/>
      <c r="D39" s="205"/>
      <c r="E39" s="205"/>
      <c r="F39" s="205"/>
      <c r="G39" s="105">
        <f>+'S6 - Admin &amp; Gen'!E49+'S6 - Admin &amp; Gen'!E50+'S6 - Admin &amp; Gen'!E51</f>
        <v>1326295.49</v>
      </c>
      <c r="H39" s="42">
        <f>+I39-G39</f>
        <v>23073.280021585291</v>
      </c>
      <c r="I39" s="42">
        <f>+'S6 - Admin &amp; Gen'!G49+'S6 - Admin &amp; Gen'!G50+'S6 - Admin &amp; Gen'!G51</f>
        <v>1349368.7700215853</v>
      </c>
      <c r="J39" s="805" t="s">
        <v>37</v>
      </c>
      <c r="K39" s="29"/>
    </row>
    <row r="40" spans="1:20" x14ac:dyDescent="0.25">
      <c r="A40" s="130"/>
      <c r="B40" s="33"/>
      <c r="C40" s="205"/>
      <c r="D40" s="205"/>
      <c r="E40" s="205"/>
      <c r="F40" s="205"/>
      <c r="G40" s="209"/>
      <c r="H40" s="206"/>
      <c r="I40" s="206"/>
      <c r="J40" s="207"/>
      <c r="K40" s="29"/>
    </row>
    <row r="41" spans="1:20" x14ac:dyDescent="0.25">
      <c r="A41" s="298"/>
      <c r="B41" s="33"/>
      <c r="C41" s="205"/>
      <c r="D41" s="205"/>
      <c r="E41" s="205"/>
      <c r="F41" s="205"/>
      <c r="G41" s="209"/>
      <c r="H41" s="206"/>
      <c r="I41" s="206"/>
      <c r="J41" s="207"/>
      <c r="K41" s="29"/>
    </row>
    <row r="42" spans="1:20" x14ac:dyDescent="0.25">
      <c r="A42" s="130"/>
      <c r="B42" s="205"/>
      <c r="C42" s="205"/>
      <c r="D42" s="205"/>
      <c r="E42" s="205"/>
      <c r="F42" s="205"/>
      <c r="G42" s="209"/>
      <c r="H42" s="205"/>
      <c r="I42" s="206"/>
      <c r="J42" s="207"/>
      <c r="K42" s="29"/>
    </row>
    <row r="43" spans="1:20" x14ac:dyDescent="0.25">
      <c r="A43" s="205"/>
      <c r="B43" s="205"/>
      <c r="C43" s="205"/>
      <c r="D43" s="205"/>
      <c r="E43" s="205"/>
      <c r="F43" s="205"/>
      <c r="G43" s="209"/>
      <c r="H43" s="205"/>
      <c r="I43" s="206"/>
      <c r="J43" s="207"/>
      <c r="K43" s="29"/>
    </row>
    <row r="44" spans="1:20" ht="13.8" thickBot="1" x14ac:dyDescent="0.3">
      <c r="A44" s="205"/>
      <c r="B44" s="303" t="s">
        <v>194</v>
      </c>
      <c r="C44" s="33"/>
      <c r="D44" s="33"/>
      <c r="E44" s="33"/>
      <c r="F44" s="323"/>
      <c r="G44" s="207"/>
      <c r="H44" s="817">
        <f>SUM(H33:H43)</f>
        <v>57344.636495581595</v>
      </c>
      <c r="I44" s="337"/>
      <c r="J44" s="207"/>
      <c r="K44" s="29"/>
    </row>
    <row r="45" spans="1:20" ht="13.8" thickTop="1" x14ac:dyDescent="0.25">
      <c r="A45" s="207"/>
      <c r="B45" s="216"/>
      <c r="C45" s="207"/>
      <c r="D45" s="207"/>
      <c r="E45" s="217"/>
      <c r="F45" s="207"/>
      <c r="G45" s="209"/>
      <c r="H45" s="218"/>
      <c r="I45" s="207"/>
      <c r="J45" s="206"/>
      <c r="K45" s="29"/>
    </row>
    <row r="46" spans="1:20" x14ac:dyDescent="0.25">
      <c r="A46" s="219"/>
      <c r="B46" s="216"/>
      <c r="C46" s="207"/>
      <c r="D46" s="207"/>
      <c r="E46" s="217"/>
      <c r="F46" s="207"/>
      <c r="G46" s="209"/>
      <c r="H46" s="218"/>
      <c r="I46" s="207"/>
      <c r="J46" s="206"/>
      <c r="K46" s="29"/>
    </row>
    <row r="47" spans="1:20" x14ac:dyDescent="0.25">
      <c r="A47" s="207"/>
      <c r="B47" s="216"/>
      <c r="C47" s="207"/>
      <c r="D47" s="207"/>
      <c r="E47" s="217"/>
      <c r="F47" s="207"/>
      <c r="G47" s="209"/>
      <c r="H47" s="218"/>
      <c r="I47" s="207"/>
      <c r="J47" s="206"/>
      <c r="K47" s="29"/>
    </row>
    <row r="48" spans="1:20" x14ac:dyDescent="0.25">
      <c r="A48" s="338" t="s">
        <v>195</v>
      </c>
      <c r="B48" s="33" t="s">
        <v>1272</v>
      </c>
      <c r="C48" s="33"/>
      <c r="D48" s="884"/>
      <c r="E48" s="884"/>
      <c r="F48" s="884"/>
      <c r="G48" s="884"/>
      <c r="H48" s="884"/>
      <c r="I48" s="884"/>
      <c r="J48" s="207"/>
      <c r="K48" s="29"/>
      <c r="L48" s="1"/>
      <c r="M48" s="1"/>
      <c r="N48" s="1"/>
      <c r="O48" s="1"/>
      <c r="P48" s="4"/>
      <c r="Q48" s="14"/>
    </row>
    <row r="49" spans="1:17" x14ac:dyDescent="0.25">
      <c r="A49" s="884"/>
      <c r="B49" s="61" t="s">
        <v>1363</v>
      </c>
      <c r="C49" s="884"/>
      <c r="D49" s="911" t="s">
        <v>685</v>
      </c>
      <c r="E49" s="50"/>
      <c r="F49" s="50"/>
      <c r="G49" s="884"/>
      <c r="H49" s="884"/>
      <c r="I49" s="884"/>
      <c r="J49" s="207"/>
      <c r="K49" s="29"/>
      <c r="L49" s="1"/>
    </row>
    <row r="50" spans="1:17" x14ac:dyDescent="0.25">
      <c r="A50" s="884"/>
      <c r="B50" s="65">
        <v>2017</v>
      </c>
      <c r="C50" s="884"/>
      <c r="D50" s="1265">
        <v>348150</v>
      </c>
      <c r="E50" s="691"/>
      <c r="F50" s="50"/>
      <c r="G50" s="42"/>
      <c r="H50" s="884"/>
      <c r="I50" s="884"/>
      <c r="J50" s="207"/>
      <c r="K50" s="29"/>
      <c r="L50" s="1"/>
    </row>
    <row r="51" spans="1:17" x14ac:dyDescent="0.25">
      <c r="A51" s="884"/>
      <c r="B51" s="65">
        <v>2019</v>
      </c>
      <c r="C51" s="884"/>
      <c r="D51" s="1266">
        <v>302747</v>
      </c>
      <c r="E51" s="691"/>
      <c r="F51" s="42" t="s">
        <v>1504</v>
      </c>
      <c r="G51" s="691"/>
      <c r="H51" s="884"/>
      <c r="I51" s="884"/>
      <c r="J51" s="207"/>
      <c r="K51" s="29"/>
      <c r="L51" s="1"/>
    </row>
    <row r="52" spans="1:17" x14ac:dyDescent="0.25">
      <c r="A52" s="884"/>
      <c r="B52" s="65">
        <v>2020</v>
      </c>
      <c r="C52" s="884"/>
      <c r="D52" s="1266">
        <v>87744</v>
      </c>
      <c r="E52" s="691"/>
      <c r="F52" s="42"/>
      <c r="G52" s="691"/>
      <c r="H52" s="884"/>
      <c r="I52" s="884"/>
      <c r="J52" s="207"/>
      <c r="K52" s="29"/>
      <c r="L52" s="1"/>
    </row>
    <row r="53" spans="1:17" x14ac:dyDescent="0.25">
      <c r="A53" s="884"/>
      <c r="B53" s="65">
        <v>2021</v>
      </c>
      <c r="C53" s="884"/>
      <c r="D53" s="1267">
        <v>110633</v>
      </c>
      <c r="E53" s="691"/>
      <c r="F53" s="42"/>
      <c r="G53" s="691"/>
      <c r="H53" s="884"/>
      <c r="I53" s="884"/>
      <c r="J53" s="207"/>
      <c r="K53" s="29"/>
      <c r="L53" s="1"/>
      <c r="M53" s="1"/>
      <c r="N53" s="1"/>
      <c r="O53" s="1"/>
      <c r="P53" s="4"/>
      <c r="Q53" s="14"/>
    </row>
    <row r="54" spans="1:17" x14ac:dyDescent="0.25">
      <c r="A54" s="884"/>
      <c r="B54" s="884" t="s">
        <v>196</v>
      </c>
      <c r="C54" s="884"/>
      <c r="D54" s="42">
        <f>AVERAGE(D50:D53)</f>
        <v>212318.5</v>
      </c>
      <c r="E54" s="42"/>
      <c r="F54" s="42"/>
      <c r="G54" s="33"/>
      <c r="H54" s="884"/>
      <c r="I54" s="884"/>
      <c r="J54" s="206"/>
      <c r="K54" s="29"/>
      <c r="L54" s="1"/>
    </row>
    <row r="55" spans="1:17" x14ac:dyDescent="0.25">
      <c r="A55" s="884"/>
      <c r="B55" s="884"/>
      <c r="C55" s="884"/>
      <c r="D55" s="42"/>
      <c r="E55" s="884"/>
      <c r="F55" s="884"/>
      <c r="G55" s="884"/>
      <c r="H55" s="884"/>
      <c r="I55" s="884"/>
      <c r="J55" s="206"/>
      <c r="K55" s="29"/>
      <c r="L55" s="1"/>
    </row>
    <row r="56" spans="1:17" x14ac:dyDescent="0.25">
      <c r="A56" s="207"/>
      <c r="B56" s="207"/>
      <c r="C56" s="207"/>
      <c r="D56" s="206"/>
      <c r="E56" s="337"/>
      <c r="F56" s="337"/>
      <c r="G56" s="337"/>
      <c r="H56" s="207"/>
      <c r="I56" s="207"/>
      <c r="J56" s="206"/>
      <c r="K56" s="29"/>
      <c r="L56" s="1"/>
    </row>
    <row r="57" spans="1:17" x14ac:dyDescent="0.25">
      <c r="A57" s="207"/>
      <c r="B57" s="207"/>
      <c r="C57" s="207"/>
      <c r="D57" s="207"/>
      <c r="E57" s="207"/>
      <c r="F57" s="207"/>
      <c r="G57" s="207"/>
      <c r="H57" s="207"/>
      <c r="I57" s="207"/>
      <c r="J57" s="207"/>
      <c r="K57" s="29"/>
      <c r="L57" s="4"/>
      <c r="M57" s="1"/>
      <c r="N57" s="1"/>
      <c r="O57" s="1"/>
      <c r="P57" s="4"/>
      <c r="Q57" s="14"/>
    </row>
    <row r="59" spans="1:17" x14ac:dyDescent="0.25">
      <c r="M59" s="1"/>
      <c r="N59" s="1"/>
      <c r="O59" s="1"/>
      <c r="P59" s="4"/>
      <c r="Q59" s="14"/>
    </row>
    <row r="61" spans="1:17" x14ac:dyDescent="0.25">
      <c r="M61" s="1"/>
      <c r="N61" s="1"/>
      <c r="O61" s="1"/>
      <c r="P61" s="4"/>
      <c r="Q61" s="14"/>
    </row>
    <row r="63" spans="1:17" x14ac:dyDescent="0.25">
      <c r="M63" s="1"/>
      <c r="N63" s="1"/>
      <c r="O63" s="1"/>
      <c r="P63" s="4"/>
      <c r="Q63" s="14"/>
    </row>
    <row r="65" spans="13:17" x14ac:dyDescent="0.25">
      <c r="M65" s="1"/>
      <c r="N65" s="1"/>
      <c r="O65" s="1"/>
      <c r="P65" s="4"/>
      <c r="Q65" s="14"/>
    </row>
    <row r="67" spans="13:17" x14ac:dyDescent="0.25">
      <c r="M67" s="1"/>
      <c r="N67" s="1"/>
      <c r="O67" s="1"/>
      <c r="P67" s="4"/>
      <c r="Q67" s="14"/>
    </row>
  </sheetData>
  <phoneticPr fontId="12" type="noConversion"/>
  <pageMargins left="0.55000000000000004" right="0.26" top="0.61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9"/>
  <sheetViews>
    <sheetView showGridLines="0" workbookViewId="0">
      <selection activeCell="A15" sqref="A15:XFD15"/>
    </sheetView>
  </sheetViews>
  <sheetFormatPr defaultColWidth="8" defaultRowHeight="13.2" x14ac:dyDescent="0.25"/>
  <cols>
    <col min="1" max="1" width="7.6328125" style="5" customWidth="1"/>
    <col min="2" max="5" width="8" style="5" customWidth="1"/>
    <col min="6" max="6" width="10" style="5" customWidth="1"/>
    <col min="7" max="7" width="14.08984375" style="5" bestFit="1" customWidth="1"/>
    <col min="8" max="8" width="10.36328125" style="5" customWidth="1"/>
    <col min="9" max="9" width="14" style="5" bestFit="1" customWidth="1"/>
    <col min="10" max="10" width="37.1796875" style="5" customWidth="1"/>
    <col min="11" max="16384" width="8" style="5"/>
  </cols>
  <sheetData>
    <row r="1" spans="1:13" x14ac:dyDescent="0.25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</row>
    <row r="2" spans="1:13" x14ac:dyDescent="0.25">
      <c r="A2" s="27" t="s">
        <v>94</v>
      </c>
      <c r="B2" s="28"/>
      <c r="C2" s="28"/>
      <c r="D2" s="28"/>
      <c r="E2" s="28"/>
      <c r="F2" s="28"/>
      <c r="G2" s="28"/>
      <c r="H2" s="28"/>
      <c r="I2" s="29"/>
      <c r="J2" s="29"/>
    </row>
    <row r="3" spans="1:13" x14ac:dyDescent="0.25">
      <c r="A3" s="33" t="s">
        <v>742</v>
      </c>
      <c r="B3" s="29"/>
      <c r="C3" s="27"/>
      <c r="D3" s="28"/>
      <c r="E3" s="28"/>
      <c r="F3" s="28"/>
      <c r="G3" s="28"/>
      <c r="H3" s="28"/>
      <c r="I3" s="28"/>
      <c r="J3" s="28"/>
    </row>
    <row r="4" spans="1:13" x14ac:dyDescent="0.25">
      <c r="A4" s="28"/>
      <c r="B4" s="29"/>
      <c r="C4" s="27"/>
      <c r="D4" s="28"/>
      <c r="E4" s="28"/>
      <c r="F4" s="28"/>
      <c r="G4" s="28"/>
      <c r="H4" s="28"/>
      <c r="I4" s="28"/>
      <c r="J4" s="28"/>
    </row>
    <row r="5" spans="1:13" x14ac:dyDescent="0.25">
      <c r="A5" s="28"/>
      <c r="B5" s="29"/>
      <c r="C5" s="27"/>
      <c r="D5" s="28"/>
      <c r="E5" s="28"/>
      <c r="F5" s="28"/>
      <c r="G5" s="28"/>
      <c r="H5" s="28"/>
      <c r="I5" s="28"/>
      <c r="J5" s="28"/>
    </row>
    <row r="6" spans="1:13" x14ac:dyDescent="0.25">
      <c r="A6" s="28"/>
      <c r="B6" s="28"/>
      <c r="C6" s="28"/>
      <c r="D6" s="28"/>
      <c r="E6" s="28"/>
      <c r="F6" s="28"/>
      <c r="G6" s="60" t="s">
        <v>114</v>
      </c>
      <c r="H6" s="60" t="s">
        <v>342</v>
      </c>
      <c r="I6" s="60" t="str">
        <f>+'S1-Revenue Requirement'!E6</f>
        <v>11/1/22-10/31/23</v>
      </c>
      <c r="J6" s="33"/>
    </row>
    <row r="7" spans="1:13" x14ac:dyDescent="0.25">
      <c r="A7" s="59" t="s">
        <v>236</v>
      </c>
      <c r="B7" s="59" t="s">
        <v>226</v>
      </c>
      <c r="C7" s="58"/>
      <c r="D7" s="58"/>
      <c r="E7" s="28"/>
      <c r="F7" s="28"/>
      <c r="G7" s="61" t="str">
        <f>+'S1-Revenue Requirement'!C6</f>
        <v>7/1/21 - 6/30/22</v>
      </c>
      <c r="H7" s="61" t="s">
        <v>343</v>
      </c>
      <c r="I7" s="61" t="s">
        <v>614</v>
      </c>
      <c r="J7" s="61" t="s">
        <v>216</v>
      </c>
    </row>
    <row r="8" spans="1:13" x14ac:dyDescent="0.25">
      <c r="A8" s="59"/>
      <c r="B8" s="59"/>
      <c r="C8" s="58"/>
      <c r="D8" s="58"/>
      <c r="E8" s="28"/>
      <c r="F8" s="28"/>
      <c r="G8" s="61"/>
      <c r="H8" s="61"/>
      <c r="I8" s="61"/>
      <c r="J8" s="61"/>
    </row>
    <row r="9" spans="1:13" x14ac:dyDescent="0.25">
      <c r="A9" s="33" t="s">
        <v>190</v>
      </c>
      <c r="B9" s="33" t="s">
        <v>92</v>
      </c>
      <c r="C9" s="33"/>
      <c r="D9" s="33"/>
      <c r="E9" s="33"/>
      <c r="F9" s="33"/>
      <c r="G9" s="42">
        <f>+'S6A - Payroll by Function'!C12</f>
        <v>641108.92629040941</v>
      </c>
      <c r="H9" s="295">
        <f>+I9-G9</f>
        <v>21866.599143277272</v>
      </c>
      <c r="I9" s="295">
        <f>+'S6A - Payroll by Function'!E12</f>
        <v>662975.52543368668</v>
      </c>
      <c r="J9" s="913" t="s">
        <v>76</v>
      </c>
    </row>
    <row r="10" spans="1:13" x14ac:dyDescent="0.25">
      <c r="A10" s="205"/>
      <c r="B10" s="205"/>
      <c r="C10" s="205"/>
      <c r="D10" s="205"/>
      <c r="E10" s="205"/>
      <c r="F10" s="205"/>
      <c r="G10" s="208"/>
      <c r="H10" s="205"/>
      <c r="I10" s="221"/>
      <c r="J10" s="205"/>
    </row>
    <row r="11" spans="1:13" x14ac:dyDescent="0.25">
      <c r="A11" s="298">
        <v>905</v>
      </c>
      <c r="B11" s="105" t="s">
        <v>1083</v>
      </c>
      <c r="C11" s="33"/>
      <c r="D11" s="33"/>
      <c r="E11" s="33"/>
      <c r="F11" s="33"/>
      <c r="G11" s="691">
        <f>+'S6 - Admin &amp; Gen'!E52</f>
        <v>3774</v>
      </c>
      <c r="H11" s="295">
        <f>+I11-G11</f>
        <v>65.655473805058136</v>
      </c>
      <c r="I11" s="691">
        <f>+'S6 - Admin &amp; Gen'!G52</f>
        <v>3839.6554738050581</v>
      </c>
      <c r="J11" s="805" t="s">
        <v>37</v>
      </c>
    </row>
    <row r="12" spans="1:13" hidden="1" x14ac:dyDescent="0.25">
      <c r="A12" s="130"/>
      <c r="B12" s="33"/>
      <c r="C12" s="33"/>
      <c r="D12" s="33"/>
      <c r="E12" s="33"/>
      <c r="F12" s="33"/>
      <c r="G12" s="691"/>
      <c r="H12" s="295"/>
      <c r="I12" s="691"/>
      <c r="J12" s="33"/>
    </row>
    <row r="13" spans="1:13" hidden="1" x14ac:dyDescent="0.25">
      <c r="A13" s="298"/>
      <c r="B13" s="33"/>
      <c r="C13" s="33"/>
      <c r="D13" s="33"/>
      <c r="E13" s="33"/>
      <c r="F13" s="33"/>
      <c r="G13" s="691"/>
      <c r="H13" s="295"/>
      <c r="I13" s="691"/>
      <c r="J13" s="33"/>
      <c r="K13" s="1161"/>
      <c r="L13" s="1170"/>
      <c r="M13" s="1170"/>
    </row>
    <row r="14" spans="1:13" x14ac:dyDescent="0.25">
      <c r="A14" s="130"/>
      <c r="B14" s="33"/>
      <c r="C14" s="33"/>
      <c r="D14" s="33"/>
      <c r="E14" s="33"/>
      <c r="F14" s="33"/>
      <c r="G14" s="691"/>
      <c r="H14" s="295"/>
      <c r="I14" s="691"/>
      <c r="J14" s="33"/>
    </row>
    <row r="15" spans="1:13" s="38" customFormat="1" x14ac:dyDescent="0.25">
      <c r="A15" s="130" t="s">
        <v>641</v>
      </c>
      <c r="B15" s="33" t="s">
        <v>1237</v>
      </c>
      <c r="C15" s="33"/>
      <c r="D15" s="33"/>
      <c r="E15" s="33"/>
      <c r="F15" s="33"/>
      <c r="G15" s="133">
        <f>+'Trial Balance'!C133</f>
        <v>183314.51</v>
      </c>
      <c r="H15" s="295">
        <f>+I15-G15</f>
        <v>32380.489999999991</v>
      </c>
      <c r="I15" s="691">
        <v>215695</v>
      </c>
      <c r="J15" s="33" t="s">
        <v>1473</v>
      </c>
      <c r="K15" s="1161"/>
      <c r="L15" s="1171"/>
      <c r="M15" s="1171"/>
    </row>
    <row r="16" spans="1:13" x14ac:dyDescent="0.25">
      <c r="A16" s="130"/>
      <c r="B16" s="33"/>
      <c r="C16" s="33"/>
      <c r="D16" s="33"/>
      <c r="E16" s="33"/>
      <c r="F16" s="33"/>
      <c r="G16" s="208"/>
      <c r="H16" s="220"/>
      <c r="I16" s="208"/>
      <c r="J16" s="205"/>
    </row>
    <row r="17" spans="1:10" x14ac:dyDescent="0.25">
      <c r="A17" s="298"/>
      <c r="B17" s="33"/>
      <c r="C17" s="33"/>
      <c r="D17" s="33"/>
      <c r="E17" s="33"/>
      <c r="F17" s="33"/>
      <c r="G17" s="208"/>
      <c r="H17" s="220"/>
      <c r="I17" s="208"/>
      <c r="J17" s="205"/>
    </row>
    <row r="18" spans="1:10" x14ac:dyDescent="0.25">
      <c r="A18" s="130"/>
      <c r="B18" s="33"/>
      <c r="C18" s="33"/>
      <c r="D18" s="33"/>
      <c r="E18" s="33"/>
      <c r="F18" s="33"/>
      <c r="G18" s="208"/>
      <c r="H18" s="220"/>
      <c r="I18" s="208"/>
      <c r="J18" s="205"/>
    </row>
    <row r="19" spans="1:10" x14ac:dyDescent="0.25">
      <c r="A19" s="205"/>
      <c r="B19" s="205"/>
      <c r="C19" s="207"/>
      <c r="D19" s="207"/>
      <c r="E19" s="207"/>
      <c r="F19" s="207"/>
      <c r="G19" s="222"/>
      <c r="H19" s="207"/>
      <c r="I19" s="221"/>
      <c r="J19" s="205"/>
    </row>
    <row r="20" spans="1:10" ht="13.8" thickBot="1" x14ac:dyDescent="0.3">
      <c r="A20" s="205"/>
      <c r="B20" s="33" t="s">
        <v>112</v>
      </c>
      <c r="C20" s="36"/>
      <c r="D20" s="36"/>
      <c r="E20" s="36"/>
      <c r="F20" s="36"/>
      <c r="G20" s="207"/>
      <c r="H20" s="817">
        <f>SUM(H9:H19)</f>
        <v>54312.744617082324</v>
      </c>
      <c r="I20" s="337"/>
      <c r="J20" s="205"/>
    </row>
    <row r="21" spans="1:10" ht="13.8" thickTop="1" x14ac:dyDescent="0.25">
      <c r="A21" s="205"/>
      <c r="B21" s="205"/>
      <c r="C21" s="205"/>
      <c r="D21" s="205"/>
      <c r="E21" s="205"/>
      <c r="F21" s="205"/>
      <c r="G21" s="206"/>
      <c r="H21" s="216"/>
      <c r="I21" s="207"/>
      <c r="J21" s="205"/>
    </row>
    <row r="22" spans="1:10" x14ac:dyDescent="0.25">
      <c r="A22" s="212"/>
      <c r="B22" s="205"/>
      <c r="C22" s="205"/>
      <c r="D22" s="205"/>
      <c r="E22" s="205"/>
      <c r="F22" s="205"/>
      <c r="G22" s="205"/>
      <c r="H22" s="205"/>
      <c r="I22" s="205"/>
      <c r="J22" s="205"/>
    </row>
    <row r="23" spans="1:10" x14ac:dyDescent="0.25">
      <c r="A23" s="212"/>
      <c r="B23" s="205"/>
      <c r="C23" s="207"/>
      <c r="D23" s="207"/>
      <c r="E23" s="207"/>
      <c r="F23" s="207"/>
      <c r="G23" s="207"/>
      <c r="H23" s="223"/>
      <c r="I23" s="207"/>
      <c r="J23" s="205"/>
    </row>
    <row r="24" spans="1:10" x14ac:dyDescent="0.25">
      <c r="A24" s="205"/>
      <c r="B24" s="205"/>
      <c r="C24" s="205"/>
      <c r="D24" s="205"/>
      <c r="E24" s="205"/>
      <c r="F24" s="205"/>
      <c r="G24" s="221"/>
      <c r="H24" s="208"/>
      <c r="I24" s="207"/>
      <c r="J24" s="205"/>
    </row>
    <row r="25" spans="1:10" x14ac:dyDescent="0.25">
      <c r="A25" s="205"/>
      <c r="B25" s="207"/>
      <c r="C25" s="207"/>
      <c r="D25" s="207"/>
      <c r="E25" s="207"/>
      <c r="F25" s="207"/>
      <c r="G25" s="207"/>
      <c r="H25" s="207"/>
      <c r="I25" s="207"/>
      <c r="J25" s="205"/>
    </row>
    <row r="26" spans="1:10" x14ac:dyDescent="0.25">
      <c r="A26" s="205"/>
      <c r="B26" s="207"/>
      <c r="C26" s="207"/>
      <c r="D26" s="207"/>
      <c r="E26" s="207"/>
      <c r="F26" s="207"/>
      <c r="G26" s="207"/>
      <c r="H26" s="207"/>
      <c r="I26" s="207"/>
      <c r="J26" s="205"/>
    </row>
    <row r="27" spans="1:10" x14ac:dyDescent="0.25">
      <c r="A27" s="28"/>
      <c r="B27" s="29"/>
      <c r="C27" s="29"/>
      <c r="D27" s="29"/>
      <c r="E27" s="29"/>
      <c r="F27" s="29"/>
      <c r="G27" s="29"/>
      <c r="H27" s="29"/>
      <c r="I27" s="28"/>
      <c r="J27" s="28"/>
    </row>
    <row r="28" spans="1:10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</row>
  </sheetData>
  <phoneticPr fontId="12" type="noConversion"/>
  <pageMargins left="1.01" right="0.26" top="0.83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59"/>
  <sheetViews>
    <sheetView showGridLines="0" zoomScaleNormal="100" workbookViewId="0">
      <selection activeCell="G25" sqref="G25"/>
    </sheetView>
  </sheetViews>
  <sheetFormatPr defaultColWidth="8.90625" defaultRowHeight="13.2" x14ac:dyDescent="0.25"/>
  <cols>
    <col min="1" max="1" width="9.1796875" style="5" customWidth="1"/>
    <col min="2" max="2" width="27" style="5" customWidth="1"/>
    <col min="3" max="3" width="10.36328125" style="5" bestFit="1" customWidth="1"/>
    <col min="4" max="4" width="10.81640625" style="5" customWidth="1"/>
    <col min="5" max="5" width="14.08984375" style="5" bestFit="1" customWidth="1"/>
    <col min="6" max="6" width="10.90625" style="5" customWidth="1"/>
    <col min="7" max="7" width="14" style="5" bestFit="1" customWidth="1"/>
    <col min="8" max="8" width="24.54296875" style="5" customWidth="1"/>
    <col min="9" max="9" width="13.08984375" style="5" customWidth="1"/>
    <col min="10" max="10" width="29.90625" style="5" customWidth="1"/>
    <col min="11" max="16384" width="8.90625" style="5"/>
  </cols>
  <sheetData>
    <row r="1" spans="1:10" x14ac:dyDescent="0.25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x14ac:dyDescent="0.25">
      <c r="A2" s="27" t="s">
        <v>95</v>
      </c>
      <c r="B2" s="28"/>
      <c r="C2" s="28"/>
      <c r="D2" s="28"/>
      <c r="E2" s="28"/>
      <c r="F2" s="31"/>
      <c r="G2" s="28"/>
      <c r="H2" s="29"/>
      <c r="I2" s="29"/>
      <c r="J2" s="29"/>
    </row>
    <row r="3" spans="1:10" x14ac:dyDescent="0.25">
      <c r="A3" s="33" t="s">
        <v>743</v>
      </c>
      <c r="B3" s="27"/>
      <c r="C3" s="28"/>
      <c r="D3" s="28"/>
      <c r="E3" s="28"/>
      <c r="F3" s="28"/>
      <c r="G3" s="28"/>
      <c r="H3" s="28"/>
      <c r="I3" s="28"/>
      <c r="J3" s="29"/>
    </row>
    <row r="4" spans="1:10" x14ac:dyDescent="0.25">
      <c r="A4" s="28"/>
      <c r="B4" s="28"/>
      <c r="C4" s="28"/>
      <c r="D4" s="28"/>
      <c r="E4" s="28"/>
      <c r="F4" s="28"/>
      <c r="G4" s="28"/>
      <c r="H4" s="28"/>
      <c r="I4" s="28"/>
      <c r="J4" s="29"/>
    </row>
    <row r="5" spans="1:10" x14ac:dyDescent="0.25">
      <c r="A5" s="28"/>
      <c r="B5" s="28"/>
      <c r="C5" s="28"/>
      <c r="D5" s="28"/>
      <c r="E5" s="28"/>
      <c r="F5" s="28"/>
      <c r="G5" s="28"/>
      <c r="H5" s="28"/>
      <c r="I5" s="28"/>
      <c r="J5" s="29"/>
    </row>
    <row r="6" spans="1:10" x14ac:dyDescent="0.25">
      <c r="A6" s="28"/>
      <c r="B6" s="28"/>
      <c r="C6" s="28"/>
      <c r="D6" s="28"/>
      <c r="E6" s="60" t="s">
        <v>114</v>
      </c>
      <c r="F6" s="60" t="s">
        <v>342</v>
      </c>
      <c r="G6" s="60" t="str">
        <f>+'S1-Revenue Requirement'!E6</f>
        <v>11/1/22-10/31/23</v>
      </c>
      <c r="H6" s="33"/>
      <c r="I6" s="28"/>
      <c r="J6" s="29"/>
    </row>
    <row r="7" spans="1:10" x14ac:dyDescent="0.25">
      <c r="A7" s="59" t="s">
        <v>236</v>
      </c>
      <c r="B7" s="59" t="s">
        <v>197</v>
      </c>
      <c r="C7" s="58"/>
      <c r="D7" s="58"/>
      <c r="E7" s="61" t="str">
        <f>+'S1-Revenue Requirement'!C6</f>
        <v>7/1/21 - 6/30/22</v>
      </c>
      <c r="F7" s="61" t="s">
        <v>343</v>
      </c>
      <c r="G7" s="61" t="s">
        <v>614</v>
      </c>
      <c r="H7" s="61" t="s">
        <v>216</v>
      </c>
      <c r="I7" s="28"/>
      <c r="J7" s="29"/>
    </row>
    <row r="8" spans="1:10" x14ac:dyDescent="0.25">
      <c r="A8" s="27"/>
      <c r="B8" s="32"/>
      <c r="C8" s="28"/>
      <c r="D8" s="28"/>
      <c r="E8" s="50"/>
      <c r="F8" s="50"/>
      <c r="G8" s="50"/>
      <c r="H8" s="33"/>
      <c r="I8" s="28"/>
      <c r="J8" s="29"/>
    </row>
    <row r="9" spans="1:10" x14ac:dyDescent="0.25">
      <c r="A9" s="33" t="s">
        <v>190</v>
      </c>
      <c r="B9" s="33" t="s">
        <v>92</v>
      </c>
      <c r="C9" s="33"/>
      <c r="D9" s="33"/>
      <c r="E9" s="42">
        <f>+'S6A - Payroll by Function'!C13</f>
        <v>1331137.4844819263</v>
      </c>
      <c r="F9" s="42">
        <f>+G9-E9</f>
        <v>45401.722833869746</v>
      </c>
      <c r="G9" s="42">
        <f>+'S6A - Payroll by Function'!E13</f>
        <v>1376539.2073157961</v>
      </c>
      <c r="H9" s="913" t="s">
        <v>76</v>
      </c>
      <c r="I9" s="28"/>
      <c r="J9" s="29"/>
    </row>
    <row r="10" spans="1:10" x14ac:dyDescent="0.25">
      <c r="A10" s="33"/>
      <c r="B10" s="33"/>
      <c r="C10" s="33"/>
      <c r="D10" s="33"/>
      <c r="E10" s="206"/>
      <c r="F10" s="206"/>
      <c r="G10" s="206"/>
      <c r="H10" s="207"/>
      <c r="I10" s="28"/>
      <c r="J10" s="29"/>
    </row>
    <row r="11" spans="1:10" hidden="1" x14ac:dyDescent="0.25">
      <c r="A11" s="62">
        <v>920.04</v>
      </c>
      <c r="B11" s="33" t="s">
        <v>1318</v>
      </c>
      <c r="C11" s="33"/>
      <c r="D11" s="33"/>
      <c r="E11" s="206">
        <v>0</v>
      </c>
      <c r="F11" s="206">
        <f>+G11-E11</f>
        <v>0</v>
      </c>
      <c r="G11" s="206">
        <v>0</v>
      </c>
      <c r="H11" s="207" t="s">
        <v>1319</v>
      </c>
      <c r="I11" s="28"/>
      <c r="J11" s="29"/>
    </row>
    <row r="12" spans="1:10" hidden="1" x14ac:dyDescent="0.25">
      <c r="A12" s="307"/>
      <c r="B12" s="33"/>
      <c r="C12" s="33"/>
      <c r="D12" s="205"/>
      <c r="E12" s="206"/>
      <c r="F12" s="206"/>
      <c r="G12" s="206"/>
      <c r="H12" s="207"/>
      <c r="I12" s="29"/>
      <c r="J12" s="29"/>
    </row>
    <row r="13" spans="1:10" x14ac:dyDescent="0.25">
      <c r="A13" s="299">
        <v>923.03</v>
      </c>
      <c r="B13" s="68" t="s">
        <v>1219</v>
      </c>
      <c r="C13" s="205"/>
      <c r="D13" s="205"/>
      <c r="E13" s="1246">
        <f>+'Trial Balance'!C157</f>
        <v>40295</v>
      </c>
      <c r="F13" s="42">
        <f>+G13-E13</f>
        <v>-6845</v>
      </c>
      <c r="G13" s="42">
        <v>33450</v>
      </c>
      <c r="H13" s="805" t="s">
        <v>1286</v>
      </c>
      <c r="I13" s="29"/>
      <c r="J13" s="29"/>
    </row>
    <row r="14" spans="1:10" x14ac:dyDescent="0.25">
      <c r="A14" s="307"/>
      <c r="B14" s="33"/>
      <c r="C14" s="33"/>
      <c r="D14" s="205"/>
      <c r="E14" s="206"/>
      <c r="F14" s="206"/>
      <c r="G14" s="206"/>
      <c r="H14" s="207"/>
      <c r="I14" s="29"/>
      <c r="J14" s="29"/>
    </row>
    <row r="15" spans="1:10" hidden="1" x14ac:dyDescent="0.25">
      <c r="A15" s="226"/>
      <c r="B15" s="205"/>
      <c r="C15" s="205"/>
      <c r="D15" s="205"/>
      <c r="E15" s="206"/>
      <c r="F15" s="206"/>
      <c r="G15" s="206"/>
      <c r="H15" s="207"/>
      <c r="I15" s="29"/>
      <c r="J15" s="29"/>
    </row>
    <row r="16" spans="1:10" x14ac:dyDescent="0.25">
      <c r="A16" s="307" t="s">
        <v>336</v>
      </c>
      <c r="B16" s="33" t="s">
        <v>124</v>
      </c>
      <c r="C16" s="33"/>
      <c r="D16" s="33"/>
      <c r="E16" s="42">
        <f>+'S7 - Insurance'!B38</f>
        <v>88987.639425630012</v>
      </c>
      <c r="F16" s="42">
        <f>+G16-E16</f>
        <v>1727.9921115599718</v>
      </c>
      <c r="G16" s="42">
        <f>+'S7 - Insurance'!F38</f>
        <v>90715.631537189984</v>
      </c>
      <c r="H16" s="913" t="s">
        <v>123</v>
      </c>
      <c r="I16" s="29"/>
      <c r="J16" s="29"/>
    </row>
    <row r="17" spans="1:10" x14ac:dyDescent="0.25">
      <c r="A17" s="226"/>
      <c r="B17" s="205"/>
      <c r="C17" s="205"/>
      <c r="D17" s="205"/>
      <c r="E17" s="206"/>
      <c r="F17" s="206"/>
      <c r="G17" s="206"/>
      <c r="H17" s="207"/>
      <c r="I17" s="29"/>
      <c r="J17" s="29"/>
    </row>
    <row r="18" spans="1:10" hidden="1" x14ac:dyDescent="0.25">
      <c r="A18" s="227"/>
      <c r="B18" s="205"/>
      <c r="C18" s="205"/>
      <c r="D18" s="225"/>
      <c r="E18" s="205"/>
      <c r="F18" s="207"/>
      <c r="G18" s="205"/>
      <c r="H18" s="207"/>
      <c r="I18" s="29"/>
      <c r="J18" s="29"/>
    </row>
    <row r="19" spans="1:10" x14ac:dyDescent="0.25">
      <c r="A19" s="298">
        <v>930.2</v>
      </c>
      <c r="B19" s="105" t="str">
        <f>+B53</f>
        <v>MISC GEN EXP PROP TAX</v>
      </c>
      <c r="C19" s="33"/>
      <c r="D19" s="52"/>
      <c r="E19" s="808">
        <f>+E53</f>
        <v>6748</v>
      </c>
      <c r="F19" s="42">
        <f>+G19-E19</f>
        <v>117.39351808069205</v>
      </c>
      <c r="G19" s="808">
        <f>+G53</f>
        <v>6865.393518080692</v>
      </c>
      <c r="H19" s="805" t="s">
        <v>38</v>
      </c>
      <c r="I19" s="29"/>
      <c r="J19" s="29"/>
    </row>
    <row r="20" spans="1:10" x14ac:dyDescent="0.25">
      <c r="A20" s="298"/>
      <c r="B20" s="105"/>
      <c r="C20" s="33"/>
      <c r="D20" s="648"/>
      <c r="E20" s="382"/>
      <c r="F20" s="206"/>
      <c r="G20" s="382"/>
      <c r="H20" s="207"/>
      <c r="I20" s="29"/>
      <c r="J20" s="29"/>
    </row>
    <row r="21" spans="1:10" hidden="1" x14ac:dyDescent="0.25">
      <c r="A21" s="298"/>
      <c r="B21" s="105"/>
      <c r="C21" s="33"/>
      <c r="D21" s="648"/>
      <c r="E21" s="808"/>
      <c r="F21" s="42"/>
      <c r="G21" s="382"/>
      <c r="H21" s="207"/>
      <c r="I21" s="29"/>
      <c r="J21" s="29"/>
    </row>
    <row r="22" spans="1:10" hidden="1" x14ac:dyDescent="0.25">
      <c r="A22" s="298"/>
      <c r="B22" s="105"/>
      <c r="C22" s="33"/>
      <c r="D22" s="704"/>
      <c r="E22" s="382"/>
      <c r="F22" s="206"/>
      <c r="G22" s="382"/>
      <c r="H22" s="207"/>
      <c r="I22" s="29"/>
      <c r="J22" s="29"/>
    </row>
    <row r="23" spans="1:10" s="38" customFormat="1" x14ac:dyDescent="0.25">
      <c r="A23" s="298"/>
      <c r="B23" s="105" t="s">
        <v>1486</v>
      </c>
      <c r="C23" s="33"/>
      <c r="D23" s="1274"/>
      <c r="E23" s="808">
        <v>0</v>
      </c>
      <c r="F23" s="42">
        <f>+G23-E23</f>
        <v>10000</v>
      </c>
      <c r="G23" s="808">
        <v>10000</v>
      </c>
      <c r="H23" s="1273"/>
      <c r="I23" s="1273"/>
      <c r="J23" s="1273"/>
    </row>
    <row r="24" spans="1:10" s="38" customFormat="1" x14ac:dyDescent="0.25">
      <c r="A24" s="298"/>
      <c r="B24" s="105"/>
      <c r="C24" s="33"/>
      <c r="D24" s="1274"/>
      <c r="E24" s="808"/>
      <c r="F24" s="42"/>
      <c r="G24" s="808"/>
      <c r="H24" s="1273"/>
      <c r="I24" s="1273"/>
      <c r="J24" s="1273"/>
    </row>
    <row r="25" spans="1:10" s="38" customFormat="1" x14ac:dyDescent="0.25">
      <c r="A25" s="298">
        <v>928.07</v>
      </c>
      <c r="B25" s="105" t="s">
        <v>1330</v>
      </c>
      <c r="C25" s="33"/>
      <c r="D25" s="1274"/>
      <c r="E25" s="808">
        <v>0</v>
      </c>
      <c r="F25" s="42">
        <f>+G25-E25</f>
        <v>60000</v>
      </c>
      <c r="G25" s="808">
        <v>60000</v>
      </c>
      <c r="H25" s="1273" t="s">
        <v>1367</v>
      </c>
      <c r="I25" s="1273"/>
      <c r="J25" s="1273"/>
    </row>
    <row r="26" spans="1:10" x14ac:dyDescent="0.25">
      <c r="A26" s="227"/>
      <c r="B26" s="205"/>
      <c r="C26" s="205"/>
      <c r="D26" s="225"/>
      <c r="E26" s="205"/>
      <c r="F26" s="207"/>
      <c r="G26" s="205"/>
      <c r="H26" s="207"/>
      <c r="I26" s="29"/>
      <c r="J26" s="29"/>
    </row>
    <row r="27" spans="1:10" x14ac:dyDescent="0.25">
      <c r="A27" s="227"/>
      <c r="B27" s="205"/>
      <c r="C27" s="205"/>
      <c r="D27" s="225"/>
      <c r="E27" s="205"/>
      <c r="F27" s="207"/>
      <c r="G27" s="205"/>
      <c r="H27" s="207"/>
      <c r="I27" s="29"/>
      <c r="J27" s="29"/>
    </row>
    <row r="28" spans="1:10" ht="13.8" thickBot="1" x14ac:dyDescent="0.3">
      <c r="A28" s="227"/>
      <c r="B28" s="33" t="s">
        <v>53</v>
      </c>
      <c r="C28" s="33"/>
      <c r="D28" s="52"/>
      <c r="E28" s="205"/>
      <c r="F28" s="817">
        <f>SUM(F9:F27)</f>
        <v>110402.10846351041</v>
      </c>
      <c r="G28" s="913"/>
      <c r="H28" s="33" t="s">
        <v>13</v>
      </c>
      <c r="I28" s="29"/>
      <c r="J28" s="29"/>
    </row>
    <row r="29" spans="1:10" ht="13.8" thickTop="1" x14ac:dyDescent="0.25">
      <c r="A29" s="227"/>
      <c r="B29" s="207"/>
      <c r="C29" s="207"/>
      <c r="D29" s="207"/>
      <c r="E29" s="207"/>
      <c r="F29" s="913"/>
      <c r="G29" s="913"/>
      <c r="H29" s="913"/>
      <c r="I29" s="29"/>
      <c r="J29" s="29"/>
    </row>
    <row r="30" spans="1:10" ht="15.6" x14ac:dyDescent="0.3">
      <c r="A30" s="308" t="s">
        <v>35</v>
      </c>
      <c r="B30" s="207"/>
      <c r="C30" s="207"/>
      <c r="D30" s="207"/>
      <c r="E30" s="207"/>
      <c r="F30" s="207"/>
      <c r="G30" s="207"/>
      <c r="H30" s="207"/>
      <c r="I30" s="29"/>
      <c r="J30" s="29"/>
    </row>
    <row r="31" spans="1:10" x14ac:dyDescent="0.25">
      <c r="A31" s="309"/>
      <c r="B31" s="475"/>
      <c r="C31" s="207"/>
      <c r="D31" s="207"/>
      <c r="E31" s="207"/>
      <c r="F31" s="207"/>
      <c r="G31" s="207"/>
      <c r="H31" s="207"/>
      <c r="I31" s="207"/>
      <c r="J31" s="207"/>
    </row>
    <row r="32" spans="1:10" x14ac:dyDescent="0.25">
      <c r="A32" s="309"/>
      <c r="B32" s="469" t="s">
        <v>333</v>
      </c>
      <c r="C32" s="611">
        <v>2017</v>
      </c>
      <c r="D32" s="810">
        <v>2018</v>
      </c>
      <c r="E32" s="810">
        <v>2019</v>
      </c>
      <c r="F32" s="810">
        <v>2020</v>
      </c>
      <c r="G32" s="810">
        <v>2021</v>
      </c>
      <c r="H32" s="474" t="s">
        <v>1481</v>
      </c>
      <c r="I32" s="474" t="s">
        <v>216</v>
      </c>
    </row>
    <row r="33" spans="1:12" s="384" customFormat="1" x14ac:dyDescent="0.25">
      <c r="A33" s="433"/>
      <c r="B33" s="1243" t="s">
        <v>1135</v>
      </c>
      <c r="C33" s="1168">
        <v>1080713.02</v>
      </c>
      <c r="D33" s="1168">
        <v>1133245.97</v>
      </c>
      <c r="E33" s="692">
        <v>1190284.99</v>
      </c>
      <c r="F33" s="692">
        <v>1297335.18</v>
      </c>
      <c r="G33" s="1169">
        <v>1381089.49</v>
      </c>
      <c r="H33" s="1258">
        <f>G33*(G36+1)</f>
        <v>1441260.047815457</v>
      </c>
      <c r="I33" s="1259" t="s">
        <v>1471</v>
      </c>
      <c r="J33" s="1260"/>
      <c r="K33" s="1179"/>
      <c r="L33" s="1179"/>
    </row>
    <row r="34" spans="1:12" s="384" customFormat="1" ht="14.25" customHeight="1" x14ac:dyDescent="0.25">
      <c r="A34" s="433"/>
      <c r="B34" s="1243" t="s">
        <v>1136</v>
      </c>
      <c r="C34" s="692">
        <v>42851.280000000028</v>
      </c>
      <c r="D34" s="692">
        <f>+D33-C33</f>
        <v>52532.949999999953</v>
      </c>
      <c r="E34" s="692">
        <f>+E33-D33</f>
        <v>57039.020000000019</v>
      </c>
      <c r="F34" s="692">
        <f>+F33-E33</f>
        <v>107050.18999999994</v>
      </c>
      <c r="G34" s="692">
        <f>+G33-F33</f>
        <v>83754.310000000056</v>
      </c>
      <c r="H34" s="1261"/>
      <c r="I34" s="1261"/>
      <c r="J34" s="1262"/>
    </row>
    <row r="35" spans="1:12" s="384" customFormat="1" ht="14.25" customHeight="1" x14ac:dyDescent="0.25">
      <c r="A35" s="433"/>
      <c r="B35" s="1243" t="s">
        <v>1137</v>
      </c>
      <c r="C35" s="488">
        <v>4.1288042856267186E-2</v>
      </c>
      <c r="D35" s="488">
        <f>+D34/C33</f>
        <v>4.8609528179830712E-2</v>
      </c>
      <c r="E35" s="488">
        <f t="shared" ref="E35:G35" si="0">+E34/D33</f>
        <v>5.033242694875855E-2</v>
      </c>
      <c r="F35" s="488">
        <f t="shared" si="0"/>
        <v>8.9936604174097795E-2</v>
      </c>
      <c r="G35" s="811">
        <f t="shared" si="0"/>
        <v>6.4558728762755091E-2</v>
      </c>
      <c r="H35" s="1263">
        <v>-3.56E-2</v>
      </c>
      <c r="I35" s="1261" t="s">
        <v>1474</v>
      </c>
      <c r="J35" s="1262"/>
    </row>
    <row r="36" spans="1:12" s="384" customFormat="1" ht="14.25" customHeight="1" x14ac:dyDescent="0.25">
      <c r="A36" s="243"/>
      <c r="B36" s="1243" t="s">
        <v>1331</v>
      </c>
      <c r="C36" s="1243"/>
      <c r="D36" s="1243"/>
      <c r="E36" s="1243"/>
      <c r="F36" s="1245"/>
      <c r="G36" s="1245">
        <f>AVERAGE(D35:H35)</f>
        <v>4.3567457613088431E-2</v>
      </c>
      <c r="H36" s="1261"/>
      <c r="I36" s="1261" t="s">
        <v>1475</v>
      </c>
      <c r="J36" s="1262"/>
    </row>
    <row r="37" spans="1:12" ht="14.25" customHeight="1" x14ac:dyDescent="0.25">
      <c r="A37" s="309"/>
      <c r="B37" s="475"/>
      <c r="C37" s="487"/>
      <c r="D37" s="475"/>
      <c r="E37" s="207"/>
      <c r="F37" s="382"/>
      <c r="G37" s="207"/>
      <c r="H37" s="207"/>
      <c r="I37" s="29"/>
      <c r="J37" s="29"/>
    </row>
    <row r="38" spans="1:12" ht="14.25" customHeight="1" x14ac:dyDescent="0.25">
      <c r="A38" s="309"/>
      <c r="B38" s="475"/>
      <c r="C38" s="475"/>
      <c r="D38" s="435"/>
      <c r="E38" s="207"/>
      <c r="F38" s="383"/>
      <c r="G38" s="207"/>
      <c r="H38" s="207"/>
      <c r="I38" s="29"/>
      <c r="J38" s="29"/>
    </row>
    <row r="39" spans="1:12" ht="14.25" customHeight="1" x14ac:dyDescent="0.25">
      <c r="A39" s="309"/>
      <c r="B39" s="475"/>
      <c r="C39" s="475"/>
      <c r="D39" s="435"/>
      <c r="E39" s="207"/>
      <c r="F39" s="207"/>
      <c r="G39" s="207"/>
      <c r="H39" s="207"/>
      <c r="I39" s="29"/>
      <c r="J39" s="29"/>
    </row>
    <row r="40" spans="1:12" x14ac:dyDescent="0.25">
      <c r="A40" s="205"/>
      <c r="B40" s="205"/>
      <c r="C40" s="207"/>
      <c r="D40" s="207"/>
      <c r="E40" s="214"/>
      <c r="F40" s="214"/>
      <c r="G40" s="214"/>
      <c r="H40" s="207"/>
      <c r="I40" s="29"/>
      <c r="J40" s="29"/>
    </row>
    <row r="41" spans="1:12" x14ac:dyDescent="0.25">
      <c r="A41" s="205"/>
      <c r="B41" s="205"/>
      <c r="C41" s="207"/>
      <c r="D41" s="207"/>
      <c r="E41" s="60" t="s">
        <v>114</v>
      </c>
      <c r="F41" s="60" t="s">
        <v>342</v>
      </c>
      <c r="G41" s="60" t="str">
        <f>+G6</f>
        <v>11/1/22-10/31/23</v>
      </c>
      <c r="H41" s="800"/>
      <c r="I41" s="29"/>
      <c r="J41" s="29"/>
    </row>
    <row r="42" spans="1:12" x14ac:dyDescent="0.25">
      <c r="A42" s="229"/>
      <c r="B42" s="205"/>
      <c r="C42" s="207"/>
      <c r="D42" s="207"/>
      <c r="E42" s="61" t="str">
        <f>+E7</f>
        <v>7/1/21 - 6/30/22</v>
      </c>
      <c r="F42" s="61" t="s">
        <v>343</v>
      </c>
      <c r="G42" s="61" t="s">
        <v>14</v>
      </c>
      <c r="H42" s="61" t="s">
        <v>46</v>
      </c>
      <c r="I42" s="29"/>
      <c r="J42" s="29"/>
    </row>
    <row r="43" spans="1:12" x14ac:dyDescent="0.25">
      <c r="A43" s="307">
        <v>107.04</v>
      </c>
      <c r="B43" s="105" t="s">
        <v>631</v>
      </c>
      <c r="C43" s="36"/>
      <c r="D43" s="207"/>
      <c r="E43" s="291">
        <v>5337</v>
      </c>
      <c r="F43" s="291">
        <f t="shared" ref="F43:F55" si="1">+G43-E43</f>
        <v>92.846651748171098</v>
      </c>
      <c r="G43" s="291">
        <f>+(E43/$E$55)*$G$55</f>
        <v>5429.8466517481711</v>
      </c>
      <c r="H43" s="65" t="s">
        <v>47</v>
      </c>
      <c r="I43" s="29"/>
      <c r="J43" s="29"/>
    </row>
    <row r="44" spans="1:12" x14ac:dyDescent="0.25">
      <c r="A44" s="307">
        <v>163.01</v>
      </c>
      <c r="B44" s="105" t="s">
        <v>632</v>
      </c>
      <c r="C44" s="36"/>
      <c r="D44" s="207"/>
      <c r="E44" s="291">
        <v>9478</v>
      </c>
      <c r="F44" s="291">
        <f t="shared" si="1"/>
        <v>164.88674634985182</v>
      </c>
      <c r="G44" s="291">
        <f t="shared" ref="G44:G54" si="2">+(E44/$E$55)*$G$55</f>
        <v>9642.8867463498518</v>
      </c>
      <c r="H44" s="65" t="s">
        <v>47</v>
      </c>
      <c r="I44" s="29"/>
      <c r="J44" s="29"/>
    </row>
    <row r="45" spans="1:12" x14ac:dyDescent="0.25">
      <c r="A45" s="307">
        <v>184.01</v>
      </c>
      <c r="B45" s="105" t="s">
        <v>633</v>
      </c>
      <c r="C45" s="36"/>
      <c r="D45" s="207"/>
      <c r="E45" s="291">
        <v>2368</v>
      </c>
      <c r="F45" s="291">
        <f t="shared" si="1"/>
        <v>41.195591407095435</v>
      </c>
      <c r="G45" s="291">
        <f t="shared" si="2"/>
        <v>2409.1955914070954</v>
      </c>
      <c r="H45" s="65" t="s">
        <v>47</v>
      </c>
      <c r="I45" s="29"/>
      <c r="J45" s="29"/>
    </row>
    <row r="46" spans="1:12" hidden="1" x14ac:dyDescent="0.25">
      <c r="A46" s="307">
        <v>538.01</v>
      </c>
      <c r="B46" s="105" t="s">
        <v>1081</v>
      </c>
      <c r="C46" s="36"/>
      <c r="D46" s="207"/>
      <c r="E46" s="291">
        <v>0</v>
      </c>
      <c r="F46" s="291">
        <f t="shared" si="1"/>
        <v>0</v>
      </c>
      <c r="G46" s="291">
        <f t="shared" si="2"/>
        <v>0</v>
      </c>
      <c r="H46" s="65" t="s">
        <v>47</v>
      </c>
      <c r="I46" s="29"/>
      <c r="J46" s="29"/>
    </row>
    <row r="47" spans="1:12" hidden="1" x14ac:dyDescent="0.25">
      <c r="A47" s="307">
        <v>548.01</v>
      </c>
      <c r="B47" s="105" t="s">
        <v>955</v>
      </c>
      <c r="C47" s="438"/>
      <c r="D47" s="207"/>
      <c r="E47" s="291">
        <v>0</v>
      </c>
      <c r="F47" s="291">
        <f t="shared" si="1"/>
        <v>0</v>
      </c>
      <c r="G47" s="291">
        <f t="shared" si="2"/>
        <v>0</v>
      </c>
      <c r="H47" s="65"/>
      <c r="I47" s="29"/>
      <c r="J47" s="29"/>
    </row>
    <row r="48" spans="1:12" x14ac:dyDescent="0.25">
      <c r="A48" s="307">
        <v>563.02</v>
      </c>
      <c r="B48" s="105" t="s">
        <v>1082</v>
      </c>
      <c r="C48" s="438"/>
      <c r="D48" s="207"/>
      <c r="E48" s="291">
        <v>62615</v>
      </c>
      <c r="F48" s="291">
        <f t="shared" si="1"/>
        <v>1089.2998124811129</v>
      </c>
      <c r="G48" s="291">
        <f t="shared" si="2"/>
        <v>63704.299812481113</v>
      </c>
      <c r="H48" s="65" t="s">
        <v>49</v>
      </c>
      <c r="I48" s="29"/>
      <c r="J48" s="29"/>
    </row>
    <row r="49" spans="1:10" x14ac:dyDescent="0.25">
      <c r="A49" s="307">
        <v>582.01</v>
      </c>
      <c r="B49" s="105" t="s">
        <v>634</v>
      </c>
      <c r="C49" s="36"/>
      <c r="D49" s="207"/>
      <c r="E49" s="291">
        <v>80546</v>
      </c>
      <c r="F49" s="291">
        <f t="shared" si="1"/>
        <v>1401.2415985962434</v>
      </c>
      <c r="G49" s="291">
        <f t="shared" si="2"/>
        <v>81947.241598596243</v>
      </c>
      <c r="H49" s="65" t="s">
        <v>50</v>
      </c>
      <c r="I49" s="29"/>
      <c r="J49" s="29"/>
    </row>
    <row r="50" spans="1:10" x14ac:dyDescent="0.25">
      <c r="A50" s="307">
        <v>583.01</v>
      </c>
      <c r="B50" s="105" t="s">
        <v>635</v>
      </c>
      <c r="C50" s="36"/>
      <c r="D50" s="207"/>
      <c r="E50" s="291">
        <v>1208064.49</v>
      </c>
      <c r="F50" s="291">
        <f t="shared" si="1"/>
        <v>21016.440508218482</v>
      </c>
      <c r="G50" s="291">
        <f t="shared" si="2"/>
        <v>1229080.9305082185</v>
      </c>
      <c r="H50" s="65" t="s">
        <v>50</v>
      </c>
      <c r="I50" s="29"/>
      <c r="J50" s="29"/>
    </row>
    <row r="51" spans="1:10" x14ac:dyDescent="0.25">
      <c r="A51" s="307">
        <v>586.01</v>
      </c>
      <c r="B51" s="105" t="s">
        <v>636</v>
      </c>
      <c r="C51" s="36"/>
      <c r="D51" s="207"/>
      <c r="E51" s="291">
        <v>37685</v>
      </c>
      <c r="F51" s="291">
        <f t="shared" si="1"/>
        <v>655.59791477043473</v>
      </c>
      <c r="G51" s="291">
        <f t="shared" si="2"/>
        <v>38340.597914770435</v>
      </c>
      <c r="H51" s="65" t="s">
        <v>50</v>
      </c>
      <c r="I51" s="29"/>
      <c r="J51" s="29"/>
    </row>
    <row r="52" spans="1:10" x14ac:dyDescent="0.25">
      <c r="A52" s="307">
        <v>905.01</v>
      </c>
      <c r="B52" s="105" t="s">
        <v>1083</v>
      </c>
      <c r="C52" s="36"/>
      <c r="D52" s="207"/>
      <c r="E52" s="291">
        <v>3774</v>
      </c>
      <c r="F52" s="291">
        <f t="shared" si="1"/>
        <v>65.655473805058136</v>
      </c>
      <c r="G52" s="291">
        <f t="shared" si="2"/>
        <v>3839.6554738050581</v>
      </c>
      <c r="H52" s="65" t="s">
        <v>51</v>
      </c>
      <c r="I52" s="29"/>
      <c r="J52" s="29"/>
    </row>
    <row r="53" spans="1:10" x14ac:dyDescent="0.25">
      <c r="A53" s="307">
        <v>930.2</v>
      </c>
      <c r="B53" s="105" t="s">
        <v>1084</v>
      </c>
      <c r="C53" s="36"/>
      <c r="D53" s="207"/>
      <c r="E53" s="291">
        <v>6748</v>
      </c>
      <c r="F53" s="291">
        <f t="shared" si="1"/>
        <v>117.39351808069205</v>
      </c>
      <c r="G53" s="291">
        <f t="shared" si="2"/>
        <v>6865.393518080692</v>
      </c>
      <c r="H53" s="65" t="s">
        <v>52</v>
      </c>
      <c r="I53" s="29"/>
      <c r="J53" s="29"/>
    </row>
    <row r="54" spans="1:10" x14ac:dyDescent="0.25">
      <c r="A54" s="307"/>
      <c r="B54" s="105"/>
      <c r="C54" s="36"/>
      <c r="D54" s="207"/>
      <c r="E54" s="818"/>
      <c r="F54" s="818">
        <f t="shared" si="1"/>
        <v>0</v>
      </c>
      <c r="G54" s="818">
        <f t="shared" si="2"/>
        <v>0</v>
      </c>
      <c r="H54" s="65"/>
      <c r="I54" s="29"/>
      <c r="J54" s="29"/>
    </row>
    <row r="55" spans="1:10" ht="14.25" customHeight="1" x14ac:dyDescent="0.25">
      <c r="A55" s="307" t="s">
        <v>36</v>
      </c>
      <c r="B55" s="36"/>
      <c r="C55" s="36"/>
      <c r="D55" s="207"/>
      <c r="E55" s="291">
        <f>SUM(E43:E54)</f>
        <v>1416615.49</v>
      </c>
      <c r="F55" s="291">
        <f t="shared" si="1"/>
        <v>24644.557815456996</v>
      </c>
      <c r="G55" s="291">
        <f>+H33</f>
        <v>1441260.047815457</v>
      </c>
      <c r="H55" s="230"/>
      <c r="I55" s="29"/>
      <c r="J55" s="29"/>
    </row>
    <row r="56" spans="1:10" ht="14.25" customHeight="1" x14ac:dyDescent="0.25">
      <c r="A56" s="231"/>
      <c r="B56" s="207"/>
      <c r="C56" s="207"/>
      <c r="D56" s="207"/>
      <c r="E56" s="207"/>
      <c r="F56" s="805"/>
      <c r="G56" s="291">
        <f>SUM(G43:G54)</f>
        <v>1441260.0478154572</v>
      </c>
      <c r="H56" s="230"/>
      <c r="I56" s="29"/>
      <c r="J56" s="29"/>
    </row>
    <row r="57" spans="1:10" ht="14.25" customHeight="1" x14ac:dyDescent="0.25">
      <c r="A57" s="228"/>
      <c r="B57" s="207"/>
      <c r="C57" s="207"/>
      <c r="D57" s="207"/>
      <c r="E57" s="207"/>
      <c r="F57" s="207"/>
      <c r="G57" s="207"/>
      <c r="H57" s="207"/>
      <c r="I57" s="29"/>
      <c r="J57" s="29"/>
    </row>
    <row r="58" spans="1:10" x14ac:dyDescent="0.25">
      <c r="A58" s="212"/>
      <c r="B58" s="205"/>
      <c r="C58" s="205"/>
      <c r="D58" s="205"/>
      <c r="E58" s="205"/>
      <c r="F58" s="205"/>
      <c r="G58" s="205"/>
      <c r="H58" s="207"/>
      <c r="I58" s="29"/>
      <c r="J58" s="29"/>
    </row>
    <row r="59" spans="1:10" x14ac:dyDescent="0.25">
      <c r="E59" s="384"/>
      <c r="F59" s="384"/>
      <c r="G59" s="384"/>
      <c r="H59" s="384"/>
    </row>
  </sheetData>
  <phoneticPr fontId="12" type="noConversion"/>
  <pageMargins left="0.86" right="0.26" top="0.83" bottom="0.87" header="0.36" footer="0.5"/>
  <pageSetup scale="48" orientation="portrait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X102"/>
  <sheetViews>
    <sheetView showGridLines="0" zoomScaleNormal="100" workbookViewId="0">
      <selection activeCell="A34" sqref="A34"/>
    </sheetView>
  </sheetViews>
  <sheetFormatPr defaultColWidth="8" defaultRowHeight="13.2" outlineLevelRow="1" x14ac:dyDescent="0.25"/>
  <cols>
    <col min="1" max="1" width="10.36328125" style="5" customWidth="1"/>
    <col min="2" max="2" width="25.81640625" style="5" customWidth="1"/>
    <col min="3" max="3" width="14.08984375" style="5" bestFit="1" customWidth="1"/>
    <col min="4" max="4" width="14.54296875" style="5" bestFit="1" customWidth="1"/>
    <col min="5" max="5" width="13.36328125" style="5" bestFit="1" customWidth="1"/>
    <col min="6" max="6" width="17.1796875" style="5" bestFit="1" customWidth="1"/>
    <col min="7" max="7" width="9.08984375" style="5" customWidth="1"/>
    <col min="8" max="8" width="8" style="5" customWidth="1"/>
    <col min="9" max="24" width="7.6328125" style="1" customWidth="1"/>
    <col min="25" max="27" width="7.6328125" style="5" customWidth="1"/>
    <col min="28" max="16384" width="8" style="5"/>
  </cols>
  <sheetData>
    <row r="1" spans="1:8" x14ac:dyDescent="0.25">
      <c r="A1" s="62" t="s">
        <v>747</v>
      </c>
      <c r="B1" s="29"/>
      <c r="C1" s="29"/>
      <c r="D1" s="29"/>
      <c r="E1" s="29"/>
      <c r="F1" s="29"/>
      <c r="G1" s="29"/>
      <c r="H1" s="29"/>
    </row>
    <row r="2" spans="1:8" x14ac:dyDescent="0.25">
      <c r="A2" s="27" t="s">
        <v>213</v>
      </c>
      <c r="B2" s="28"/>
      <c r="C2" s="28"/>
      <c r="D2" s="28"/>
      <c r="E2" s="29"/>
      <c r="F2" s="29"/>
      <c r="G2" s="29"/>
      <c r="H2" s="29"/>
    </row>
    <row r="3" spans="1:8" x14ac:dyDescent="0.25">
      <c r="A3" s="33" t="s">
        <v>744</v>
      </c>
      <c r="B3" s="29"/>
      <c r="C3" s="29"/>
      <c r="D3" s="28"/>
      <c r="E3" s="28"/>
      <c r="F3" s="28"/>
      <c r="G3" s="28"/>
      <c r="H3" s="29"/>
    </row>
    <row r="4" spans="1:8" x14ac:dyDescent="0.25">
      <c r="A4" s="28"/>
      <c r="B4" s="28"/>
      <c r="C4" s="29"/>
      <c r="D4" s="29"/>
      <c r="E4" s="28"/>
      <c r="F4" s="28"/>
      <c r="G4" s="28"/>
      <c r="H4" s="29"/>
    </row>
    <row r="5" spans="1:8" x14ac:dyDescent="0.25">
      <c r="A5" s="28"/>
      <c r="B5" s="28"/>
      <c r="C5" s="60" t="s">
        <v>114</v>
      </c>
      <c r="D5" s="60" t="s">
        <v>342</v>
      </c>
      <c r="E5" s="60" t="str">
        <f>+'S1-Revenue Requirement'!E6</f>
        <v>11/1/22-10/31/23</v>
      </c>
      <c r="F5" s="726"/>
      <c r="G5" s="205"/>
      <c r="H5" s="29"/>
    </row>
    <row r="6" spans="1:8" x14ac:dyDescent="0.25">
      <c r="A6" s="59" t="s">
        <v>236</v>
      </c>
      <c r="B6" s="59" t="s">
        <v>204</v>
      </c>
      <c r="C6" s="61" t="str">
        <f>+'S1-Revenue Requirement'!C6</f>
        <v>7/1/21 - 6/30/22</v>
      </c>
      <c r="D6" s="61" t="s">
        <v>343</v>
      </c>
      <c r="E6" s="61" t="s">
        <v>614</v>
      </c>
      <c r="F6" s="61" t="s">
        <v>216</v>
      </c>
      <c r="G6" s="205"/>
      <c r="H6" s="29"/>
    </row>
    <row r="7" spans="1:8" x14ac:dyDescent="0.25">
      <c r="A7" s="59"/>
      <c r="B7" s="33" t="s">
        <v>670</v>
      </c>
      <c r="C7" s="42">
        <f>+'S6-B Payroll Distribution'!L77</f>
        <v>3167.9726356277642</v>
      </c>
      <c r="D7" s="42">
        <f t="shared" ref="D7:D18" si="0">-C7+E7</f>
        <v>108.05151024954739</v>
      </c>
      <c r="E7" s="42">
        <f>+C7/$C$16*$B$32</f>
        <v>3276.0241458773116</v>
      </c>
      <c r="F7" s="183" t="s">
        <v>185</v>
      </c>
      <c r="G7" s="205"/>
      <c r="H7" s="29"/>
    </row>
    <row r="8" spans="1:8" x14ac:dyDescent="0.25">
      <c r="A8" s="205"/>
      <c r="B8" s="33" t="s">
        <v>132</v>
      </c>
      <c r="C8" s="42">
        <f>+'S6-B Payroll Distribution'!J82</f>
        <v>6556.4976565851302</v>
      </c>
      <c r="D8" s="42">
        <f t="shared" si="0"/>
        <v>223.62550287662361</v>
      </c>
      <c r="E8" s="42">
        <f t="shared" ref="E8:E15" si="1">+C8/$C$16*$B$32</f>
        <v>6780.1231594617539</v>
      </c>
      <c r="F8" s="183" t="s">
        <v>49</v>
      </c>
      <c r="G8" s="205"/>
      <c r="H8" s="29"/>
    </row>
    <row r="9" spans="1:8" x14ac:dyDescent="0.25">
      <c r="A9" s="205"/>
      <c r="B9" s="33" t="s">
        <v>672</v>
      </c>
      <c r="C9" s="42">
        <f>+'S6-B Payroll Distribution'!J87</f>
        <v>60091.440047600976</v>
      </c>
      <c r="D9" s="42">
        <f t="shared" si="0"/>
        <v>2049.5665831175211</v>
      </c>
      <c r="E9" s="42">
        <f t="shared" si="1"/>
        <v>62141.006630718497</v>
      </c>
      <c r="F9" s="183" t="s">
        <v>49</v>
      </c>
      <c r="G9" s="205"/>
      <c r="H9" s="29"/>
    </row>
    <row r="10" spans="1:8" x14ac:dyDescent="0.25">
      <c r="A10" s="205"/>
      <c r="B10" s="33" t="s">
        <v>224</v>
      </c>
      <c r="C10" s="42">
        <f>+'S6-B Payroll Distribution'!J108</f>
        <v>1004805.2011926393</v>
      </c>
      <c r="D10" s="42">
        <f t="shared" si="0"/>
        <v>34271.356473996304</v>
      </c>
      <c r="E10" s="42">
        <f t="shared" si="1"/>
        <v>1039076.5576666356</v>
      </c>
      <c r="F10" s="183" t="s">
        <v>50</v>
      </c>
      <c r="G10" s="205"/>
      <c r="H10" s="29"/>
    </row>
    <row r="11" spans="1:8" x14ac:dyDescent="0.25">
      <c r="A11" s="205"/>
      <c r="B11" s="33" t="s">
        <v>225</v>
      </c>
      <c r="C11" s="42">
        <f>+'S6-B Payroll Distribution'!J128</f>
        <v>1690111.1370637869</v>
      </c>
      <c r="D11" s="42">
        <f t="shared" si="0"/>
        <v>57645.40349734854</v>
      </c>
      <c r="E11" s="42">
        <f t="shared" si="1"/>
        <v>1747756.5405611354</v>
      </c>
      <c r="F11" s="183" t="s">
        <v>50</v>
      </c>
      <c r="G11" s="205"/>
      <c r="H11" s="29"/>
    </row>
    <row r="12" spans="1:8" x14ac:dyDescent="0.25">
      <c r="A12" s="205"/>
      <c r="B12" s="33" t="s">
        <v>226</v>
      </c>
      <c r="C12" s="42">
        <f>+'S6-B Payroll Distribution'!J134</f>
        <v>641108.92629040941</v>
      </c>
      <c r="D12" s="42">
        <f t="shared" si="0"/>
        <v>21866.599143277272</v>
      </c>
      <c r="E12" s="42">
        <f t="shared" si="1"/>
        <v>662975.52543368668</v>
      </c>
      <c r="F12" s="183" t="s">
        <v>51</v>
      </c>
      <c r="G12" s="205"/>
      <c r="H12" s="29"/>
    </row>
    <row r="13" spans="1:8" x14ac:dyDescent="0.25">
      <c r="A13" s="205"/>
      <c r="B13" s="33" t="s">
        <v>97</v>
      </c>
      <c r="C13" s="42">
        <f>+'S6-B Payroll Distribution'!J186</f>
        <v>1331137.4844819263</v>
      </c>
      <c r="D13" s="42">
        <f t="shared" si="0"/>
        <v>45401.722833869746</v>
      </c>
      <c r="E13" s="42">
        <f t="shared" si="1"/>
        <v>1376539.2073157961</v>
      </c>
      <c r="F13" s="183" t="s">
        <v>52</v>
      </c>
      <c r="G13" s="205"/>
      <c r="H13" s="29"/>
    </row>
    <row r="14" spans="1:8" x14ac:dyDescent="0.25">
      <c r="A14" s="205"/>
      <c r="B14" s="33" t="s">
        <v>1257</v>
      </c>
      <c r="C14" s="42">
        <f>+'S6-B Payroll Distribution'!L75</f>
        <v>0</v>
      </c>
      <c r="D14" s="42">
        <f t="shared" si="0"/>
        <v>0</v>
      </c>
      <c r="E14" s="42">
        <f t="shared" si="1"/>
        <v>0</v>
      </c>
      <c r="F14" s="183" t="s">
        <v>48</v>
      </c>
      <c r="G14" s="205"/>
      <c r="H14" s="29"/>
    </row>
    <row r="15" spans="1:8" x14ac:dyDescent="0.25">
      <c r="A15" s="205"/>
      <c r="B15" s="33" t="s">
        <v>324</v>
      </c>
      <c r="C15" s="807">
        <f>+'S6-B Payroll Distribution'!J76</f>
        <v>277.28778362622006</v>
      </c>
      <c r="D15" s="807">
        <f t="shared" si="0"/>
        <v>9.4575828899562566</v>
      </c>
      <c r="E15" s="807">
        <f t="shared" si="1"/>
        <v>286.74536651617632</v>
      </c>
      <c r="F15" s="183" t="s">
        <v>48</v>
      </c>
      <c r="G15" s="205"/>
      <c r="H15" s="29"/>
    </row>
    <row r="16" spans="1:8" x14ac:dyDescent="0.25">
      <c r="A16" s="33" t="s">
        <v>205</v>
      </c>
      <c r="B16" s="36"/>
      <c r="C16" s="42">
        <f>SUM(C7:C15)</f>
        <v>4737255.947152202</v>
      </c>
      <c r="D16" s="929">
        <f t="shared" si="0"/>
        <v>161575.78312762547</v>
      </c>
      <c r="E16" s="42">
        <f>SUM(E7:E15)</f>
        <v>4898831.7302798275</v>
      </c>
      <c r="F16" s="971"/>
      <c r="G16" s="205"/>
      <c r="H16" s="29"/>
    </row>
    <row r="17" spans="1:14" x14ac:dyDescent="0.25">
      <c r="A17" s="33" t="s">
        <v>206</v>
      </c>
      <c r="B17" s="36"/>
      <c r="C17" s="42">
        <f>+'S6-B Payroll Distribution'!L27</f>
        <v>945994.90284779831</v>
      </c>
      <c r="D17" s="42">
        <f t="shared" si="0"/>
        <v>308675.38687237445</v>
      </c>
      <c r="E17" s="42">
        <f>+C32</f>
        <v>1254670.2897201728</v>
      </c>
      <c r="F17" s="971"/>
      <c r="G17" s="205"/>
      <c r="H17" s="29"/>
    </row>
    <row r="18" spans="1:14" x14ac:dyDescent="0.25">
      <c r="A18" s="36" t="s">
        <v>207</v>
      </c>
      <c r="B18" s="36"/>
      <c r="C18" s="42">
        <f>+C16+C17</f>
        <v>5683250.8500000006</v>
      </c>
      <c r="D18" s="929">
        <f t="shared" si="0"/>
        <v>470251.16999999993</v>
      </c>
      <c r="E18" s="42">
        <f>+E16+E17</f>
        <v>6153502.0200000005</v>
      </c>
      <c r="F18" s="971"/>
      <c r="G18" s="205"/>
      <c r="H18" s="29"/>
    </row>
    <row r="19" spans="1:14" x14ac:dyDescent="0.25">
      <c r="A19" s="213"/>
      <c r="B19" s="213"/>
      <c r="C19" s="716"/>
      <c r="D19" s="337"/>
      <c r="E19" s="337"/>
      <c r="F19" s="337"/>
      <c r="G19" s="337"/>
      <c r="H19" s="29"/>
    </row>
    <row r="20" spans="1:14" x14ac:dyDescent="0.25">
      <c r="A20" s="213"/>
      <c r="B20" s="416"/>
      <c r="C20" s="669"/>
      <c r="D20" s="676"/>
      <c r="E20" s="717"/>
      <c r="F20" s="676"/>
      <c r="G20" s="676"/>
      <c r="H20" s="29"/>
    </row>
    <row r="21" spans="1:14" x14ac:dyDescent="0.25">
      <c r="A21" s="536"/>
      <c r="B21" s="537"/>
      <c r="C21" s="677"/>
      <c r="D21" s="677"/>
      <c r="E21" s="677"/>
      <c r="F21" s="718"/>
      <c r="G21" s="718"/>
      <c r="H21" s="29"/>
    </row>
    <row r="22" spans="1:14" x14ac:dyDescent="0.25">
      <c r="A22" s="337"/>
      <c r="B22" s="416" t="s">
        <v>1320</v>
      </c>
      <c r="C22" s="416" t="s">
        <v>1321</v>
      </c>
      <c r="D22" s="416" t="s">
        <v>1322</v>
      </c>
      <c r="E22" s="416" t="s">
        <v>1323</v>
      </c>
      <c r="F22" s="416" t="s">
        <v>1324</v>
      </c>
      <c r="G22" s="417" t="s">
        <v>1325</v>
      </c>
      <c r="H22" s="29"/>
    </row>
    <row r="23" spans="1:14" hidden="1" outlineLevel="1" x14ac:dyDescent="0.25">
      <c r="A23" s="801">
        <v>2014</v>
      </c>
      <c r="B23" s="1126">
        <v>1817528</v>
      </c>
      <c r="C23" s="1126">
        <v>577958</v>
      </c>
      <c r="D23" s="1126">
        <v>566776</v>
      </c>
      <c r="E23" s="699">
        <f t="shared" ref="E23:E24" si="2">SUM(B23:D23)</f>
        <v>2962262</v>
      </c>
      <c r="F23" s="819">
        <f>+B23/(B23+C23)</f>
        <v>0.75873037872064375</v>
      </c>
      <c r="G23" s="819">
        <f>+C23/(B23+C23)</f>
        <v>0.24126962127935625</v>
      </c>
      <c r="H23" s="29"/>
    </row>
    <row r="24" spans="1:14" hidden="1" outlineLevel="1" x14ac:dyDescent="0.25">
      <c r="A24" s="801">
        <v>2015</v>
      </c>
      <c r="B24" s="1126">
        <v>1667174</v>
      </c>
      <c r="C24" s="1126">
        <v>540227</v>
      </c>
      <c r="D24" s="1126">
        <v>528838</v>
      </c>
      <c r="E24" s="699">
        <f t="shared" si="2"/>
        <v>2736239</v>
      </c>
      <c r="F24" s="819">
        <f t="shared" ref="F24:F26" si="3">+B24/(B24+C24)</f>
        <v>0.75526558155949008</v>
      </c>
      <c r="G24" s="819">
        <f t="shared" ref="G24:G26" si="4">+C24/(B24+C24)</f>
        <v>0.24473441844050992</v>
      </c>
      <c r="H24" s="29"/>
    </row>
    <row r="25" spans="1:14" hidden="1" outlineLevel="1" x14ac:dyDescent="0.25">
      <c r="A25" s="801">
        <v>2016</v>
      </c>
      <c r="B25" s="1126">
        <v>1733643</v>
      </c>
      <c r="C25" s="1126">
        <v>609939</v>
      </c>
      <c r="D25" s="1126">
        <v>558400</v>
      </c>
      <c r="E25" s="699">
        <f t="shared" ref="E25:E30" si="5">SUM(B25:D25)</f>
        <v>2901982</v>
      </c>
      <c r="F25" s="819">
        <f t="shared" si="3"/>
        <v>0.73974070461370667</v>
      </c>
      <c r="G25" s="819">
        <f t="shared" si="4"/>
        <v>0.26025929538629328</v>
      </c>
      <c r="H25" s="29"/>
    </row>
    <row r="26" spans="1:14" collapsed="1" x14ac:dyDescent="0.25">
      <c r="A26" s="801">
        <v>2017</v>
      </c>
      <c r="B26" s="1127">
        <v>1996763</v>
      </c>
      <c r="C26" s="1127">
        <v>538209</v>
      </c>
      <c r="D26" s="1127">
        <v>587622</v>
      </c>
      <c r="E26" s="699">
        <f t="shared" si="5"/>
        <v>3122594</v>
      </c>
      <c r="F26" s="819">
        <f t="shared" si="3"/>
        <v>0.78768641231540226</v>
      </c>
      <c r="G26" s="819">
        <f t="shared" si="4"/>
        <v>0.21231358768459771</v>
      </c>
      <c r="H26" s="29"/>
    </row>
    <row r="27" spans="1:14" x14ac:dyDescent="0.25">
      <c r="A27" s="697">
        <v>2018</v>
      </c>
      <c r="B27" s="1127">
        <v>2240876</v>
      </c>
      <c r="C27" s="1127">
        <v>431560</v>
      </c>
      <c r="D27" s="1127">
        <v>551437</v>
      </c>
      <c r="E27" s="700">
        <f t="shared" si="5"/>
        <v>3223873</v>
      </c>
      <c r="F27" s="819">
        <f t="shared" ref="F27:F30" si="6">+B27/(B27+C27)</f>
        <v>0.83851437415152319</v>
      </c>
      <c r="G27" s="819">
        <f t="shared" ref="G27:G30" si="7">+C27/(B27+C27)</f>
        <v>0.16148562584847681</v>
      </c>
      <c r="H27" s="29"/>
    </row>
    <row r="28" spans="1:14" x14ac:dyDescent="0.25">
      <c r="A28" s="1123">
        <v>2019</v>
      </c>
      <c r="B28" s="1127">
        <v>2153222</v>
      </c>
      <c r="C28" s="1127">
        <v>455173</v>
      </c>
      <c r="D28" s="1127">
        <v>658210</v>
      </c>
      <c r="E28" s="700">
        <f t="shared" si="5"/>
        <v>3266605</v>
      </c>
      <c r="F28" s="819">
        <f t="shared" si="6"/>
        <v>0.82549690518498919</v>
      </c>
      <c r="G28" s="819">
        <f t="shared" si="7"/>
        <v>0.17450309481501075</v>
      </c>
      <c r="H28" s="29"/>
    </row>
    <row r="29" spans="1:14" x14ac:dyDescent="0.25">
      <c r="A29" s="1123">
        <v>2020</v>
      </c>
      <c r="B29" s="1127">
        <v>2303011</v>
      </c>
      <c r="C29" s="1127">
        <v>423064</v>
      </c>
      <c r="D29" s="1127">
        <v>613605</v>
      </c>
      <c r="E29" s="700">
        <f t="shared" si="5"/>
        <v>3339680</v>
      </c>
      <c r="F29" s="819">
        <f t="shared" si="6"/>
        <v>0.84480837834615707</v>
      </c>
      <c r="G29" s="819">
        <f t="shared" si="7"/>
        <v>0.15519162165384298</v>
      </c>
      <c r="H29" s="29"/>
    </row>
    <row r="30" spans="1:14" x14ac:dyDescent="0.25">
      <c r="A30" s="1123">
        <v>2021</v>
      </c>
      <c r="B30" s="1127">
        <v>2325616</v>
      </c>
      <c r="C30" s="1127">
        <v>515370</v>
      </c>
      <c r="D30" s="1127">
        <v>929539</v>
      </c>
      <c r="E30" s="700">
        <f t="shared" si="5"/>
        <v>3770525</v>
      </c>
      <c r="F30" s="819">
        <f t="shared" si="6"/>
        <v>0.81859467100506655</v>
      </c>
      <c r="G30" s="819">
        <f t="shared" si="7"/>
        <v>0.18140532899493345</v>
      </c>
      <c r="H30" s="29"/>
    </row>
    <row r="31" spans="1:14" x14ac:dyDescent="0.25">
      <c r="A31" s="697"/>
      <c r="B31" s="337"/>
      <c r="C31" s="337"/>
      <c r="D31" s="337"/>
      <c r="E31" s="806" t="s">
        <v>1327</v>
      </c>
      <c r="F31" s="820">
        <f>AVERAGE(F23:F30)</f>
        <v>0.79610467573712229</v>
      </c>
      <c r="G31" s="820">
        <f>AVERAGE(G23:G30)</f>
        <v>0.20389532426287765</v>
      </c>
      <c r="H31" s="417"/>
    </row>
    <row r="32" spans="1:14" x14ac:dyDescent="0.25">
      <c r="A32" s="697" t="s">
        <v>1326</v>
      </c>
      <c r="B32" s="699">
        <f>+'S6C Total Payroll &amp; Benefits'!E31*'S6A - Payroll by Function'!F31</f>
        <v>4898831.7302798275</v>
      </c>
      <c r="C32" s="699">
        <f>+'S6C Total Payroll &amp; Benefits'!E31*'S6A - Payroll by Function'!G31</f>
        <v>1254670.2897201728</v>
      </c>
      <c r="D32" s="337"/>
      <c r="E32" s="337"/>
      <c r="F32" s="337"/>
      <c r="G32" s="337"/>
      <c r="H32" s="19"/>
      <c r="J32" s="4"/>
      <c r="L32" s="4"/>
      <c r="N32" s="80"/>
    </row>
    <row r="33" spans="1:14" x14ac:dyDescent="0.25">
      <c r="A33" s="33" t="s">
        <v>1506</v>
      </c>
      <c r="B33" s="28"/>
      <c r="C33" s="82"/>
      <c r="D33" s="28"/>
      <c r="E33" s="35"/>
      <c r="F33" s="28"/>
      <c r="G33" s="28"/>
      <c r="H33" s="28"/>
      <c r="I33" s="5"/>
      <c r="J33" s="4"/>
      <c r="L33" s="4"/>
    </row>
    <row r="34" spans="1:14" x14ac:dyDescent="0.25">
      <c r="I34" s="5"/>
      <c r="J34" s="80"/>
      <c r="K34" s="80"/>
      <c r="L34" s="81"/>
      <c r="N34" s="80"/>
    </row>
    <row r="35" spans="1:14" x14ac:dyDescent="0.25">
      <c r="I35" s="5"/>
      <c r="J35" s="4"/>
      <c r="L35" s="4"/>
      <c r="N35" s="80"/>
    </row>
    <row r="36" spans="1:14" x14ac:dyDescent="0.25">
      <c r="I36" s="5"/>
      <c r="N36" s="80"/>
    </row>
    <row r="37" spans="1:14" x14ac:dyDescent="0.25">
      <c r="I37" s="5"/>
    </row>
    <row r="38" spans="1:14" x14ac:dyDescent="0.25">
      <c r="I38" s="5"/>
      <c r="N38" s="80"/>
    </row>
    <row r="39" spans="1:14" x14ac:dyDescent="0.25">
      <c r="I39" s="5"/>
      <c r="J39" s="4"/>
      <c r="L39" s="4"/>
      <c r="N39" s="80"/>
    </row>
    <row r="40" spans="1:14" x14ac:dyDescent="0.25">
      <c r="I40" s="5"/>
      <c r="J40" s="4"/>
      <c r="L40" s="4"/>
      <c r="N40" s="80"/>
    </row>
    <row r="41" spans="1:14" x14ac:dyDescent="0.25">
      <c r="I41" s="5"/>
      <c r="N41" s="80"/>
    </row>
    <row r="42" spans="1:14" x14ac:dyDescent="0.25">
      <c r="I42" s="5"/>
    </row>
    <row r="43" spans="1:14" x14ac:dyDescent="0.25">
      <c r="I43" s="5"/>
      <c r="J43" s="4"/>
      <c r="L43" s="4"/>
      <c r="N43" s="80"/>
    </row>
    <row r="44" spans="1:14" x14ac:dyDescent="0.25">
      <c r="I44" s="5"/>
      <c r="J44" s="4"/>
      <c r="L44" s="4"/>
      <c r="N44" s="80"/>
    </row>
    <row r="45" spans="1:14" x14ac:dyDescent="0.25">
      <c r="I45" s="5"/>
    </row>
    <row r="46" spans="1:14" x14ac:dyDescent="0.25">
      <c r="I46" s="5"/>
      <c r="J46" s="4"/>
      <c r="L46" s="4"/>
    </row>
    <row r="47" spans="1:14" x14ac:dyDescent="0.25">
      <c r="G47" s="1"/>
      <c r="H47" s="83"/>
    </row>
    <row r="48" spans="1:14" x14ac:dyDescent="0.25">
      <c r="G48" s="1"/>
      <c r="H48" s="83"/>
    </row>
    <row r="49" spans="7:8" x14ac:dyDescent="0.25">
      <c r="G49" s="1"/>
      <c r="H49" s="83"/>
    </row>
    <row r="50" spans="7:8" x14ac:dyDescent="0.25">
      <c r="G50" s="1"/>
      <c r="H50" s="83"/>
    </row>
    <row r="51" spans="7:8" x14ac:dyDescent="0.25">
      <c r="G51" s="1"/>
    </row>
    <row r="52" spans="7:8" x14ac:dyDescent="0.25">
      <c r="G52" s="1"/>
    </row>
    <row r="53" spans="7:8" x14ac:dyDescent="0.25">
      <c r="G53" s="1"/>
    </row>
    <row r="54" spans="7:8" x14ac:dyDescent="0.25">
      <c r="G54" s="1"/>
    </row>
    <row r="57" spans="7:8" x14ac:dyDescent="0.25">
      <c r="H57" s="1"/>
    </row>
    <row r="58" spans="7:8" x14ac:dyDescent="0.25">
      <c r="H58" s="1"/>
    </row>
    <row r="59" spans="7:8" x14ac:dyDescent="0.25">
      <c r="H59" s="1"/>
    </row>
    <row r="60" spans="7:8" x14ac:dyDescent="0.25">
      <c r="H60" s="1"/>
    </row>
    <row r="61" spans="7:8" x14ac:dyDescent="0.25">
      <c r="H61" s="1"/>
    </row>
    <row r="62" spans="7:8" x14ac:dyDescent="0.25">
      <c r="H62" s="1"/>
    </row>
    <row r="63" spans="7:8" x14ac:dyDescent="0.25">
      <c r="H63" s="1"/>
    </row>
    <row r="64" spans="7:8" x14ac:dyDescent="0.25">
      <c r="H64" s="1"/>
    </row>
    <row r="65" spans="7:8" x14ac:dyDescent="0.25">
      <c r="G65" s="1"/>
      <c r="H65" s="1"/>
    </row>
    <row r="66" spans="7:8" x14ac:dyDescent="0.25">
      <c r="G66" s="1"/>
      <c r="H66" s="1"/>
    </row>
    <row r="67" spans="7:8" x14ac:dyDescent="0.25">
      <c r="G67" s="1"/>
      <c r="H67" s="1"/>
    </row>
    <row r="68" spans="7:8" x14ac:dyDescent="0.25">
      <c r="G68" s="1"/>
      <c r="H68" s="1"/>
    </row>
    <row r="69" spans="7:8" x14ac:dyDescent="0.25">
      <c r="G69" s="1"/>
      <c r="H69" s="1"/>
    </row>
    <row r="70" spans="7:8" x14ac:dyDescent="0.25">
      <c r="G70" s="1"/>
      <c r="H70" s="1"/>
    </row>
    <row r="71" spans="7:8" x14ac:dyDescent="0.25">
      <c r="G71" s="1"/>
      <c r="H71" s="1"/>
    </row>
    <row r="72" spans="7:8" x14ac:dyDescent="0.25">
      <c r="H72" s="1"/>
    </row>
    <row r="73" spans="7:8" x14ac:dyDescent="0.25">
      <c r="H73" s="1"/>
    </row>
    <row r="74" spans="7:8" x14ac:dyDescent="0.25">
      <c r="H74" s="1"/>
    </row>
    <row r="75" spans="7:8" x14ac:dyDescent="0.25">
      <c r="H75" s="1"/>
    </row>
    <row r="76" spans="7:8" x14ac:dyDescent="0.25">
      <c r="H76" s="1"/>
    </row>
    <row r="77" spans="7:8" x14ac:dyDescent="0.25">
      <c r="H77" s="1"/>
    </row>
    <row r="78" spans="7:8" x14ac:dyDescent="0.25">
      <c r="H78" s="1"/>
    </row>
    <row r="79" spans="7:8" x14ac:dyDescent="0.25">
      <c r="H79" s="1"/>
    </row>
    <row r="80" spans="7:8" x14ac:dyDescent="0.25"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</sheetData>
  <sheetProtection selectLockedCells="1" selectUnlockedCells="1"/>
  <phoneticPr fontId="12" type="noConversion"/>
  <pageMargins left="0.21" right="0.18" top="0.38" bottom="0.34" header="0.17" footer="0.17"/>
  <pageSetup scale="83" orientation="portrait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Z223"/>
  <sheetViews>
    <sheetView zoomScale="75" workbookViewId="0">
      <pane xSplit="3" ySplit="10" topLeftCell="D167" activePane="bottomRight" state="frozen"/>
      <selection pane="topRight" activeCell="D1" sqref="D1"/>
      <selection pane="bottomLeft" activeCell="A5" sqref="A5"/>
      <selection pane="bottomRight" activeCell="V198" sqref="V198"/>
    </sheetView>
  </sheetViews>
  <sheetFormatPr defaultColWidth="8.90625" defaultRowHeight="15" x14ac:dyDescent="0.25"/>
  <cols>
    <col min="1" max="1" width="16" style="91" customWidth="1"/>
    <col min="2" max="2" width="37.81640625" style="91" customWidth="1"/>
    <col min="3" max="3" width="1.36328125" style="91" customWidth="1"/>
    <col min="4" max="4" width="15.54296875" style="119" customWidth="1"/>
    <col min="5" max="5" width="1.453125" style="233" customWidth="1"/>
    <col min="6" max="6" width="10.81640625" style="91" customWidth="1"/>
    <col min="7" max="7" width="1.54296875" style="233" customWidth="1"/>
    <col min="8" max="8" width="10.81640625" style="678" customWidth="1"/>
    <col min="9" max="9" width="1.6328125" style="233" customWidth="1"/>
    <col min="10" max="10" width="10.81640625" style="233" customWidth="1"/>
    <col min="11" max="11" width="1.1796875" style="233" customWidth="1"/>
    <col min="12" max="12" width="11" style="678" customWidth="1"/>
    <col min="13" max="13" width="5.54296875" style="91" customWidth="1"/>
    <col min="14" max="14" width="14.90625" style="119" customWidth="1"/>
    <col min="15" max="15" width="1.453125" style="91" customWidth="1"/>
    <col min="16" max="16" width="12.81640625" style="91" hidden="1" customWidth="1"/>
    <col min="17" max="17" width="1.90625" style="91" customWidth="1"/>
    <col min="18" max="18" width="10.81640625" style="91" customWidth="1"/>
    <col min="19" max="19" width="1.54296875" style="91" customWidth="1"/>
    <col min="20" max="20" width="10.81640625" style="119" customWidth="1"/>
    <col min="21" max="21" width="1.6328125" style="91" customWidth="1"/>
    <col min="22" max="22" width="10.81640625" style="91" customWidth="1"/>
    <col min="23" max="23" width="1.1796875" style="91" customWidth="1"/>
    <col min="24" max="24" width="15.54296875" style="119" customWidth="1"/>
    <col min="25" max="25" width="1.1796875" style="91" customWidth="1"/>
    <col min="26" max="16384" width="8.90625" style="91"/>
  </cols>
  <sheetData>
    <row r="1" spans="1:26" x14ac:dyDescent="0.25">
      <c r="A1" s="37" t="s">
        <v>747</v>
      </c>
    </row>
    <row r="2" spans="1:26" x14ac:dyDescent="0.25">
      <c r="A2" s="37" t="s">
        <v>199</v>
      </c>
    </row>
    <row r="3" spans="1:26" ht="15.6" x14ac:dyDescent="0.3">
      <c r="A3" s="46" t="s">
        <v>626</v>
      </c>
      <c r="F3" s="163"/>
      <c r="G3" s="240"/>
      <c r="H3" s="679"/>
      <c r="I3" s="240"/>
      <c r="J3" s="240"/>
      <c r="N3"/>
      <c r="O3"/>
      <c r="P3"/>
      <c r="Q3"/>
      <c r="R3"/>
      <c r="S3"/>
      <c r="T3"/>
      <c r="U3"/>
      <c r="V3"/>
    </row>
    <row r="4" spans="1:26" x14ac:dyDescent="0.25">
      <c r="A4" s="21" t="s">
        <v>189</v>
      </c>
      <c r="N4"/>
      <c r="O4"/>
      <c r="P4"/>
      <c r="Q4"/>
      <c r="R4"/>
      <c r="S4"/>
      <c r="T4"/>
      <c r="U4"/>
      <c r="V4"/>
    </row>
    <row r="6" spans="1:26" ht="15.6" thickBot="1" x14ac:dyDescent="0.3">
      <c r="D6" s="1293" t="s">
        <v>1412</v>
      </c>
      <c r="E6" s="1294"/>
      <c r="F6" s="1294"/>
      <c r="G6" s="1294"/>
      <c r="H6" s="1294"/>
      <c r="I6" s="1294"/>
      <c r="J6" s="1294"/>
      <c r="K6" s="1294"/>
      <c r="L6" s="1294"/>
      <c r="N6" s="1295" t="s">
        <v>1434</v>
      </c>
      <c r="O6" s="1296"/>
      <c r="P6" s="1296"/>
      <c r="Q6" s="1296"/>
      <c r="R6" s="1296"/>
      <c r="S6" s="1296"/>
      <c r="T6" s="1296"/>
      <c r="U6" s="1296"/>
      <c r="V6" s="1296"/>
      <c r="W6" s="1296"/>
      <c r="X6" s="1296"/>
    </row>
    <row r="7" spans="1:26" ht="15.6" x14ac:dyDescent="0.3">
      <c r="A7" s="97" t="s">
        <v>198</v>
      </c>
      <c r="D7" s="693" t="s">
        <v>1304</v>
      </c>
      <c r="E7" s="165"/>
      <c r="F7" s="165"/>
      <c r="G7" s="165"/>
      <c r="H7" s="165"/>
      <c r="I7" s="165"/>
      <c r="J7" s="165"/>
      <c r="K7" s="165"/>
      <c r="L7" s="166" t="s">
        <v>114</v>
      </c>
      <c r="N7" s="1147" t="s">
        <v>66</v>
      </c>
      <c r="O7" s="1148"/>
      <c r="P7" s="1148"/>
      <c r="Q7" s="1148"/>
      <c r="R7" s="1148"/>
      <c r="S7" s="1148"/>
      <c r="T7" s="1148"/>
      <c r="U7" s="1148"/>
      <c r="V7" s="1148"/>
      <c r="W7" s="1148"/>
      <c r="X7" s="1149"/>
      <c r="Y7" s="163"/>
      <c r="Z7" s="163"/>
    </row>
    <row r="8" spans="1:26" ht="15.6" x14ac:dyDescent="0.3">
      <c r="D8" s="694" t="s">
        <v>1436</v>
      </c>
      <c r="E8" s="167"/>
      <c r="F8" s="167"/>
      <c r="G8" s="167"/>
      <c r="H8" s="645" t="s">
        <v>133</v>
      </c>
      <c r="I8" s="540"/>
      <c r="J8" s="540"/>
      <c r="K8" s="167"/>
      <c r="L8" s="644" t="s">
        <v>133</v>
      </c>
      <c r="N8" s="1150" t="s">
        <v>134</v>
      </c>
      <c r="O8" s="155"/>
      <c r="P8" s="1151" t="s">
        <v>209</v>
      </c>
      <c r="Q8" s="155"/>
      <c r="R8" s="155"/>
      <c r="S8" s="155"/>
      <c r="T8" s="1151" t="s">
        <v>133</v>
      </c>
      <c r="U8" s="77"/>
      <c r="V8" s="77"/>
      <c r="W8" s="155"/>
      <c r="X8" s="1152" t="s">
        <v>133</v>
      </c>
      <c r="Y8" s="163"/>
      <c r="Z8" s="163"/>
    </row>
    <row r="9" spans="1:26" ht="15.6" x14ac:dyDescent="0.3">
      <c r="A9" s="97" t="s">
        <v>135</v>
      </c>
      <c r="D9" s="695" t="s">
        <v>136</v>
      </c>
      <c r="E9" s="167"/>
      <c r="F9" s="540" t="s">
        <v>137</v>
      </c>
      <c r="G9" s="540"/>
      <c r="H9" s="645" t="s">
        <v>138</v>
      </c>
      <c r="I9" s="540"/>
      <c r="J9" s="540" t="s">
        <v>137</v>
      </c>
      <c r="K9" s="167"/>
      <c r="L9" s="644" t="s">
        <v>138</v>
      </c>
      <c r="N9" s="1153" t="s">
        <v>136</v>
      </c>
      <c r="O9" s="155"/>
      <c r="P9" s="77" t="s">
        <v>312</v>
      </c>
      <c r="Q9" s="155"/>
      <c r="R9" s="77" t="s">
        <v>137</v>
      </c>
      <c r="S9" s="77"/>
      <c r="T9" s="1151" t="s">
        <v>138</v>
      </c>
      <c r="U9" s="77"/>
      <c r="V9" s="77" t="s">
        <v>137</v>
      </c>
      <c r="W9" s="155"/>
      <c r="X9" s="1152" t="s">
        <v>138</v>
      </c>
      <c r="Y9" s="163"/>
      <c r="Z9" s="163"/>
    </row>
    <row r="10" spans="1:26" ht="15.6" x14ac:dyDescent="0.3">
      <c r="A10" s="97" t="s">
        <v>236</v>
      </c>
      <c r="B10" s="97" t="s">
        <v>139</v>
      </c>
      <c r="D10" s="171" t="s">
        <v>140</v>
      </c>
      <c r="E10" s="167"/>
      <c r="F10" s="172" t="s">
        <v>141</v>
      </c>
      <c r="G10" s="172"/>
      <c r="H10" s="173" t="s">
        <v>142</v>
      </c>
      <c r="I10" s="172"/>
      <c r="J10" s="172" t="s">
        <v>141</v>
      </c>
      <c r="K10" s="167"/>
      <c r="L10" s="174" t="s">
        <v>143</v>
      </c>
      <c r="N10" s="1154" t="s">
        <v>140</v>
      </c>
      <c r="O10" s="155"/>
      <c r="P10" s="78" t="s">
        <v>141</v>
      </c>
      <c r="Q10" s="155"/>
      <c r="R10" s="78" t="s">
        <v>141</v>
      </c>
      <c r="S10" s="78"/>
      <c r="T10" s="1155" t="s">
        <v>142</v>
      </c>
      <c r="U10" s="78"/>
      <c r="V10" s="78" t="s">
        <v>141</v>
      </c>
      <c r="W10" s="155"/>
      <c r="X10" s="1156" t="s">
        <v>143</v>
      </c>
      <c r="Y10" s="163"/>
      <c r="Z10" s="163"/>
    </row>
    <row r="11" spans="1:26" ht="15.6" x14ac:dyDescent="0.25">
      <c r="A11" s="48" t="s">
        <v>144</v>
      </c>
      <c r="D11" s="722"/>
      <c r="E11" s="594"/>
      <c r="F11" s="594"/>
      <c r="G11" s="594"/>
      <c r="H11" s="680"/>
      <c r="I11" s="594"/>
      <c r="J11" s="594"/>
      <c r="K11" s="594"/>
      <c r="L11" s="681"/>
      <c r="N11" s="1130"/>
      <c r="O11" s="1129"/>
      <c r="P11" s="1129"/>
      <c r="Q11" s="1129"/>
      <c r="R11" s="1129"/>
      <c r="S11" s="1129"/>
      <c r="T11" s="1131"/>
      <c r="U11" s="1129"/>
      <c r="V11" s="1129"/>
      <c r="W11" s="1129"/>
      <c r="X11" s="1132"/>
      <c r="Y11" s="1128"/>
      <c r="Z11" s="1128"/>
    </row>
    <row r="12" spans="1:26" s="97" customFormat="1" ht="15.6" x14ac:dyDescent="0.25">
      <c r="A12" s="48">
        <v>107.04</v>
      </c>
      <c r="B12" s="97" t="s">
        <v>498</v>
      </c>
      <c r="D12" s="638">
        <v>27746.92</v>
      </c>
      <c r="E12" s="444"/>
      <c r="F12" s="944">
        <f>+D12/($D$193-$H$197+$H$204)</f>
        <v>9.0094708459215831E-3</v>
      </c>
      <c r="G12" s="643"/>
      <c r="H12" s="702">
        <f>+(F12*$H$200)+D12</f>
        <v>51203.082843134063</v>
      </c>
      <c r="I12" s="702"/>
      <c r="J12" s="643"/>
      <c r="K12" s="643"/>
      <c r="L12" s="703">
        <f t="shared" ref="L12:L26" si="0">+H12+((H12/($H$27+$H$191))*$H$52)</f>
        <v>53237.489269679194</v>
      </c>
      <c r="M12" s="419"/>
      <c r="N12" s="1133">
        <f>+(D12/($D$193-D$55))*$N$194</f>
        <v>28187.963420779339</v>
      </c>
      <c r="O12" s="1134"/>
      <c r="P12" s="1134"/>
      <c r="Q12" s="1134"/>
      <c r="R12" s="1135">
        <f>+(N12+P12)/($N$193+$P$193-$T$197+$T$204)</f>
        <v>9.0094708459215848E-3</v>
      </c>
      <c r="S12" s="1134"/>
      <c r="T12" s="1136">
        <f>+(R12*$T$200)+(N12+P12)</f>
        <v>55439.79704950958</v>
      </c>
      <c r="U12" s="1136"/>
      <c r="V12" s="1134"/>
      <c r="W12" s="1134"/>
      <c r="X12" s="1137">
        <f t="shared" ref="X12:X26" si="1">+T12+((T12/($T$27+$T$191))*$T$52)</f>
        <v>57642.537063219599</v>
      </c>
      <c r="Y12" s="1138"/>
      <c r="Z12" s="1138"/>
    </row>
    <row r="13" spans="1:26" s="97" customFormat="1" ht="15.6" x14ac:dyDescent="0.25">
      <c r="A13" s="48">
        <v>107.11</v>
      </c>
      <c r="B13" s="419" t="s">
        <v>1176</v>
      </c>
      <c r="D13" s="638">
        <v>6110.05</v>
      </c>
      <c r="E13" s="444"/>
      <c r="F13" s="944">
        <f>+D13/($D$193-$H$197+$H$204)</f>
        <v>1.9839433473020853E-3</v>
      </c>
      <c r="G13" s="643"/>
      <c r="H13" s="702">
        <f>+(F13*$H$200)+D13</f>
        <v>11275.247714906422</v>
      </c>
      <c r="I13" s="702"/>
      <c r="J13" s="643"/>
      <c r="K13" s="643"/>
      <c r="L13" s="703">
        <f t="shared" si="0"/>
        <v>11723.237076843245</v>
      </c>
      <c r="M13" s="419"/>
      <c r="N13" s="1133">
        <f>+(D13/($D$193-D$55))*$N$194</f>
        <v>6207.1705940382863</v>
      </c>
      <c r="O13" s="1134"/>
      <c r="P13" s="1134"/>
      <c r="Q13" s="1134"/>
      <c r="R13" s="1135">
        <f t="shared" ref="R13:R26" si="2">+(N13+P13)/($N$193+$P$193-$T$197+$T$204)</f>
        <v>1.9839433473020853E-3</v>
      </c>
      <c r="S13" s="1134"/>
      <c r="T13" s="1136">
        <f t="shared" ref="T13:T26" si="3">+(R13*$T$200)+(N13+P13)</f>
        <v>12208.199395188942</v>
      </c>
      <c r="U13" s="1136"/>
      <c r="V13" s="1134"/>
      <c r="W13" s="1134"/>
      <c r="X13" s="1137">
        <f t="shared" si="1"/>
        <v>12693.256894211136</v>
      </c>
      <c r="Y13" s="1138"/>
      <c r="Z13" s="1138"/>
    </row>
    <row r="14" spans="1:26" s="97" customFormat="1" ht="15.6" hidden="1" x14ac:dyDescent="0.25">
      <c r="A14" s="48">
        <v>107.19</v>
      </c>
      <c r="B14" s="97" t="s">
        <v>624</v>
      </c>
      <c r="D14" s="638"/>
      <c r="E14" s="444"/>
      <c r="F14" s="944">
        <f t="shared" ref="F14:F26" si="4">+D14/($D$193-$H$197+$H$204)</f>
        <v>0</v>
      </c>
      <c r="G14" s="643"/>
      <c r="H14" s="702">
        <f t="shared" ref="H14:H26" si="5">+(F14*$H$200)+D14</f>
        <v>0</v>
      </c>
      <c r="I14" s="702"/>
      <c r="J14" s="643"/>
      <c r="K14" s="643"/>
      <c r="L14" s="703">
        <f t="shared" si="0"/>
        <v>0</v>
      </c>
      <c r="M14" s="419"/>
      <c r="N14" s="1133">
        <f t="shared" ref="N14:N25" si="6">+(D14/($D$193-D$55))*$N$194</f>
        <v>0</v>
      </c>
      <c r="O14" s="1134"/>
      <c r="P14" s="1134"/>
      <c r="Q14" s="1134"/>
      <c r="R14" s="1135">
        <f t="shared" si="2"/>
        <v>0</v>
      </c>
      <c r="S14" s="1134"/>
      <c r="T14" s="1136">
        <f t="shared" si="3"/>
        <v>0</v>
      </c>
      <c r="U14" s="1136"/>
      <c r="V14" s="1134"/>
      <c r="W14" s="1134"/>
      <c r="X14" s="1137">
        <f t="shared" si="1"/>
        <v>0</v>
      </c>
      <c r="Y14" s="1138"/>
      <c r="Z14" s="1138"/>
    </row>
    <row r="15" spans="1:26" s="97" customFormat="1" ht="15.6" x14ac:dyDescent="0.25">
      <c r="A15" s="48">
        <v>107.2</v>
      </c>
      <c r="B15" s="48" t="s">
        <v>500</v>
      </c>
      <c r="D15" s="638">
        <v>422992.26</v>
      </c>
      <c r="E15" s="444"/>
      <c r="F15" s="944">
        <f t="shared" si="4"/>
        <v>0.13734628688591322</v>
      </c>
      <c r="G15" s="643"/>
      <c r="H15" s="702">
        <f t="shared" si="5"/>
        <v>780573.40168871009</v>
      </c>
      <c r="I15" s="702"/>
      <c r="J15" s="643"/>
      <c r="K15" s="643"/>
      <c r="L15" s="703">
        <f t="shared" si="0"/>
        <v>811587.22852508863</v>
      </c>
      <c r="M15" s="419"/>
      <c r="N15" s="1133">
        <f t="shared" si="6"/>
        <v>429715.81538249232</v>
      </c>
      <c r="O15" s="1134"/>
      <c r="P15" s="1136">
        <f>+P220*0.6</f>
        <v>0</v>
      </c>
      <c r="Q15" s="1134"/>
      <c r="R15" s="1135">
        <f t="shared" si="2"/>
        <v>0.13734628688591322</v>
      </c>
      <c r="S15" s="1134"/>
      <c r="T15" s="1136">
        <f t="shared" si="3"/>
        <v>845160.65379196638</v>
      </c>
      <c r="U15" s="1136"/>
      <c r="V15" s="1134"/>
      <c r="W15" s="1134"/>
      <c r="X15" s="1137">
        <f t="shared" si="1"/>
        <v>878740.66831579932</v>
      </c>
      <c r="Y15" s="1138"/>
      <c r="Z15" s="1138"/>
    </row>
    <row r="16" spans="1:26" s="97" customFormat="1" ht="15.6" hidden="1" x14ac:dyDescent="0.25">
      <c r="A16" s="48">
        <v>107.21</v>
      </c>
      <c r="B16" s="97" t="s">
        <v>625</v>
      </c>
      <c r="D16" s="638"/>
      <c r="E16" s="444"/>
      <c r="F16" s="944">
        <f t="shared" si="4"/>
        <v>0</v>
      </c>
      <c r="G16" s="643"/>
      <c r="H16" s="702">
        <f t="shared" si="5"/>
        <v>0</v>
      </c>
      <c r="I16" s="702"/>
      <c r="J16" s="643"/>
      <c r="K16" s="643"/>
      <c r="L16" s="703">
        <f t="shared" si="0"/>
        <v>0</v>
      </c>
      <c r="M16" s="419"/>
      <c r="N16" s="1133">
        <f t="shared" si="6"/>
        <v>0</v>
      </c>
      <c r="O16" s="1134"/>
      <c r="P16" s="1134"/>
      <c r="Q16" s="1134"/>
      <c r="R16" s="1135">
        <f t="shared" si="2"/>
        <v>0</v>
      </c>
      <c r="S16" s="1134"/>
      <c r="T16" s="1136">
        <f t="shared" si="3"/>
        <v>0</v>
      </c>
      <c r="U16" s="1136"/>
      <c r="V16" s="1134"/>
      <c r="W16" s="1134"/>
      <c r="X16" s="1137">
        <f t="shared" si="1"/>
        <v>0</v>
      </c>
      <c r="Y16" s="1138"/>
      <c r="Z16" s="1138"/>
    </row>
    <row r="17" spans="1:26" s="97" customFormat="1" ht="15.6" hidden="1" x14ac:dyDescent="0.25">
      <c r="A17" s="48">
        <v>107.23</v>
      </c>
      <c r="B17" s="97" t="s">
        <v>625</v>
      </c>
      <c r="D17" s="638"/>
      <c r="E17" s="444"/>
      <c r="F17" s="944">
        <f t="shared" si="4"/>
        <v>0</v>
      </c>
      <c r="G17" s="643"/>
      <c r="H17" s="702">
        <f t="shared" si="5"/>
        <v>0</v>
      </c>
      <c r="I17" s="702"/>
      <c r="J17" s="643"/>
      <c r="K17" s="643"/>
      <c r="L17" s="703">
        <f t="shared" si="0"/>
        <v>0</v>
      </c>
      <c r="M17" s="419"/>
      <c r="N17" s="1133">
        <f t="shared" si="6"/>
        <v>0</v>
      </c>
      <c r="O17" s="1134"/>
      <c r="P17" s="1134"/>
      <c r="Q17" s="1134"/>
      <c r="R17" s="1135">
        <f t="shared" si="2"/>
        <v>0</v>
      </c>
      <c r="S17" s="1134"/>
      <c r="T17" s="1136">
        <f t="shared" si="3"/>
        <v>0</v>
      </c>
      <c r="U17" s="1136"/>
      <c r="V17" s="1134"/>
      <c r="W17" s="1134"/>
      <c r="X17" s="1137">
        <f t="shared" si="1"/>
        <v>0</v>
      </c>
      <c r="Y17" s="1138"/>
      <c r="Z17" s="1138"/>
    </row>
    <row r="18" spans="1:26" s="97" customFormat="1" ht="15.6" hidden="1" x14ac:dyDescent="0.25">
      <c r="A18" s="48">
        <v>107.24</v>
      </c>
      <c r="B18" s="97" t="s">
        <v>625</v>
      </c>
      <c r="D18" s="638"/>
      <c r="E18" s="444"/>
      <c r="F18" s="944">
        <f>+D18/($D$193-$H$197+$H$204)</f>
        <v>0</v>
      </c>
      <c r="G18" s="643"/>
      <c r="H18" s="702">
        <f>+(F18*$H$200)+D18</f>
        <v>0</v>
      </c>
      <c r="I18" s="702"/>
      <c r="J18" s="643"/>
      <c r="K18" s="643"/>
      <c r="L18" s="703">
        <f t="shared" si="0"/>
        <v>0</v>
      </c>
      <c r="M18" s="419"/>
      <c r="N18" s="1133">
        <f t="shared" si="6"/>
        <v>0</v>
      </c>
      <c r="O18" s="1134"/>
      <c r="P18" s="1134"/>
      <c r="Q18" s="1134"/>
      <c r="R18" s="1135">
        <f t="shared" si="2"/>
        <v>0</v>
      </c>
      <c r="S18" s="1134"/>
      <c r="T18" s="1136">
        <f t="shared" si="3"/>
        <v>0</v>
      </c>
      <c r="U18" s="1136"/>
      <c r="V18" s="1134"/>
      <c r="W18" s="1134"/>
      <c r="X18" s="1137">
        <f t="shared" si="1"/>
        <v>0</v>
      </c>
      <c r="Y18" s="1138"/>
      <c r="Z18" s="1138"/>
    </row>
    <row r="19" spans="1:26" s="97" customFormat="1" ht="15.6" hidden="1" x14ac:dyDescent="0.25">
      <c r="A19" s="48">
        <v>107.27</v>
      </c>
      <c r="B19" s="97" t="s">
        <v>625</v>
      </c>
      <c r="D19" s="638"/>
      <c r="E19" s="444"/>
      <c r="F19" s="944">
        <f t="shared" si="4"/>
        <v>0</v>
      </c>
      <c r="G19" s="643"/>
      <c r="H19" s="702">
        <f t="shared" si="5"/>
        <v>0</v>
      </c>
      <c r="I19" s="702"/>
      <c r="J19" s="643"/>
      <c r="K19" s="643"/>
      <c r="L19" s="703">
        <f t="shared" si="0"/>
        <v>0</v>
      </c>
      <c r="M19" s="419"/>
      <c r="N19" s="1133">
        <f t="shared" si="6"/>
        <v>0</v>
      </c>
      <c r="O19" s="1134"/>
      <c r="P19" s="1134"/>
      <c r="Q19" s="1134"/>
      <c r="R19" s="1135">
        <f t="shared" si="2"/>
        <v>0</v>
      </c>
      <c r="S19" s="1134"/>
      <c r="T19" s="1136">
        <f t="shared" si="3"/>
        <v>0</v>
      </c>
      <c r="U19" s="1136"/>
      <c r="V19" s="1134"/>
      <c r="W19" s="1134"/>
      <c r="X19" s="1137">
        <f t="shared" si="1"/>
        <v>0</v>
      </c>
      <c r="Y19" s="1138"/>
      <c r="Z19" s="1138"/>
    </row>
    <row r="20" spans="1:26" s="97" customFormat="1" ht="15.6" hidden="1" x14ac:dyDescent="0.3">
      <c r="A20" s="48">
        <v>107.29</v>
      </c>
      <c r="B20" s="97" t="s">
        <v>625</v>
      </c>
      <c r="D20" s="638"/>
      <c r="E20" s="444"/>
      <c r="F20" s="944">
        <f t="shared" si="4"/>
        <v>0</v>
      </c>
      <c r="G20" s="643"/>
      <c r="H20" s="702">
        <f t="shared" si="5"/>
        <v>0</v>
      </c>
      <c r="I20" s="702"/>
      <c r="J20" s="540"/>
      <c r="K20" s="643"/>
      <c r="L20" s="703">
        <f t="shared" si="0"/>
        <v>0</v>
      </c>
      <c r="M20" s="419"/>
      <c r="N20" s="1133">
        <f t="shared" si="6"/>
        <v>0</v>
      </c>
      <c r="O20" s="1134"/>
      <c r="P20" s="1134"/>
      <c r="Q20" s="1134"/>
      <c r="R20" s="1135">
        <f t="shared" si="2"/>
        <v>0</v>
      </c>
      <c r="S20" s="1134"/>
      <c r="T20" s="1136">
        <f t="shared" si="3"/>
        <v>0</v>
      </c>
      <c r="U20" s="1136"/>
      <c r="V20" s="1139"/>
      <c r="W20" s="1134"/>
      <c r="X20" s="1137">
        <f t="shared" si="1"/>
        <v>0</v>
      </c>
      <c r="Y20" s="1138"/>
      <c r="Z20" s="1138"/>
    </row>
    <row r="21" spans="1:26" s="97" customFormat="1" ht="15.6" hidden="1" x14ac:dyDescent="0.3">
      <c r="A21" s="48">
        <v>107.31</v>
      </c>
      <c r="B21" s="97" t="s">
        <v>625</v>
      </c>
      <c r="D21" s="638"/>
      <c r="E21" s="444"/>
      <c r="F21" s="944">
        <f t="shared" si="4"/>
        <v>0</v>
      </c>
      <c r="G21" s="643"/>
      <c r="H21" s="702">
        <f t="shared" si="5"/>
        <v>0</v>
      </c>
      <c r="I21" s="702"/>
      <c r="J21" s="540"/>
      <c r="K21" s="643"/>
      <c r="L21" s="703">
        <f t="shared" si="0"/>
        <v>0</v>
      </c>
      <c r="M21" s="419"/>
      <c r="N21" s="1133">
        <f t="shared" si="6"/>
        <v>0</v>
      </c>
      <c r="O21" s="1134"/>
      <c r="P21" s="1134"/>
      <c r="Q21" s="1134"/>
      <c r="R21" s="1135">
        <f t="shared" si="2"/>
        <v>0</v>
      </c>
      <c r="S21" s="1134"/>
      <c r="T21" s="1136">
        <f t="shared" si="3"/>
        <v>0</v>
      </c>
      <c r="U21" s="1136"/>
      <c r="V21" s="1139"/>
      <c r="W21" s="1134"/>
      <c r="X21" s="1137">
        <f t="shared" si="1"/>
        <v>0</v>
      </c>
      <c r="Y21" s="1138"/>
      <c r="Z21" s="1138"/>
    </row>
    <row r="22" spans="1:26" s="97" customFormat="1" ht="15.6" hidden="1" x14ac:dyDescent="0.3">
      <c r="A22" s="48">
        <v>107.32</v>
      </c>
      <c r="B22" s="97" t="s">
        <v>625</v>
      </c>
      <c r="D22" s="638"/>
      <c r="E22" s="444"/>
      <c r="F22" s="944">
        <f>+D22/($D$193-$H$197+$H$204)</f>
        <v>0</v>
      </c>
      <c r="G22" s="643"/>
      <c r="H22" s="702">
        <f>+(F22*$H$200)+D22</f>
        <v>0</v>
      </c>
      <c r="I22" s="702"/>
      <c r="J22" s="540"/>
      <c r="K22" s="643"/>
      <c r="L22" s="703">
        <f t="shared" si="0"/>
        <v>0</v>
      </c>
      <c r="M22" s="419"/>
      <c r="N22" s="1133">
        <f t="shared" si="6"/>
        <v>0</v>
      </c>
      <c r="O22" s="1134"/>
      <c r="P22" s="1134"/>
      <c r="Q22" s="1134"/>
      <c r="R22" s="1135">
        <f t="shared" si="2"/>
        <v>0</v>
      </c>
      <c r="S22" s="1134"/>
      <c r="T22" s="1136">
        <f t="shared" si="3"/>
        <v>0</v>
      </c>
      <c r="U22" s="1136"/>
      <c r="V22" s="1139"/>
      <c r="W22" s="1134"/>
      <c r="X22" s="1137">
        <f t="shared" si="1"/>
        <v>0</v>
      </c>
      <c r="Y22" s="1138"/>
      <c r="Z22" s="1138"/>
    </row>
    <row r="23" spans="1:26" s="97" customFormat="1" ht="15.6" hidden="1" x14ac:dyDescent="0.3">
      <c r="A23" s="48">
        <v>107.33</v>
      </c>
      <c r="B23" s="97" t="s">
        <v>625</v>
      </c>
      <c r="D23" s="638"/>
      <c r="E23" s="444"/>
      <c r="F23" s="944">
        <f t="shared" si="4"/>
        <v>0</v>
      </c>
      <c r="G23" s="945"/>
      <c r="H23" s="702">
        <f t="shared" si="5"/>
        <v>0</v>
      </c>
      <c r="I23" s="702"/>
      <c r="J23" s="540"/>
      <c r="K23" s="643"/>
      <c r="L23" s="703">
        <f t="shared" si="0"/>
        <v>0</v>
      </c>
      <c r="M23" s="419"/>
      <c r="N23" s="1133">
        <f t="shared" si="6"/>
        <v>0</v>
      </c>
      <c r="O23" s="1134"/>
      <c r="P23" s="1134"/>
      <c r="Q23" s="1134"/>
      <c r="R23" s="1135">
        <f t="shared" si="2"/>
        <v>0</v>
      </c>
      <c r="S23" s="1140"/>
      <c r="T23" s="1136">
        <f t="shared" si="3"/>
        <v>0</v>
      </c>
      <c r="U23" s="1136"/>
      <c r="V23" s="1141"/>
      <c r="W23" s="1134"/>
      <c r="X23" s="1137">
        <f t="shared" si="1"/>
        <v>0</v>
      </c>
      <c r="Y23" s="1138"/>
      <c r="Z23" s="1138"/>
    </row>
    <row r="24" spans="1:26" s="97" customFormat="1" ht="15.6" hidden="1" x14ac:dyDescent="0.3">
      <c r="A24" s="48">
        <v>107.37</v>
      </c>
      <c r="B24" s="97" t="s">
        <v>625</v>
      </c>
      <c r="D24" s="638">
        <v>0</v>
      </c>
      <c r="E24" s="444"/>
      <c r="F24" s="944">
        <f>+D24/($D$193-$H$197+$H$204)</f>
        <v>0</v>
      </c>
      <c r="G24" s="945"/>
      <c r="H24" s="702">
        <f>+(F24*$H$200)+D24</f>
        <v>0</v>
      </c>
      <c r="I24" s="702"/>
      <c r="J24" s="540"/>
      <c r="K24" s="643"/>
      <c r="L24" s="703">
        <f t="shared" si="0"/>
        <v>0</v>
      </c>
      <c r="M24" s="419"/>
      <c r="N24" s="1133">
        <f t="shared" si="6"/>
        <v>0</v>
      </c>
      <c r="O24" s="1134"/>
      <c r="P24" s="1134"/>
      <c r="Q24" s="1134"/>
      <c r="R24" s="1135">
        <f t="shared" si="2"/>
        <v>0</v>
      </c>
      <c r="S24" s="1140"/>
      <c r="T24" s="1136">
        <f t="shared" si="3"/>
        <v>0</v>
      </c>
      <c r="U24" s="1136"/>
      <c r="V24" s="1139"/>
      <c r="W24" s="1134"/>
      <c r="X24" s="1137">
        <f t="shared" si="1"/>
        <v>0</v>
      </c>
      <c r="Y24" s="1138"/>
      <c r="Z24" s="1138"/>
    </row>
    <row r="25" spans="1:26" s="97" customFormat="1" ht="15.6" x14ac:dyDescent="0.3">
      <c r="A25" s="48">
        <v>107.47</v>
      </c>
      <c r="B25" s="97" t="s">
        <v>625</v>
      </c>
      <c r="D25" s="638"/>
      <c r="E25" s="444"/>
      <c r="F25" s="944">
        <f>+D25/($D$193-$H$197+$H$204)</f>
        <v>0</v>
      </c>
      <c r="G25" s="945"/>
      <c r="H25" s="702">
        <f>+(F25*$H$200)+D25</f>
        <v>0</v>
      </c>
      <c r="I25" s="702"/>
      <c r="J25" s="540" t="s">
        <v>113</v>
      </c>
      <c r="K25" s="643"/>
      <c r="L25" s="703">
        <f t="shared" si="0"/>
        <v>0</v>
      </c>
      <c r="M25" s="540"/>
      <c r="N25" s="1133">
        <f t="shared" si="6"/>
        <v>0</v>
      </c>
      <c r="O25" s="1134"/>
      <c r="P25" s="1134"/>
      <c r="Q25" s="1134"/>
      <c r="R25" s="1135">
        <f t="shared" si="2"/>
        <v>0</v>
      </c>
      <c r="S25" s="1140"/>
      <c r="T25" s="1136">
        <f t="shared" si="3"/>
        <v>0</v>
      </c>
      <c r="U25" s="1136"/>
      <c r="V25" s="1139" t="s">
        <v>113</v>
      </c>
      <c r="W25" s="1134"/>
      <c r="X25" s="1137">
        <f t="shared" si="1"/>
        <v>0</v>
      </c>
      <c r="Y25" s="1138"/>
      <c r="Z25" s="1139"/>
    </row>
    <row r="26" spans="1:26" s="97" customFormat="1" ht="15.6" x14ac:dyDescent="0.3">
      <c r="A26" s="48">
        <v>108.8</v>
      </c>
      <c r="B26" s="48" t="s">
        <v>749</v>
      </c>
      <c r="D26" s="696">
        <v>36195.15</v>
      </c>
      <c r="E26" s="593"/>
      <c r="F26" s="944">
        <f t="shared" si="4"/>
        <v>1.1752625108976371E-2</v>
      </c>
      <c r="G26" s="945"/>
      <c r="H26" s="946">
        <f t="shared" si="5"/>
        <v>66793.116640321299</v>
      </c>
      <c r="I26" s="702"/>
      <c r="J26" s="540" t="s">
        <v>148</v>
      </c>
      <c r="K26" s="643"/>
      <c r="L26" s="947">
        <f t="shared" si="0"/>
        <v>69446.947976187235</v>
      </c>
      <c r="M26" s="540"/>
      <c r="N26" s="1142">
        <f>+(D26/($D$193-D$55))*$N$194</f>
        <v>36770.479902260187</v>
      </c>
      <c r="O26" s="1134"/>
      <c r="P26" s="1134"/>
      <c r="Q26" s="1134"/>
      <c r="R26" s="1135">
        <f t="shared" si="2"/>
        <v>1.1752625108976371E-2</v>
      </c>
      <c r="S26" s="1140"/>
      <c r="T26" s="1143">
        <f t="shared" si="3"/>
        <v>72319.80234838881</v>
      </c>
      <c r="U26" s="1136"/>
      <c r="V26" s="1139" t="s">
        <v>148</v>
      </c>
      <c r="W26" s="1134"/>
      <c r="X26" s="1144">
        <f t="shared" si="1"/>
        <v>75193.220558670742</v>
      </c>
      <c r="Y26" s="1138"/>
      <c r="Z26" s="1139"/>
    </row>
    <row r="27" spans="1:26" s="97" customFormat="1" ht="15.6" x14ac:dyDescent="0.3">
      <c r="A27" s="48" t="s">
        <v>149</v>
      </c>
      <c r="B27" s="48"/>
      <c r="D27" s="638">
        <f>SUM(D12:D26)</f>
        <v>493044.38</v>
      </c>
      <c r="E27" s="444"/>
      <c r="F27" s="944"/>
      <c r="G27" s="945"/>
      <c r="H27" s="702">
        <f>SUM(H12:H26)</f>
        <v>909844.84888707194</v>
      </c>
      <c r="I27" s="702"/>
      <c r="J27" s="948">
        <f>+H27/(H191+H27)</f>
        <v>0.1664531318106077</v>
      </c>
      <c r="K27" s="643"/>
      <c r="L27" s="703">
        <f>SUM(L12:L26)</f>
        <v>945994.90284779831</v>
      </c>
      <c r="M27" s="541"/>
      <c r="N27" s="1133">
        <f>SUM(N12:N26)</f>
        <v>500881.4292995701</v>
      </c>
      <c r="O27" s="1134"/>
      <c r="P27" s="1136">
        <f>SUM(P12:P26)</f>
        <v>0</v>
      </c>
      <c r="Q27" s="1134"/>
      <c r="R27" s="1135"/>
      <c r="S27" s="1140"/>
      <c r="T27" s="1136">
        <f>SUM(T12:T26)</f>
        <v>985128.45258505375</v>
      </c>
      <c r="U27" s="1136"/>
      <c r="V27" s="1135">
        <f>+T27/(T191+T27)</f>
        <v>0.16645313181060775</v>
      </c>
      <c r="W27" s="1134"/>
      <c r="X27" s="1137">
        <f>SUM(X12:X26)</f>
        <v>1024269.6828319008</v>
      </c>
      <c r="Y27" s="1138"/>
      <c r="Z27" s="1145"/>
    </row>
    <row r="28" spans="1:26" ht="15.6" x14ac:dyDescent="0.25">
      <c r="A28" s="48" t="s">
        <v>150</v>
      </c>
      <c r="D28" s="721"/>
      <c r="E28" s="594"/>
      <c r="F28" s="167"/>
      <c r="G28" s="167"/>
      <c r="H28" s="169"/>
      <c r="I28" s="169"/>
      <c r="J28" s="167"/>
      <c r="K28" s="167"/>
      <c r="L28" s="170"/>
      <c r="N28" s="1130"/>
      <c r="O28" s="1129"/>
      <c r="P28" s="1129"/>
      <c r="Q28" s="1129"/>
      <c r="R28" s="1129"/>
      <c r="S28" s="1129"/>
      <c r="T28" s="1131"/>
      <c r="U28" s="1131"/>
      <c r="V28" s="1129"/>
      <c r="W28" s="1129"/>
      <c r="X28" s="1132"/>
      <c r="Y28" s="1128"/>
      <c r="Z28" s="1128"/>
    </row>
    <row r="29" spans="1:26" s="97" customFormat="1" ht="15.6" x14ac:dyDescent="0.25">
      <c r="A29" s="48">
        <v>163.01</v>
      </c>
      <c r="B29" s="48" t="s">
        <v>44</v>
      </c>
      <c r="D29" s="638">
        <v>39971.06</v>
      </c>
      <c r="E29" s="444"/>
      <c r="F29" s="944">
        <f t="shared" ref="F29:F51" si="7">+D29/($D$193-$H$197+$H$204)</f>
        <v>1.2978669335212066E-2</v>
      </c>
      <c r="G29" s="643"/>
      <c r="H29" s="702">
        <f t="shared" ref="H29:H51" si="8">+(F29*$H$200)+D29</f>
        <v>73761.033531212917</v>
      </c>
      <c r="I29" s="702"/>
      <c r="J29" s="702"/>
      <c r="K29" s="949"/>
      <c r="L29" s="703"/>
      <c r="M29" s="419"/>
      <c r="N29" s="1133">
        <f t="shared" ref="N29:N51" si="9">+(D29/($D$193-D$55))*$N$194</f>
        <v>40606.40882554806</v>
      </c>
      <c r="O29" s="1134"/>
      <c r="P29" s="1134"/>
      <c r="Q29" s="1134"/>
      <c r="R29" s="1135">
        <f t="shared" ref="R29:R51" si="10">+(N29+P29)/($N$193+$P$193-$T$197+$T$204)</f>
        <v>1.2978669335212065E-2</v>
      </c>
      <c r="S29" s="1134"/>
      <c r="T29" s="1136">
        <f t="shared" ref="T29:T51" si="11">+(R29*$T$200)+(N29+P29)</f>
        <v>79864.267971139489</v>
      </c>
      <c r="U29" s="1136"/>
      <c r="V29" s="1136"/>
      <c r="W29" s="1146"/>
      <c r="X29" s="1137"/>
      <c r="Y29" s="1138"/>
      <c r="Z29" s="1138"/>
    </row>
    <row r="30" spans="1:26" s="97" customFormat="1" ht="15.6" x14ac:dyDescent="0.25">
      <c r="A30" s="48">
        <v>183.1</v>
      </c>
      <c r="B30" s="97" t="s">
        <v>537</v>
      </c>
      <c r="D30" s="638">
        <v>0</v>
      </c>
      <c r="E30" s="444"/>
      <c r="F30" s="944">
        <f t="shared" si="7"/>
        <v>0</v>
      </c>
      <c r="G30" s="643"/>
      <c r="H30" s="702">
        <f t="shared" si="8"/>
        <v>0</v>
      </c>
      <c r="I30" s="702"/>
      <c r="J30" s="643"/>
      <c r="K30" s="643"/>
      <c r="L30" s="703"/>
      <c r="M30" s="419"/>
      <c r="N30" s="1133">
        <f t="shared" si="9"/>
        <v>0</v>
      </c>
      <c r="O30" s="1134"/>
      <c r="P30" s="1134"/>
      <c r="Q30" s="1134"/>
      <c r="R30" s="1135">
        <f t="shared" si="10"/>
        <v>0</v>
      </c>
      <c r="S30" s="1134"/>
      <c r="T30" s="1136">
        <f t="shared" si="11"/>
        <v>0</v>
      </c>
      <c r="U30" s="1136"/>
      <c r="V30" s="1134"/>
      <c r="W30" s="1134"/>
      <c r="X30" s="1137"/>
      <c r="Y30" s="1138"/>
      <c r="Z30" s="1138"/>
    </row>
    <row r="31" spans="1:26" s="97" customFormat="1" ht="15.6" hidden="1" x14ac:dyDescent="0.25">
      <c r="A31" s="48">
        <v>183.03</v>
      </c>
      <c r="B31" s="97" t="s">
        <v>151</v>
      </c>
      <c r="D31" s="638"/>
      <c r="E31" s="444"/>
      <c r="F31" s="944">
        <f t="shared" si="7"/>
        <v>0</v>
      </c>
      <c r="G31" s="643"/>
      <c r="H31" s="702">
        <f t="shared" si="8"/>
        <v>0</v>
      </c>
      <c r="I31" s="702"/>
      <c r="J31" s="643"/>
      <c r="K31" s="643"/>
      <c r="L31" s="703"/>
      <c r="M31" s="419"/>
      <c r="N31" s="1133">
        <f t="shared" si="9"/>
        <v>0</v>
      </c>
      <c r="O31" s="1134"/>
      <c r="P31" s="1134"/>
      <c r="Q31" s="1134"/>
      <c r="R31" s="1135">
        <f t="shared" si="10"/>
        <v>0</v>
      </c>
      <c r="S31" s="1134"/>
      <c r="T31" s="1136">
        <f t="shared" si="11"/>
        <v>0</v>
      </c>
      <c r="U31" s="1136"/>
      <c r="V31" s="1134"/>
      <c r="W31" s="1134"/>
      <c r="X31" s="1137"/>
      <c r="Y31" s="1138"/>
      <c r="Z31" s="1138"/>
    </row>
    <row r="32" spans="1:26" s="97" customFormat="1" ht="15.6" hidden="1" x14ac:dyDescent="0.25">
      <c r="A32" s="48">
        <v>183.06</v>
      </c>
      <c r="B32" s="97" t="s">
        <v>152</v>
      </c>
      <c r="D32" s="638"/>
      <c r="E32" s="444"/>
      <c r="F32" s="944">
        <f>+D32/($D$193-$H$197+$H$204)</f>
        <v>0</v>
      </c>
      <c r="G32" s="643"/>
      <c r="H32" s="702">
        <f>+(F32*$H$200)+D32</f>
        <v>0</v>
      </c>
      <c r="I32" s="702"/>
      <c r="J32" s="643"/>
      <c r="K32" s="643"/>
      <c r="L32" s="703"/>
      <c r="M32" s="419"/>
      <c r="N32" s="1133">
        <f>+(D32/($D$193-D$55))*$N$194</f>
        <v>0</v>
      </c>
      <c r="O32" s="1134"/>
      <c r="P32" s="1134"/>
      <c r="Q32" s="1134"/>
      <c r="R32" s="1135">
        <f t="shared" si="10"/>
        <v>0</v>
      </c>
      <c r="S32" s="1134"/>
      <c r="T32" s="1136">
        <f t="shared" si="11"/>
        <v>0</v>
      </c>
      <c r="U32" s="1136"/>
      <c r="V32" s="1134"/>
      <c r="W32" s="1134"/>
      <c r="X32" s="1137"/>
      <c r="Y32" s="1138"/>
      <c r="Z32" s="1138"/>
    </row>
    <row r="33" spans="1:26" s="97" customFormat="1" ht="15.6" hidden="1" x14ac:dyDescent="0.25">
      <c r="A33" s="48">
        <v>183.13</v>
      </c>
      <c r="B33" s="97" t="s">
        <v>31</v>
      </c>
      <c r="D33" s="638">
        <v>0</v>
      </c>
      <c r="E33" s="444"/>
      <c r="F33" s="944">
        <f>+D33/($D$193-$H$197+$H$204)</f>
        <v>0</v>
      </c>
      <c r="G33" s="643"/>
      <c r="H33" s="702">
        <f>+(F33*$H$200)+D33</f>
        <v>0</v>
      </c>
      <c r="I33" s="702"/>
      <c r="J33" s="643"/>
      <c r="K33" s="643"/>
      <c r="L33" s="703"/>
      <c r="M33" s="419"/>
      <c r="N33" s="1133">
        <f>+(D33/($D$193-D$55))*$N$194</f>
        <v>0</v>
      </c>
      <c r="O33" s="1134"/>
      <c r="P33" s="1134"/>
      <c r="Q33" s="1134"/>
      <c r="R33" s="1135">
        <f t="shared" si="10"/>
        <v>0</v>
      </c>
      <c r="S33" s="1134"/>
      <c r="T33" s="1136">
        <f t="shared" si="11"/>
        <v>0</v>
      </c>
      <c r="U33" s="1136"/>
      <c r="V33" s="1134"/>
      <c r="W33" s="1134"/>
      <c r="X33" s="1137"/>
      <c r="Y33" s="1138"/>
      <c r="Z33" s="1138"/>
    </row>
    <row r="34" spans="1:26" s="97" customFormat="1" ht="15.6" hidden="1" x14ac:dyDescent="0.25">
      <c r="A34" s="48">
        <v>183.14</v>
      </c>
      <c r="B34" s="97" t="s">
        <v>34</v>
      </c>
      <c r="D34" s="638">
        <v>0</v>
      </c>
      <c r="E34" s="444"/>
      <c r="F34" s="944">
        <f>+D34/($D$193-$H$197+$H$204)</f>
        <v>0</v>
      </c>
      <c r="G34" s="643"/>
      <c r="H34" s="702">
        <f>+(F34*$H$200)+D34</f>
        <v>0</v>
      </c>
      <c r="I34" s="702"/>
      <c r="J34" s="643"/>
      <c r="K34" s="643"/>
      <c r="L34" s="703"/>
      <c r="M34" s="419"/>
      <c r="N34" s="1133">
        <f>+(D34/($D$193-D$55))*$N$194</f>
        <v>0</v>
      </c>
      <c r="O34" s="1134"/>
      <c r="P34" s="1134"/>
      <c r="Q34" s="1134"/>
      <c r="R34" s="1135">
        <f t="shared" si="10"/>
        <v>0</v>
      </c>
      <c r="S34" s="1134"/>
      <c r="T34" s="1136">
        <f t="shared" si="11"/>
        <v>0</v>
      </c>
      <c r="U34" s="1136"/>
      <c r="V34" s="1134"/>
      <c r="W34" s="1134"/>
      <c r="X34" s="1137"/>
      <c r="Y34" s="1138"/>
      <c r="Z34" s="1138"/>
    </row>
    <row r="35" spans="1:26" s="97" customFormat="1" ht="15.6" hidden="1" x14ac:dyDescent="0.25">
      <c r="A35" s="48">
        <v>183.15</v>
      </c>
      <c r="B35" s="97" t="s">
        <v>32</v>
      </c>
      <c r="D35" s="638">
        <v>0</v>
      </c>
      <c r="E35" s="444"/>
      <c r="F35" s="944">
        <f>+D35/($D$193-$H$197+$H$204)</f>
        <v>0</v>
      </c>
      <c r="G35" s="643"/>
      <c r="H35" s="702">
        <f>+(F35*$H$200)+D35</f>
        <v>0</v>
      </c>
      <c r="I35" s="702"/>
      <c r="J35" s="643"/>
      <c r="K35" s="643"/>
      <c r="L35" s="703"/>
      <c r="M35" s="419"/>
      <c r="N35" s="1133">
        <f>+(D35/($D$193-D$55))*$N$194</f>
        <v>0</v>
      </c>
      <c r="O35" s="1134"/>
      <c r="P35" s="1134"/>
      <c r="Q35" s="1134"/>
      <c r="R35" s="1135">
        <f t="shared" si="10"/>
        <v>0</v>
      </c>
      <c r="S35" s="1134"/>
      <c r="T35" s="1136">
        <f t="shared" si="11"/>
        <v>0</v>
      </c>
      <c r="U35" s="1136"/>
      <c r="V35" s="1134"/>
      <c r="W35" s="1134"/>
      <c r="X35" s="1137"/>
      <c r="Y35" s="1138"/>
      <c r="Z35" s="1138"/>
    </row>
    <row r="36" spans="1:26" s="97" customFormat="1" ht="15.6" hidden="1" x14ac:dyDescent="0.25">
      <c r="A36" s="48">
        <v>183.16</v>
      </c>
      <c r="B36" s="97" t="s">
        <v>33</v>
      </c>
      <c r="D36" s="638">
        <v>0</v>
      </c>
      <c r="E36" s="444"/>
      <c r="F36" s="944">
        <f>+D36/($D$193-$H$197+$H$204)</f>
        <v>0</v>
      </c>
      <c r="G36" s="643"/>
      <c r="H36" s="702">
        <f>+(F36*$H$200)+D36</f>
        <v>0</v>
      </c>
      <c r="I36" s="702"/>
      <c r="J36" s="643"/>
      <c r="K36" s="643"/>
      <c r="L36" s="703"/>
      <c r="M36" s="419"/>
      <c r="N36" s="1133">
        <f>+(D36/($D$193-D$55))*$N$194</f>
        <v>0</v>
      </c>
      <c r="O36" s="1134"/>
      <c r="P36" s="1134"/>
      <c r="Q36" s="1134"/>
      <c r="R36" s="1135">
        <f t="shared" si="10"/>
        <v>0</v>
      </c>
      <c r="S36" s="1134"/>
      <c r="T36" s="1136">
        <f t="shared" si="11"/>
        <v>0</v>
      </c>
      <c r="U36" s="1136"/>
      <c r="V36" s="1134"/>
      <c r="W36" s="1134"/>
      <c r="X36" s="1137"/>
      <c r="Y36" s="1138"/>
      <c r="Z36" s="1138"/>
    </row>
    <row r="37" spans="1:26" s="97" customFormat="1" ht="15.6" x14ac:dyDescent="0.25">
      <c r="A37" s="48">
        <v>184.01</v>
      </c>
      <c r="B37" s="97" t="s">
        <v>153</v>
      </c>
      <c r="D37" s="638">
        <v>75606.81</v>
      </c>
      <c r="E37" s="444"/>
      <c r="F37" s="944">
        <f t="shared" si="7"/>
        <v>2.4549656338365932E-2</v>
      </c>
      <c r="G37" s="643"/>
      <c r="H37" s="702">
        <f t="shared" si="8"/>
        <v>139521.85525222609</v>
      </c>
      <c r="I37" s="702"/>
      <c r="J37" s="702"/>
      <c r="K37" s="643"/>
      <c r="L37" s="703"/>
      <c r="M37" s="419"/>
      <c r="N37" s="1133">
        <f t="shared" si="9"/>
        <v>76808.596941275406</v>
      </c>
      <c r="O37" s="1134"/>
      <c r="P37" s="1134"/>
      <c r="Q37" s="1134"/>
      <c r="R37" s="1135">
        <f t="shared" si="10"/>
        <v>2.4549656338365932E-2</v>
      </c>
      <c r="S37" s="1134"/>
      <c r="T37" s="1136">
        <f t="shared" si="11"/>
        <v>151066.35986844054</v>
      </c>
      <c r="U37" s="1136"/>
      <c r="V37" s="1136"/>
      <c r="W37" s="1134"/>
      <c r="X37" s="1137"/>
      <c r="Y37" s="1138"/>
      <c r="Z37" s="1138"/>
    </row>
    <row r="38" spans="1:26" s="97" customFormat="1" ht="15.6" x14ac:dyDescent="0.25">
      <c r="A38" s="48">
        <v>184.03</v>
      </c>
      <c r="B38" s="419" t="s">
        <v>1177</v>
      </c>
      <c r="D38" s="638">
        <v>2111.0700000000002</v>
      </c>
      <c r="E38" s="444"/>
      <c r="F38" s="944">
        <f t="shared" si="7"/>
        <v>6.8546792287935674E-4</v>
      </c>
      <c r="G38" s="643"/>
      <c r="H38" s="702">
        <f t="shared" si="8"/>
        <v>3895.6861553518384</v>
      </c>
      <c r="I38" s="702"/>
      <c r="J38" s="702"/>
      <c r="K38" s="643"/>
      <c r="L38" s="703"/>
      <c r="M38" s="419"/>
      <c r="N38" s="1133">
        <f t="shared" si="9"/>
        <v>2144.6259238396424</v>
      </c>
      <c r="O38" s="1134"/>
      <c r="P38" s="1134"/>
      <c r="Q38" s="1134"/>
      <c r="R38" s="1135">
        <f t="shared" si="10"/>
        <v>6.8546792287935685E-4</v>
      </c>
      <c r="S38" s="1134"/>
      <c r="T38" s="1136">
        <f t="shared" si="11"/>
        <v>4218.0282480833266</v>
      </c>
      <c r="U38" s="1136"/>
      <c r="V38" s="1136"/>
      <c r="W38" s="1134"/>
      <c r="X38" s="1137"/>
      <c r="Y38" s="1138"/>
      <c r="Z38" s="1138"/>
    </row>
    <row r="39" spans="1:26" s="97" customFormat="1" ht="15.6" x14ac:dyDescent="0.25">
      <c r="A39" s="48">
        <v>184.04</v>
      </c>
      <c r="B39" s="419" t="s">
        <v>1178</v>
      </c>
      <c r="D39" s="638">
        <v>0</v>
      </c>
      <c r="E39" s="444"/>
      <c r="F39" s="944">
        <f t="shared" si="7"/>
        <v>0</v>
      </c>
      <c r="G39" s="643"/>
      <c r="H39" s="702">
        <f t="shared" si="8"/>
        <v>0</v>
      </c>
      <c r="I39" s="702"/>
      <c r="J39" s="643"/>
      <c r="K39" s="643"/>
      <c r="L39" s="703"/>
      <c r="M39" s="419"/>
      <c r="N39" s="1133">
        <f t="shared" si="9"/>
        <v>0</v>
      </c>
      <c r="O39" s="1134"/>
      <c r="P39" s="1134"/>
      <c r="Q39" s="1134"/>
      <c r="R39" s="1135">
        <f t="shared" si="10"/>
        <v>0</v>
      </c>
      <c r="S39" s="1134"/>
      <c r="T39" s="1136">
        <f t="shared" si="11"/>
        <v>0</v>
      </c>
      <c r="U39" s="1136"/>
      <c r="V39" s="1134"/>
      <c r="W39" s="1134"/>
      <c r="X39" s="1137"/>
      <c r="Y39" s="1138"/>
      <c r="Z39" s="1138"/>
    </row>
    <row r="40" spans="1:26" s="97" customFormat="1" ht="15.6" x14ac:dyDescent="0.25">
      <c r="A40" s="48">
        <v>184.06</v>
      </c>
      <c r="B40" s="419" t="s">
        <v>884</v>
      </c>
      <c r="D40" s="638">
        <v>0</v>
      </c>
      <c r="E40" s="444"/>
      <c r="F40" s="944">
        <f t="shared" si="7"/>
        <v>0</v>
      </c>
      <c r="G40" s="643"/>
      <c r="H40" s="702">
        <f t="shared" si="8"/>
        <v>0</v>
      </c>
      <c r="I40" s="702"/>
      <c r="J40" s="702"/>
      <c r="K40" s="643"/>
      <c r="L40" s="703"/>
      <c r="M40" s="419"/>
      <c r="N40" s="1133">
        <f t="shared" si="9"/>
        <v>0</v>
      </c>
      <c r="O40" s="1134"/>
      <c r="P40" s="1136">
        <f>(1-(SUM($N$56:$N$59)/$N$193))*P212</f>
        <v>0</v>
      </c>
      <c r="Q40" s="1134"/>
      <c r="R40" s="1135">
        <f t="shared" si="10"/>
        <v>0</v>
      </c>
      <c r="S40" s="1134"/>
      <c r="T40" s="1136">
        <f t="shared" si="11"/>
        <v>0</v>
      </c>
      <c r="U40" s="1136"/>
      <c r="V40" s="1136"/>
      <c r="W40" s="1134"/>
      <c r="X40" s="1137"/>
      <c r="Y40" s="1138"/>
      <c r="Z40" s="1138"/>
    </row>
    <row r="41" spans="1:26" s="97" customFormat="1" ht="15.6" x14ac:dyDescent="0.25">
      <c r="A41" s="48">
        <v>184.12</v>
      </c>
      <c r="B41" s="97" t="s">
        <v>750</v>
      </c>
      <c r="D41" s="638">
        <v>0</v>
      </c>
      <c r="E41" s="444"/>
      <c r="F41" s="944">
        <f t="shared" si="7"/>
        <v>0</v>
      </c>
      <c r="G41" s="643"/>
      <c r="H41" s="702">
        <f t="shared" si="8"/>
        <v>0</v>
      </c>
      <c r="I41" s="702"/>
      <c r="J41" s="950"/>
      <c r="K41" s="643"/>
      <c r="L41" s="703"/>
      <c r="M41" s="419"/>
      <c r="N41" s="639">
        <f t="shared" si="9"/>
        <v>0</v>
      </c>
      <c r="O41" s="643"/>
      <c r="P41" s="643"/>
      <c r="Q41" s="643"/>
      <c r="R41" s="944">
        <f t="shared" si="10"/>
        <v>0</v>
      </c>
      <c r="S41" s="643"/>
      <c r="T41" s="702">
        <f t="shared" si="11"/>
        <v>0</v>
      </c>
      <c r="U41" s="702"/>
      <c r="V41" s="950"/>
      <c r="W41" s="643"/>
      <c r="X41" s="703"/>
    </row>
    <row r="42" spans="1:26" s="97" customFormat="1" ht="15.6" hidden="1" x14ac:dyDescent="0.25">
      <c r="A42" s="48">
        <v>184.2</v>
      </c>
      <c r="B42" s="97" t="s">
        <v>106</v>
      </c>
      <c r="D42" s="638">
        <v>0</v>
      </c>
      <c r="E42" s="444"/>
      <c r="F42" s="944">
        <f t="shared" si="7"/>
        <v>0</v>
      </c>
      <c r="G42" s="643"/>
      <c r="H42" s="702">
        <f t="shared" si="8"/>
        <v>0</v>
      </c>
      <c r="I42" s="702"/>
      <c r="J42" s="643"/>
      <c r="K42" s="643"/>
      <c r="L42" s="703"/>
      <c r="M42" s="419"/>
      <c r="N42" s="639">
        <f t="shared" si="9"/>
        <v>0</v>
      </c>
      <c r="O42" s="643"/>
      <c r="P42" s="643"/>
      <c r="Q42" s="643"/>
      <c r="R42" s="944">
        <f t="shared" si="10"/>
        <v>0</v>
      </c>
      <c r="S42" s="643"/>
      <c r="T42" s="702">
        <f t="shared" si="11"/>
        <v>0</v>
      </c>
      <c r="U42" s="702"/>
      <c r="V42" s="643"/>
      <c r="W42" s="643"/>
      <c r="X42" s="703"/>
    </row>
    <row r="43" spans="1:26" s="97" customFormat="1" ht="15.6" hidden="1" x14ac:dyDescent="0.25">
      <c r="A43" s="48">
        <v>184.21</v>
      </c>
      <c r="B43" s="97" t="s">
        <v>107</v>
      </c>
      <c r="D43" s="638">
        <v>0</v>
      </c>
      <c r="E43" s="444"/>
      <c r="F43" s="944">
        <f t="shared" si="7"/>
        <v>0</v>
      </c>
      <c r="G43" s="643"/>
      <c r="H43" s="702">
        <f t="shared" si="8"/>
        <v>0</v>
      </c>
      <c r="I43" s="702"/>
      <c r="J43" s="643"/>
      <c r="K43" s="643"/>
      <c r="L43" s="703"/>
      <c r="M43" s="419"/>
      <c r="N43" s="639">
        <f t="shared" si="9"/>
        <v>0</v>
      </c>
      <c r="O43" s="643"/>
      <c r="P43" s="643"/>
      <c r="Q43" s="643"/>
      <c r="R43" s="944">
        <f t="shared" si="10"/>
        <v>0</v>
      </c>
      <c r="S43" s="643"/>
      <c r="T43" s="702">
        <f t="shared" si="11"/>
        <v>0</v>
      </c>
      <c r="U43" s="702"/>
      <c r="V43" s="643"/>
      <c r="W43" s="643"/>
      <c r="X43" s="703"/>
    </row>
    <row r="44" spans="1:26" s="97" customFormat="1" ht="15.6" hidden="1" x14ac:dyDescent="0.25">
      <c r="A44" s="48">
        <v>184.22</v>
      </c>
      <c r="B44" s="97" t="s">
        <v>29</v>
      </c>
      <c r="D44" s="638">
        <v>0</v>
      </c>
      <c r="E44" s="444"/>
      <c r="F44" s="944">
        <f t="shared" si="7"/>
        <v>0</v>
      </c>
      <c r="G44" s="643"/>
      <c r="H44" s="702">
        <f t="shared" si="8"/>
        <v>0</v>
      </c>
      <c r="I44" s="702"/>
      <c r="J44" s="643"/>
      <c r="K44" s="643"/>
      <c r="L44" s="703"/>
      <c r="M44" s="419"/>
      <c r="N44" s="639">
        <f t="shared" si="9"/>
        <v>0</v>
      </c>
      <c r="O44" s="643"/>
      <c r="P44" s="643"/>
      <c r="Q44" s="643"/>
      <c r="R44" s="944">
        <f t="shared" si="10"/>
        <v>0</v>
      </c>
      <c r="S44" s="643"/>
      <c r="T44" s="702">
        <f t="shared" si="11"/>
        <v>0</v>
      </c>
      <c r="U44" s="702"/>
      <c r="V44" s="643"/>
      <c r="W44" s="643"/>
      <c r="X44" s="703"/>
    </row>
    <row r="45" spans="1:26" s="97" customFormat="1" ht="12.75" hidden="1" customHeight="1" x14ac:dyDescent="0.25">
      <c r="A45" s="48">
        <v>184.99</v>
      </c>
      <c r="B45" s="97" t="s">
        <v>154</v>
      </c>
      <c r="D45" s="638"/>
      <c r="E45" s="444"/>
      <c r="F45" s="944">
        <f t="shared" si="7"/>
        <v>0</v>
      </c>
      <c r="G45" s="643"/>
      <c r="H45" s="702">
        <f t="shared" si="8"/>
        <v>0</v>
      </c>
      <c r="I45" s="702"/>
      <c r="J45" s="643"/>
      <c r="K45" s="643"/>
      <c r="L45" s="703"/>
      <c r="M45" s="419"/>
      <c r="N45" s="639">
        <f t="shared" si="9"/>
        <v>0</v>
      </c>
      <c r="O45" s="643"/>
      <c r="P45" s="643"/>
      <c r="Q45" s="643"/>
      <c r="R45" s="944">
        <f t="shared" si="10"/>
        <v>0</v>
      </c>
      <c r="S45" s="643"/>
      <c r="T45" s="702">
        <f t="shared" si="11"/>
        <v>0</v>
      </c>
      <c r="U45" s="702"/>
      <c r="V45" s="643"/>
      <c r="W45" s="643"/>
      <c r="X45" s="703"/>
    </row>
    <row r="46" spans="1:26" s="97" customFormat="1" ht="12.75" hidden="1" customHeight="1" x14ac:dyDescent="0.25">
      <c r="A46" s="48">
        <v>186.2</v>
      </c>
      <c r="B46" s="97" t="s">
        <v>155</v>
      </c>
      <c r="D46" s="638"/>
      <c r="E46" s="444"/>
      <c r="F46" s="944">
        <f t="shared" si="7"/>
        <v>0</v>
      </c>
      <c r="G46" s="643"/>
      <c r="H46" s="702">
        <f t="shared" si="8"/>
        <v>0</v>
      </c>
      <c r="I46" s="702"/>
      <c r="J46" s="643"/>
      <c r="K46" s="643"/>
      <c r="L46" s="703"/>
      <c r="M46" s="419"/>
      <c r="N46" s="639">
        <f t="shared" si="9"/>
        <v>0</v>
      </c>
      <c r="O46" s="643"/>
      <c r="P46" s="643"/>
      <c r="Q46" s="643"/>
      <c r="R46" s="944">
        <f t="shared" si="10"/>
        <v>0</v>
      </c>
      <c r="S46" s="643"/>
      <c r="T46" s="702">
        <f t="shared" si="11"/>
        <v>0</v>
      </c>
      <c r="U46" s="702"/>
      <c r="V46" s="643"/>
      <c r="W46" s="643"/>
      <c r="X46" s="703"/>
    </row>
    <row r="47" spans="1:26" s="97" customFormat="1" ht="15.6" hidden="1" x14ac:dyDescent="0.3">
      <c r="A47" s="48">
        <v>186.35</v>
      </c>
      <c r="B47" s="97" t="s">
        <v>156</v>
      </c>
      <c r="D47" s="638"/>
      <c r="E47" s="444"/>
      <c r="F47" s="944">
        <f t="shared" si="7"/>
        <v>0</v>
      </c>
      <c r="G47" s="643"/>
      <c r="H47" s="702">
        <f t="shared" si="8"/>
        <v>0</v>
      </c>
      <c r="I47" s="702"/>
      <c r="J47" s="540"/>
      <c r="K47" s="643"/>
      <c r="L47" s="644"/>
      <c r="M47" s="419"/>
      <c r="N47" s="639">
        <f t="shared" si="9"/>
        <v>0</v>
      </c>
      <c r="O47" s="643"/>
      <c r="P47" s="643"/>
      <c r="Q47" s="643"/>
      <c r="R47" s="944">
        <f t="shared" si="10"/>
        <v>0</v>
      </c>
      <c r="S47" s="643"/>
      <c r="T47" s="702">
        <f t="shared" si="11"/>
        <v>0</v>
      </c>
      <c r="U47" s="702"/>
      <c r="V47" s="540"/>
      <c r="W47" s="643"/>
      <c r="X47" s="644"/>
    </row>
    <row r="48" spans="1:26" s="97" customFormat="1" ht="15.6" hidden="1" x14ac:dyDescent="0.3">
      <c r="A48" s="48">
        <v>186.36</v>
      </c>
      <c r="B48" s="97" t="s">
        <v>157</v>
      </c>
      <c r="D48" s="638"/>
      <c r="E48" s="444"/>
      <c r="F48" s="944">
        <f t="shared" si="7"/>
        <v>0</v>
      </c>
      <c r="G48" s="643"/>
      <c r="H48" s="702">
        <f t="shared" si="8"/>
        <v>0</v>
      </c>
      <c r="I48" s="702"/>
      <c r="J48" s="540"/>
      <c r="K48" s="643"/>
      <c r="L48" s="644"/>
      <c r="M48" s="419"/>
      <c r="N48" s="639">
        <f t="shared" si="9"/>
        <v>0</v>
      </c>
      <c r="O48" s="643"/>
      <c r="P48" s="643"/>
      <c r="Q48" s="643"/>
      <c r="R48" s="944">
        <f t="shared" si="10"/>
        <v>0</v>
      </c>
      <c r="S48" s="643"/>
      <c r="T48" s="702">
        <f t="shared" si="11"/>
        <v>0</v>
      </c>
      <c r="U48" s="702"/>
      <c r="V48" s="540"/>
      <c r="W48" s="643"/>
      <c r="X48" s="644"/>
    </row>
    <row r="49" spans="1:24" s="97" customFormat="1" ht="15.6" hidden="1" x14ac:dyDescent="0.3">
      <c r="A49" s="48">
        <v>186.37</v>
      </c>
      <c r="B49" s="97" t="s">
        <v>158</v>
      </c>
      <c r="D49" s="638"/>
      <c r="E49" s="444"/>
      <c r="F49" s="944">
        <f t="shared" si="7"/>
        <v>0</v>
      </c>
      <c r="G49" s="643"/>
      <c r="H49" s="702">
        <f t="shared" si="8"/>
        <v>0</v>
      </c>
      <c r="I49" s="702"/>
      <c r="J49" s="540"/>
      <c r="K49" s="643"/>
      <c r="L49" s="644"/>
      <c r="M49" s="419"/>
      <c r="N49" s="639">
        <f t="shared" si="9"/>
        <v>0</v>
      </c>
      <c r="O49" s="643"/>
      <c r="P49" s="643"/>
      <c r="Q49" s="643"/>
      <c r="R49" s="944">
        <f t="shared" si="10"/>
        <v>0</v>
      </c>
      <c r="S49" s="643"/>
      <c r="T49" s="702">
        <f t="shared" si="11"/>
        <v>0</v>
      </c>
      <c r="U49" s="702"/>
      <c r="V49" s="540"/>
      <c r="W49" s="643"/>
      <c r="X49" s="644"/>
    </row>
    <row r="50" spans="1:24" s="97" customFormat="1" ht="15.6" hidden="1" x14ac:dyDescent="0.3">
      <c r="A50" s="48">
        <v>186.4</v>
      </c>
      <c r="B50" s="48" t="s">
        <v>159</v>
      </c>
      <c r="D50" s="638"/>
      <c r="E50" s="444"/>
      <c r="F50" s="944">
        <f t="shared" si="7"/>
        <v>0</v>
      </c>
      <c r="G50" s="643"/>
      <c r="H50" s="702">
        <f t="shared" si="8"/>
        <v>0</v>
      </c>
      <c r="I50" s="702"/>
      <c r="J50" s="540"/>
      <c r="K50" s="643"/>
      <c r="L50" s="644"/>
      <c r="M50" s="419"/>
      <c r="N50" s="639">
        <f t="shared" si="9"/>
        <v>0</v>
      </c>
      <c r="O50" s="643"/>
      <c r="P50" s="643"/>
      <c r="Q50" s="643"/>
      <c r="R50" s="944">
        <f t="shared" si="10"/>
        <v>0</v>
      </c>
      <c r="S50" s="643"/>
      <c r="T50" s="702">
        <f t="shared" si="11"/>
        <v>0</v>
      </c>
      <c r="U50" s="702"/>
      <c r="V50" s="540"/>
      <c r="W50" s="643"/>
      <c r="X50" s="644"/>
    </row>
    <row r="51" spans="1:24" s="97" customFormat="1" ht="15.6" x14ac:dyDescent="0.25">
      <c r="A51" s="48">
        <v>186.42</v>
      </c>
      <c r="B51" s="48" t="s">
        <v>160</v>
      </c>
      <c r="D51" s="696"/>
      <c r="E51" s="444"/>
      <c r="F51" s="944">
        <f t="shared" si="7"/>
        <v>0</v>
      </c>
      <c r="G51" s="945"/>
      <c r="H51" s="946">
        <f t="shared" si="8"/>
        <v>0</v>
      </c>
      <c r="I51" s="702"/>
      <c r="J51" s="702"/>
      <c r="K51" s="643"/>
      <c r="L51" s="703"/>
      <c r="M51" s="419"/>
      <c r="N51" s="802">
        <f t="shared" si="9"/>
        <v>0</v>
      </c>
      <c r="O51" s="643"/>
      <c r="P51" s="643"/>
      <c r="Q51" s="643"/>
      <c r="R51" s="944">
        <f t="shared" si="10"/>
        <v>0</v>
      </c>
      <c r="S51" s="945"/>
      <c r="T51" s="702">
        <f t="shared" si="11"/>
        <v>0</v>
      </c>
      <c r="U51" s="702"/>
      <c r="V51" s="702"/>
      <c r="W51" s="643"/>
      <c r="X51" s="703"/>
    </row>
    <row r="52" spans="1:24" s="97" customFormat="1" ht="15.6" x14ac:dyDescent="0.25">
      <c r="A52" s="48" t="s">
        <v>161</v>
      </c>
      <c r="B52" s="48"/>
      <c r="D52" s="638">
        <f>SUM(D29:D51)</f>
        <v>117688.94</v>
      </c>
      <c r="E52" s="444"/>
      <c r="F52" s="944"/>
      <c r="G52" s="945"/>
      <c r="H52" s="702">
        <f>SUM(H29:H51)</f>
        <v>217178.57493879084</v>
      </c>
      <c r="I52" s="702"/>
      <c r="J52" s="702"/>
      <c r="K52" s="643"/>
      <c r="L52" s="703"/>
      <c r="M52" s="419"/>
      <c r="N52" s="639">
        <f>SUM(N29:N51)</f>
        <v>119559.63169066311</v>
      </c>
      <c r="O52" s="643"/>
      <c r="P52" s="702">
        <f>SUM(P29:P51)</f>
        <v>0</v>
      </c>
      <c r="Q52" s="643"/>
      <c r="R52" s="944"/>
      <c r="S52" s="945"/>
      <c r="T52" s="702">
        <f>SUM(T29:T51)</f>
        <v>235148.65608766337</v>
      </c>
      <c r="U52" s="702"/>
      <c r="V52" s="702"/>
      <c r="W52" s="643"/>
      <c r="X52" s="703"/>
    </row>
    <row r="53" spans="1:24" ht="15.6" x14ac:dyDescent="0.25">
      <c r="A53" s="48" t="s">
        <v>162</v>
      </c>
      <c r="D53" s="721"/>
      <c r="E53" s="594"/>
      <c r="F53" s="167"/>
      <c r="G53" s="167"/>
      <c r="H53" s="169"/>
      <c r="I53" s="169"/>
      <c r="J53" s="167"/>
      <c r="K53" s="167"/>
      <c r="L53" s="170"/>
      <c r="N53" s="168"/>
      <c r="O53" s="167"/>
      <c r="P53" s="167"/>
      <c r="Q53" s="167"/>
      <c r="R53" s="167"/>
      <c r="S53" s="167"/>
      <c r="T53" s="169"/>
      <c r="U53" s="169"/>
      <c r="V53" s="167"/>
      <c r="W53" s="167"/>
      <c r="X53" s="170"/>
    </row>
    <row r="54" spans="1:24" s="97" customFormat="1" ht="15.6" hidden="1" x14ac:dyDescent="0.25">
      <c r="A54" s="48">
        <v>232.12</v>
      </c>
      <c r="B54" s="97" t="s">
        <v>163</v>
      </c>
      <c r="D54" s="719"/>
      <c r="E54" s="444"/>
      <c r="F54" s="643"/>
      <c r="G54" s="643"/>
      <c r="H54" s="702"/>
      <c r="I54" s="702"/>
      <c r="J54" s="643"/>
      <c r="K54" s="643"/>
      <c r="L54" s="703"/>
      <c r="M54" s="419"/>
      <c r="N54" s="639"/>
      <c r="O54" s="643"/>
      <c r="P54" s="643"/>
      <c r="Q54" s="643"/>
      <c r="R54" s="643"/>
      <c r="S54" s="643"/>
      <c r="T54" s="702"/>
      <c r="U54" s="702"/>
      <c r="V54" s="643"/>
      <c r="W54" s="643"/>
      <c r="X54" s="703"/>
    </row>
    <row r="55" spans="1:24" s="97" customFormat="1" ht="15.6" x14ac:dyDescent="0.25">
      <c r="A55" s="48">
        <v>242.08</v>
      </c>
      <c r="B55" s="333" t="s">
        <v>164</v>
      </c>
      <c r="D55" s="638">
        <v>0</v>
      </c>
      <c r="E55" s="444"/>
      <c r="F55" s="643"/>
      <c r="G55" s="643"/>
      <c r="H55" s="702"/>
      <c r="I55" s="702"/>
      <c r="J55" s="643"/>
      <c r="K55" s="643"/>
      <c r="L55" s="703"/>
      <c r="M55" s="419"/>
      <c r="N55" s="638">
        <v>0</v>
      </c>
      <c r="O55" s="643"/>
      <c r="P55" s="643"/>
      <c r="Q55" s="643"/>
      <c r="R55" s="643"/>
      <c r="S55" s="643"/>
      <c r="T55" s="702"/>
      <c r="U55" s="702"/>
      <c r="V55" s="643"/>
      <c r="W55" s="643"/>
      <c r="X55" s="703"/>
    </row>
    <row r="56" spans="1:24" s="97" customFormat="1" ht="15.6" x14ac:dyDescent="0.25">
      <c r="A56" s="48">
        <v>242.07</v>
      </c>
      <c r="B56" s="332" t="s">
        <v>165</v>
      </c>
      <c r="D56" s="638">
        <v>333098.38</v>
      </c>
      <c r="E56" s="444"/>
      <c r="F56" s="643"/>
      <c r="G56" s="643"/>
      <c r="H56" s="702"/>
      <c r="I56" s="702"/>
      <c r="J56" s="643"/>
      <c r="K56" s="643"/>
      <c r="L56" s="703"/>
      <c r="M56" s="419"/>
      <c r="N56" s="639">
        <f>+(D56/($D$193-D$55))*$N$194</f>
        <v>338393.05230853934</v>
      </c>
      <c r="O56" s="643"/>
      <c r="P56" s="702">
        <f>(SUM(N56:N59)/N193)*(P212+P220)</f>
        <v>0</v>
      </c>
      <c r="Q56" s="643"/>
      <c r="R56" s="643"/>
      <c r="S56" s="643"/>
      <c r="T56" s="702"/>
      <c r="U56" s="702"/>
      <c r="V56" s="643"/>
      <c r="W56" s="643"/>
      <c r="X56" s="703"/>
    </row>
    <row r="57" spans="1:24" s="97" customFormat="1" ht="15.6" x14ac:dyDescent="0.25">
      <c r="A57" s="48">
        <v>184.23</v>
      </c>
      <c r="B57" s="333" t="s">
        <v>166</v>
      </c>
      <c r="D57" s="638">
        <v>231396.38</v>
      </c>
      <c r="E57" s="444"/>
      <c r="F57" s="643"/>
      <c r="G57" s="643"/>
      <c r="H57" s="702"/>
      <c r="I57" s="702"/>
      <c r="J57" s="643"/>
      <c r="K57" s="643"/>
      <c r="L57" s="703"/>
      <c r="M57" s="419"/>
      <c r="N57" s="639">
        <f>+(D57/($D$193-D$55))*$N$194</f>
        <v>235074.47655958773</v>
      </c>
      <c r="O57" s="643"/>
      <c r="P57" s="643"/>
      <c r="Q57" s="643"/>
      <c r="R57" s="643"/>
      <c r="S57" s="643"/>
      <c r="T57" s="702"/>
      <c r="U57" s="702"/>
      <c r="V57" s="643"/>
      <c r="W57" s="643"/>
      <c r="X57" s="703"/>
    </row>
    <row r="58" spans="1:24" s="97" customFormat="1" ht="15.6" x14ac:dyDescent="0.25">
      <c r="A58" s="48">
        <v>184.24</v>
      </c>
      <c r="B58" s="333" t="s">
        <v>167</v>
      </c>
      <c r="D58" s="638">
        <v>176451.84</v>
      </c>
      <c r="E58" s="444"/>
      <c r="F58" s="643"/>
      <c r="G58" s="643"/>
      <c r="H58" s="702"/>
      <c r="I58" s="702"/>
      <c r="J58" s="643"/>
      <c r="K58" s="643"/>
      <c r="L58" s="703"/>
      <c r="M58" s="419"/>
      <c r="N58" s="639">
        <f>+(D58/($D$193-D$55))*$N$194</f>
        <v>179256.5809628315</v>
      </c>
      <c r="O58" s="643"/>
      <c r="P58" s="643"/>
      <c r="Q58" s="643"/>
      <c r="R58" s="643"/>
      <c r="S58" s="643"/>
      <c r="T58" s="702"/>
      <c r="U58" s="702"/>
      <c r="V58" s="643"/>
      <c r="W58" s="643"/>
      <c r="X58" s="703"/>
    </row>
    <row r="59" spans="1:24" s="97" customFormat="1" ht="15.6" hidden="1" x14ac:dyDescent="0.25">
      <c r="A59" s="48">
        <v>242.4</v>
      </c>
      <c r="B59" s="48" t="s">
        <v>168</v>
      </c>
      <c r="D59" s="696">
        <v>0</v>
      </c>
      <c r="E59" s="444"/>
      <c r="F59" s="167"/>
      <c r="G59" s="945"/>
      <c r="H59" s="702"/>
      <c r="I59" s="702"/>
      <c r="J59" s="643"/>
      <c r="K59" s="643"/>
      <c r="L59" s="703"/>
      <c r="M59" s="419"/>
      <c r="N59" s="802">
        <f>+(D59/($D$193-D$55))*$N$194</f>
        <v>0</v>
      </c>
      <c r="O59" s="643"/>
      <c r="P59" s="643"/>
      <c r="Q59" s="643"/>
      <c r="R59" s="167"/>
      <c r="S59" s="945"/>
      <c r="T59" s="702"/>
      <c r="U59" s="702"/>
      <c r="V59" s="643"/>
      <c r="W59" s="643"/>
      <c r="X59" s="703"/>
    </row>
    <row r="60" spans="1:24" s="97" customFormat="1" ht="15.6" x14ac:dyDescent="0.25">
      <c r="A60" s="48" t="s">
        <v>169</v>
      </c>
      <c r="B60" s="48"/>
      <c r="D60" s="638">
        <f>SUM(D54:D59)</f>
        <v>740946.6</v>
      </c>
      <c r="E60" s="444"/>
      <c r="F60" s="167"/>
      <c r="G60" s="945"/>
      <c r="H60" s="702"/>
      <c r="I60" s="702"/>
      <c r="J60" s="643"/>
      <c r="K60" s="643"/>
      <c r="L60" s="703"/>
      <c r="M60" s="720"/>
      <c r="N60" s="639">
        <f>SUM(N54:N59)</f>
        <v>752724.10983095854</v>
      </c>
      <c r="O60" s="643"/>
      <c r="P60" s="702">
        <f>SUM(P54:P59)</f>
        <v>0</v>
      </c>
      <c r="Q60" s="643"/>
      <c r="R60" s="167"/>
      <c r="S60" s="945"/>
      <c r="T60" s="702"/>
      <c r="U60" s="702"/>
      <c r="V60" s="643"/>
      <c r="W60" s="643"/>
      <c r="X60" s="703"/>
    </row>
    <row r="61" spans="1:24" ht="15.6" x14ac:dyDescent="0.25">
      <c r="A61" s="48" t="s">
        <v>170</v>
      </c>
      <c r="D61" s="721"/>
      <c r="E61" s="594"/>
      <c r="F61" s="167"/>
      <c r="G61" s="167"/>
      <c r="H61" s="169"/>
      <c r="I61" s="169"/>
      <c r="J61" s="167"/>
      <c r="K61" s="167"/>
      <c r="L61" s="170"/>
      <c r="M61" s="233"/>
      <c r="N61" s="168"/>
      <c r="O61" s="167"/>
      <c r="P61" s="167"/>
      <c r="Q61" s="167"/>
      <c r="R61" s="167"/>
      <c r="S61" s="167"/>
      <c r="T61" s="169"/>
      <c r="U61" s="169"/>
      <c r="V61" s="167"/>
      <c r="W61" s="167"/>
      <c r="X61" s="170"/>
    </row>
    <row r="62" spans="1:24" s="97" customFormat="1" ht="15.6" x14ac:dyDescent="0.25">
      <c r="A62" s="411">
        <v>416.04</v>
      </c>
      <c r="B62" s="419" t="s">
        <v>487</v>
      </c>
      <c r="D62" s="638"/>
      <c r="E62" s="444"/>
      <c r="F62" s="944">
        <f t="shared" ref="F62:F133" si="12">+D62/($D$193-$H$197+$H$204)</f>
        <v>0</v>
      </c>
      <c r="G62" s="643"/>
      <c r="H62" s="702">
        <f t="shared" ref="H62:H133" si="13">+(F62*$H$200)+D62</f>
        <v>0</v>
      </c>
      <c r="I62" s="702"/>
      <c r="J62" s="643"/>
      <c r="K62" s="643"/>
      <c r="L62" s="703">
        <f t="shared" ref="L62:L125" si="14">+H62+((H62/($H$27+$H$191))*$H$52)</f>
        <v>0</v>
      </c>
      <c r="M62" s="720"/>
      <c r="N62" s="639">
        <f t="shared" ref="N62:N131" si="15">+(D62/($D$193-D$55))*$N$194</f>
        <v>0</v>
      </c>
      <c r="O62" s="643"/>
      <c r="P62" s="643"/>
      <c r="Q62" s="643"/>
      <c r="R62" s="944">
        <f t="shared" ref="R62:R130" si="16">+(N62+P62)/($N$193+$P$193-$T$197+$T$204)</f>
        <v>0</v>
      </c>
      <c r="S62" s="643"/>
      <c r="T62" s="702">
        <f t="shared" ref="T62:T130" si="17">+(R62*$T$200)+(N62+P62)</f>
        <v>0</v>
      </c>
      <c r="U62" s="702"/>
      <c r="V62" s="643"/>
      <c r="W62" s="643"/>
      <c r="X62" s="703">
        <f t="shared" ref="X62:X125" si="18">+T62+((T62/($T$27+$T$191))*$T$52)</f>
        <v>0</v>
      </c>
    </row>
    <row r="63" spans="1:24" s="97" customFormat="1" ht="15.6" x14ac:dyDescent="0.25">
      <c r="A63" s="48">
        <v>416.07</v>
      </c>
      <c r="B63" s="97" t="s">
        <v>488</v>
      </c>
      <c r="D63" s="638">
        <v>144.52000000000001</v>
      </c>
      <c r="E63" s="444"/>
      <c r="F63" s="944">
        <f t="shared" si="12"/>
        <v>4.6925883184605265E-5</v>
      </c>
      <c r="G63" s="643"/>
      <c r="H63" s="702">
        <f t="shared" si="13"/>
        <v>266.69156549590855</v>
      </c>
      <c r="I63" s="702"/>
      <c r="J63" s="643"/>
      <c r="K63" s="643"/>
      <c r="L63" s="703">
        <f t="shared" si="14"/>
        <v>277.28778362622006</v>
      </c>
      <c r="M63" s="720"/>
      <c r="N63" s="639">
        <f t="shared" si="15"/>
        <v>146.81717731449223</v>
      </c>
      <c r="O63" s="643"/>
      <c r="P63" s="643"/>
      <c r="Q63" s="643"/>
      <c r="R63" s="944">
        <f t="shared" si="16"/>
        <v>4.6925883184605272E-5</v>
      </c>
      <c r="S63" s="643"/>
      <c r="T63" s="702">
        <f t="shared" si="17"/>
        <v>288.75851696675255</v>
      </c>
      <c r="U63" s="702"/>
      <c r="V63" s="643"/>
      <c r="W63" s="643"/>
      <c r="X63" s="703">
        <f t="shared" si="18"/>
        <v>300.23150160005139</v>
      </c>
    </row>
    <row r="64" spans="1:24" s="97" customFormat="1" ht="15.6" x14ac:dyDescent="0.25">
      <c r="A64" s="48">
        <v>417.06</v>
      </c>
      <c r="B64" s="97" t="s">
        <v>492</v>
      </c>
      <c r="D64" s="638"/>
      <c r="E64" s="444"/>
      <c r="F64" s="944">
        <f t="shared" si="12"/>
        <v>0</v>
      </c>
      <c r="G64" s="643"/>
      <c r="H64" s="702">
        <f t="shared" si="13"/>
        <v>0</v>
      </c>
      <c r="I64" s="702"/>
      <c r="J64" s="643"/>
      <c r="K64" s="643"/>
      <c r="L64" s="703">
        <f t="shared" si="14"/>
        <v>0</v>
      </c>
      <c r="M64" s="720"/>
      <c r="N64" s="639">
        <f t="shared" si="15"/>
        <v>0</v>
      </c>
      <c r="O64" s="643"/>
      <c r="P64" s="643"/>
      <c r="Q64" s="643"/>
      <c r="R64" s="944">
        <f t="shared" si="16"/>
        <v>0</v>
      </c>
      <c r="S64" s="643"/>
      <c r="T64" s="702">
        <f t="shared" si="17"/>
        <v>0</v>
      </c>
      <c r="U64" s="702"/>
      <c r="V64" s="643"/>
      <c r="W64" s="643"/>
      <c r="X64" s="703">
        <f t="shared" si="18"/>
        <v>0</v>
      </c>
    </row>
    <row r="65" spans="1:24" s="97" customFormat="1" ht="15.6" x14ac:dyDescent="0.25">
      <c r="A65" s="457">
        <v>253.04</v>
      </c>
      <c r="B65" s="333" t="s">
        <v>454</v>
      </c>
      <c r="C65" s="333"/>
      <c r="D65" s="638">
        <v>4304.9799999999996</v>
      </c>
      <c r="E65" s="595"/>
      <c r="F65" s="948">
        <f t="shared" si="12"/>
        <v>1.3978341308612089E-3</v>
      </c>
      <c r="G65" s="756"/>
      <c r="H65" s="938">
        <f t="shared" si="13"/>
        <v>7944.2420123759775</v>
      </c>
      <c r="I65" s="938"/>
      <c r="J65" s="756"/>
      <c r="K65" s="756"/>
      <c r="L65" s="951">
        <f t="shared" si="14"/>
        <v>8259.8834953999776</v>
      </c>
      <c r="M65" s="720"/>
      <c r="N65" s="639">
        <f t="shared" si="15"/>
        <v>4373.4086077729207</v>
      </c>
      <c r="O65" s="643"/>
      <c r="P65" s="643"/>
      <c r="Q65" s="643"/>
      <c r="R65" s="944">
        <f t="shared" si="16"/>
        <v>1.3978341308612089E-3</v>
      </c>
      <c r="S65" s="643"/>
      <c r="T65" s="702">
        <f t="shared" si="17"/>
        <v>8601.5751478793936</v>
      </c>
      <c r="U65" s="702"/>
      <c r="V65" s="643"/>
      <c r="W65" s="643"/>
      <c r="X65" s="703">
        <f t="shared" si="18"/>
        <v>8943.3338621518724</v>
      </c>
    </row>
    <row r="66" spans="1:24" s="97" customFormat="1" ht="15.6" hidden="1" x14ac:dyDescent="0.25">
      <c r="A66" s="48">
        <v>416.23</v>
      </c>
      <c r="B66" s="97" t="s">
        <v>171</v>
      </c>
      <c r="D66" s="638"/>
      <c r="E66" s="444"/>
      <c r="F66" s="944">
        <f t="shared" si="12"/>
        <v>0</v>
      </c>
      <c r="G66" s="643"/>
      <c r="H66" s="702">
        <f t="shared" si="13"/>
        <v>0</v>
      </c>
      <c r="I66" s="702"/>
      <c r="J66" s="643"/>
      <c r="K66" s="643"/>
      <c r="L66" s="703">
        <f t="shared" si="14"/>
        <v>0</v>
      </c>
      <c r="M66" s="720"/>
      <c r="N66" s="639">
        <f t="shared" si="15"/>
        <v>0</v>
      </c>
      <c r="O66" s="643"/>
      <c r="P66" s="643"/>
      <c r="Q66" s="643"/>
      <c r="R66" s="944">
        <f t="shared" si="16"/>
        <v>0</v>
      </c>
      <c r="S66" s="643"/>
      <c r="T66" s="702">
        <f t="shared" si="17"/>
        <v>0</v>
      </c>
      <c r="U66" s="702"/>
      <c r="V66" s="643"/>
      <c r="W66" s="643"/>
      <c r="X66" s="703">
        <f t="shared" si="18"/>
        <v>0</v>
      </c>
    </row>
    <row r="67" spans="1:24" s="97" customFormat="1" ht="15.6" hidden="1" x14ac:dyDescent="0.25">
      <c r="A67" s="48">
        <v>416.24</v>
      </c>
      <c r="B67" s="97" t="s">
        <v>172</v>
      </c>
      <c r="D67" s="638"/>
      <c r="E67" s="444"/>
      <c r="F67" s="944">
        <f t="shared" si="12"/>
        <v>0</v>
      </c>
      <c r="G67" s="643"/>
      <c r="H67" s="702">
        <f t="shared" si="13"/>
        <v>0</v>
      </c>
      <c r="I67" s="702"/>
      <c r="J67" s="643"/>
      <c r="K67" s="643"/>
      <c r="L67" s="703">
        <f t="shared" si="14"/>
        <v>0</v>
      </c>
      <c r="M67" s="720"/>
      <c r="N67" s="639">
        <f t="shared" si="15"/>
        <v>0</v>
      </c>
      <c r="O67" s="643"/>
      <c r="P67" s="643"/>
      <c r="Q67" s="643"/>
      <c r="R67" s="944">
        <f t="shared" si="16"/>
        <v>0</v>
      </c>
      <c r="S67" s="643"/>
      <c r="T67" s="702">
        <f t="shared" si="17"/>
        <v>0</v>
      </c>
      <c r="U67" s="702"/>
      <c r="V67" s="643"/>
      <c r="W67" s="643"/>
      <c r="X67" s="703">
        <f t="shared" si="18"/>
        <v>0</v>
      </c>
    </row>
    <row r="68" spans="1:24" s="97" customFormat="1" ht="15.6" hidden="1" x14ac:dyDescent="0.25">
      <c r="A68" s="48">
        <v>416.25</v>
      </c>
      <c r="B68" s="97" t="s">
        <v>173</v>
      </c>
      <c r="D68" s="638"/>
      <c r="E68" s="444"/>
      <c r="F68" s="944">
        <f t="shared" si="12"/>
        <v>0</v>
      </c>
      <c r="G68" s="643"/>
      <c r="H68" s="702">
        <f t="shared" si="13"/>
        <v>0</v>
      </c>
      <c r="I68" s="702"/>
      <c r="J68" s="643"/>
      <c r="K68" s="643"/>
      <c r="L68" s="703">
        <f t="shared" si="14"/>
        <v>0</v>
      </c>
      <c r="M68" s="720"/>
      <c r="N68" s="639">
        <f t="shared" si="15"/>
        <v>0</v>
      </c>
      <c r="O68" s="643"/>
      <c r="P68" s="643"/>
      <c r="Q68" s="643"/>
      <c r="R68" s="944">
        <f t="shared" si="16"/>
        <v>0</v>
      </c>
      <c r="S68" s="643"/>
      <c r="T68" s="702">
        <f t="shared" si="17"/>
        <v>0</v>
      </c>
      <c r="U68" s="702"/>
      <c r="V68" s="643"/>
      <c r="W68" s="643"/>
      <c r="X68" s="703">
        <f t="shared" si="18"/>
        <v>0</v>
      </c>
    </row>
    <row r="69" spans="1:24" s="97" customFormat="1" ht="15.6" hidden="1" x14ac:dyDescent="0.25">
      <c r="A69" s="48">
        <v>416.26</v>
      </c>
      <c r="B69" s="97" t="s">
        <v>174</v>
      </c>
      <c r="D69" s="638"/>
      <c r="E69" s="444"/>
      <c r="F69" s="944">
        <f t="shared" si="12"/>
        <v>0</v>
      </c>
      <c r="G69" s="643"/>
      <c r="H69" s="702">
        <f t="shared" si="13"/>
        <v>0</v>
      </c>
      <c r="I69" s="702"/>
      <c r="J69" s="643"/>
      <c r="K69" s="643"/>
      <c r="L69" s="703">
        <f t="shared" si="14"/>
        <v>0</v>
      </c>
      <c r="M69" s="720"/>
      <c r="N69" s="639">
        <f t="shared" si="15"/>
        <v>0</v>
      </c>
      <c r="O69" s="643"/>
      <c r="P69" s="643"/>
      <c r="Q69" s="643"/>
      <c r="R69" s="944">
        <f t="shared" si="16"/>
        <v>0</v>
      </c>
      <c r="S69" s="643"/>
      <c r="T69" s="702">
        <f t="shared" si="17"/>
        <v>0</v>
      </c>
      <c r="U69" s="702"/>
      <c r="V69" s="643"/>
      <c r="W69" s="643"/>
      <c r="X69" s="703">
        <f t="shared" si="18"/>
        <v>0</v>
      </c>
    </row>
    <row r="70" spans="1:24" s="97" customFormat="1" ht="15.6" hidden="1" x14ac:dyDescent="0.25">
      <c r="A70" s="48">
        <v>417.11</v>
      </c>
      <c r="B70" s="97" t="s">
        <v>175</v>
      </c>
      <c r="D70" s="638"/>
      <c r="E70" s="444"/>
      <c r="F70" s="944">
        <f t="shared" si="12"/>
        <v>0</v>
      </c>
      <c r="G70" s="643"/>
      <c r="H70" s="702">
        <f t="shared" si="13"/>
        <v>0</v>
      </c>
      <c r="I70" s="702"/>
      <c r="J70" s="643"/>
      <c r="K70" s="643"/>
      <c r="L70" s="703">
        <f t="shared" si="14"/>
        <v>0</v>
      </c>
      <c r="M70" s="720"/>
      <c r="N70" s="639">
        <f t="shared" si="15"/>
        <v>0</v>
      </c>
      <c r="O70" s="643"/>
      <c r="P70" s="643"/>
      <c r="Q70" s="643"/>
      <c r="R70" s="944">
        <f t="shared" si="16"/>
        <v>0</v>
      </c>
      <c r="S70" s="643"/>
      <c r="T70" s="702">
        <f t="shared" si="17"/>
        <v>0</v>
      </c>
      <c r="U70" s="702"/>
      <c r="V70" s="643"/>
      <c r="W70" s="643"/>
      <c r="X70" s="703">
        <f t="shared" si="18"/>
        <v>0</v>
      </c>
    </row>
    <row r="71" spans="1:24" s="97" customFormat="1" ht="15.6" hidden="1" x14ac:dyDescent="0.25">
      <c r="A71" s="48">
        <v>418.2</v>
      </c>
      <c r="B71" s="48" t="s">
        <v>176</v>
      </c>
      <c r="D71" s="638"/>
      <c r="E71" s="444"/>
      <c r="F71" s="944">
        <f t="shared" si="12"/>
        <v>0</v>
      </c>
      <c r="G71" s="945"/>
      <c r="H71" s="702">
        <f t="shared" si="13"/>
        <v>0</v>
      </c>
      <c r="I71" s="702"/>
      <c r="J71" s="643"/>
      <c r="K71" s="643"/>
      <c r="L71" s="703">
        <f t="shared" si="14"/>
        <v>0</v>
      </c>
      <c r="M71" s="720"/>
      <c r="N71" s="639">
        <f t="shared" si="15"/>
        <v>0</v>
      </c>
      <c r="O71" s="643"/>
      <c r="P71" s="643"/>
      <c r="Q71" s="643"/>
      <c r="R71" s="944">
        <f t="shared" si="16"/>
        <v>0</v>
      </c>
      <c r="S71" s="945"/>
      <c r="T71" s="702">
        <f t="shared" si="17"/>
        <v>0</v>
      </c>
      <c r="U71" s="702"/>
      <c r="V71" s="643"/>
      <c r="W71" s="643"/>
      <c r="X71" s="703">
        <f t="shared" si="18"/>
        <v>0</v>
      </c>
    </row>
    <row r="72" spans="1:24" s="97" customFormat="1" ht="15.6" hidden="1" x14ac:dyDescent="0.25">
      <c r="A72" s="48">
        <v>426.1</v>
      </c>
      <c r="B72" s="48" t="s">
        <v>290</v>
      </c>
      <c r="D72" s="638"/>
      <c r="E72" s="444"/>
      <c r="F72" s="944">
        <f t="shared" si="12"/>
        <v>0</v>
      </c>
      <c r="G72" s="643"/>
      <c r="H72" s="702">
        <f t="shared" si="13"/>
        <v>0</v>
      </c>
      <c r="I72" s="702"/>
      <c r="J72" s="643"/>
      <c r="K72" s="643"/>
      <c r="L72" s="703">
        <f t="shared" si="14"/>
        <v>0</v>
      </c>
      <c r="M72" s="720"/>
      <c r="N72" s="639">
        <f t="shared" si="15"/>
        <v>0</v>
      </c>
      <c r="O72" s="643"/>
      <c r="P72" s="643"/>
      <c r="Q72" s="643"/>
      <c r="R72" s="944">
        <f t="shared" si="16"/>
        <v>0</v>
      </c>
      <c r="S72" s="643"/>
      <c r="T72" s="702">
        <f t="shared" si="17"/>
        <v>0</v>
      </c>
      <c r="U72" s="702"/>
      <c r="V72" s="643"/>
      <c r="W72" s="643"/>
      <c r="X72" s="703">
        <f t="shared" si="18"/>
        <v>0</v>
      </c>
    </row>
    <row r="73" spans="1:24" s="97" customFormat="1" ht="15.6" hidden="1" x14ac:dyDescent="0.25">
      <c r="A73" s="48">
        <v>426.11</v>
      </c>
      <c r="B73" s="48" t="s">
        <v>177</v>
      </c>
      <c r="D73" s="638"/>
      <c r="E73" s="444"/>
      <c r="F73" s="944">
        <f t="shared" si="12"/>
        <v>0</v>
      </c>
      <c r="G73" s="643"/>
      <c r="H73" s="702">
        <f t="shared" si="13"/>
        <v>0</v>
      </c>
      <c r="I73" s="702"/>
      <c r="J73" s="643"/>
      <c r="K73" s="643"/>
      <c r="L73" s="703">
        <f t="shared" si="14"/>
        <v>0</v>
      </c>
      <c r="M73" s="720"/>
      <c r="N73" s="639">
        <f t="shared" si="15"/>
        <v>0</v>
      </c>
      <c r="O73" s="643"/>
      <c r="P73" s="643"/>
      <c r="Q73" s="643"/>
      <c r="R73" s="944">
        <f t="shared" si="16"/>
        <v>0</v>
      </c>
      <c r="S73" s="643"/>
      <c r="T73" s="702">
        <f t="shared" si="17"/>
        <v>0</v>
      </c>
      <c r="U73" s="702"/>
      <c r="V73" s="643"/>
      <c r="W73" s="643"/>
      <c r="X73" s="703">
        <f t="shared" si="18"/>
        <v>0</v>
      </c>
    </row>
    <row r="74" spans="1:24" s="97" customFormat="1" ht="15.6" x14ac:dyDescent="0.3">
      <c r="A74" s="48">
        <v>426.12</v>
      </c>
      <c r="B74" s="48" t="s">
        <v>178</v>
      </c>
      <c r="D74" s="638"/>
      <c r="E74" s="444"/>
      <c r="F74" s="944">
        <f t="shared" si="12"/>
        <v>0</v>
      </c>
      <c r="G74" s="643"/>
      <c r="H74" s="702">
        <f t="shared" si="13"/>
        <v>0</v>
      </c>
      <c r="I74" s="702"/>
      <c r="J74" s="540" t="s">
        <v>306</v>
      </c>
      <c r="K74" s="643"/>
      <c r="L74" s="703">
        <f t="shared" si="14"/>
        <v>0</v>
      </c>
      <c r="M74" s="720"/>
      <c r="N74" s="639">
        <f t="shared" si="15"/>
        <v>0</v>
      </c>
      <c r="O74" s="643"/>
      <c r="P74" s="643"/>
      <c r="Q74" s="643"/>
      <c r="R74" s="944">
        <f t="shared" si="16"/>
        <v>0</v>
      </c>
      <c r="S74" s="643"/>
      <c r="T74" s="702">
        <f t="shared" si="17"/>
        <v>0</v>
      </c>
      <c r="U74" s="702"/>
      <c r="V74" s="540" t="s">
        <v>306</v>
      </c>
      <c r="W74" s="643"/>
      <c r="X74" s="703">
        <f t="shared" si="18"/>
        <v>0</v>
      </c>
    </row>
    <row r="75" spans="1:24" s="97" customFormat="1" ht="15.6" x14ac:dyDescent="0.3">
      <c r="A75" s="48">
        <v>426.4</v>
      </c>
      <c r="B75" s="48" t="s">
        <v>110</v>
      </c>
      <c r="D75" s="638"/>
      <c r="E75" s="444"/>
      <c r="F75" s="944">
        <f t="shared" si="12"/>
        <v>0</v>
      </c>
      <c r="G75" s="643"/>
      <c r="H75" s="702">
        <f t="shared" si="13"/>
        <v>0</v>
      </c>
      <c r="I75" s="702"/>
      <c r="J75" s="540" t="s">
        <v>179</v>
      </c>
      <c r="K75" s="643"/>
      <c r="L75" s="703">
        <f t="shared" si="14"/>
        <v>0</v>
      </c>
      <c r="M75" s="720"/>
      <c r="N75" s="639">
        <f t="shared" si="15"/>
        <v>0</v>
      </c>
      <c r="O75" s="643"/>
      <c r="P75" s="643"/>
      <c r="Q75" s="643"/>
      <c r="R75" s="944">
        <f t="shared" si="16"/>
        <v>0</v>
      </c>
      <c r="S75" s="643"/>
      <c r="T75" s="702">
        <f t="shared" si="17"/>
        <v>0</v>
      </c>
      <c r="U75" s="702"/>
      <c r="V75" s="540" t="s">
        <v>179</v>
      </c>
      <c r="W75" s="643"/>
      <c r="X75" s="703">
        <f t="shared" si="18"/>
        <v>0</v>
      </c>
    </row>
    <row r="76" spans="1:24" s="97" customFormat="1" ht="15.6" x14ac:dyDescent="0.3">
      <c r="A76" s="48">
        <v>435.06</v>
      </c>
      <c r="B76" s="97" t="s">
        <v>180</v>
      </c>
      <c r="D76" s="638"/>
      <c r="E76" s="444"/>
      <c r="F76" s="944">
        <f t="shared" si="12"/>
        <v>0</v>
      </c>
      <c r="G76" s="945"/>
      <c r="H76" s="702">
        <f t="shared" si="13"/>
        <v>0</v>
      </c>
      <c r="I76" s="702"/>
      <c r="J76" s="645">
        <f>SUM(L62:L64)</f>
        <v>277.28778362622006</v>
      </c>
      <c r="K76" s="643"/>
      <c r="L76" s="703">
        <f t="shared" si="14"/>
        <v>0</v>
      </c>
      <c r="M76" s="720"/>
      <c r="N76" s="639">
        <f t="shared" si="15"/>
        <v>0</v>
      </c>
      <c r="O76" s="643"/>
      <c r="P76" s="643"/>
      <c r="Q76" s="643"/>
      <c r="R76" s="944">
        <f t="shared" si="16"/>
        <v>0</v>
      </c>
      <c r="S76" s="945"/>
      <c r="T76" s="702">
        <f t="shared" si="17"/>
        <v>0</v>
      </c>
      <c r="U76" s="702"/>
      <c r="V76" s="645">
        <f>SUM(X62:X64)</f>
        <v>300.23150160005139</v>
      </c>
      <c r="W76" s="643"/>
      <c r="X76" s="703">
        <f t="shared" si="18"/>
        <v>0</v>
      </c>
    </row>
    <row r="77" spans="1:24" s="97" customFormat="1" ht="15.6" x14ac:dyDescent="0.25">
      <c r="A77" s="48">
        <v>557.02</v>
      </c>
      <c r="B77" s="48" t="s">
        <v>366</v>
      </c>
      <c r="D77" s="638">
        <v>1651.12</v>
      </c>
      <c r="E77" s="444"/>
      <c r="F77" s="944">
        <f t="shared" si="12"/>
        <v>5.3612139664935949E-4</v>
      </c>
      <c r="G77" s="643"/>
      <c r="H77" s="702">
        <f t="shared" si="13"/>
        <v>3046.9123832106598</v>
      </c>
      <c r="I77" s="702"/>
      <c r="J77" s="643" t="s">
        <v>675</v>
      </c>
      <c r="K77" s="643"/>
      <c r="L77" s="703">
        <f t="shared" si="14"/>
        <v>3167.9726356277642</v>
      </c>
      <c r="M77" s="720"/>
      <c r="N77" s="639">
        <f t="shared" si="15"/>
        <v>1677.364917018436</v>
      </c>
      <c r="O77" s="643"/>
      <c r="P77" s="643"/>
      <c r="Q77" s="643"/>
      <c r="R77" s="944">
        <f t="shared" si="16"/>
        <v>5.361213966493596E-4</v>
      </c>
      <c r="S77" s="643"/>
      <c r="T77" s="702">
        <f t="shared" si="17"/>
        <v>3299.0240972470551</v>
      </c>
      <c r="U77" s="702"/>
      <c r="V77" s="643" t="s">
        <v>675</v>
      </c>
      <c r="W77" s="643"/>
      <c r="X77" s="703">
        <f t="shared" si="18"/>
        <v>3430.1012795590696</v>
      </c>
    </row>
    <row r="78" spans="1:24" s="97" customFormat="1" ht="15.6" x14ac:dyDescent="0.25">
      <c r="A78" s="48">
        <v>560.01</v>
      </c>
      <c r="B78" s="48" t="s">
        <v>367</v>
      </c>
      <c r="D78" s="638">
        <v>59.27</v>
      </c>
      <c r="E78" s="444"/>
      <c r="F78" s="944">
        <f t="shared" si="12"/>
        <v>1.9245067093492623E-5</v>
      </c>
      <c r="G78" s="643"/>
      <c r="H78" s="702">
        <f t="shared" si="13"/>
        <v>109.37454391739898</v>
      </c>
      <c r="I78" s="702"/>
      <c r="J78" s="702">
        <f>+L77</f>
        <v>3167.9726356277642</v>
      </c>
      <c r="K78" s="643"/>
      <c r="L78" s="703">
        <f t="shared" si="14"/>
        <v>113.72022512819031</v>
      </c>
      <c r="M78" s="720"/>
      <c r="N78" s="639">
        <f t="shared" si="15"/>
        <v>60.212109738651762</v>
      </c>
      <c r="O78" s="643"/>
      <c r="P78" s="643"/>
      <c r="Q78" s="643"/>
      <c r="R78" s="944">
        <f t="shared" si="16"/>
        <v>1.9245067093492623E-5</v>
      </c>
      <c r="S78" s="643"/>
      <c r="T78" s="702">
        <f t="shared" si="17"/>
        <v>118.42455923484238</v>
      </c>
      <c r="U78" s="702"/>
      <c r="V78" s="702">
        <f>+X77</f>
        <v>3430.1012795590696</v>
      </c>
      <c r="W78" s="643"/>
      <c r="X78" s="703">
        <f t="shared" si="18"/>
        <v>123.12981663323444</v>
      </c>
    </row>
    <row r="79" spans="1:24" s="97" customFormat="1" ht="15.6" x14ac:dyDescent="0.25">
      <c r="A79" s="411" t="s">
        <v>1180</v>
      </c>
      <c r="B79" s="48" t="s">
        <v>368</v>
      </c>
      <c r="D79" s="638"/>
      <c r="E79" s="444"/>
      <c r="F79" s="944">
        <f t="shared" si="12"/>
        <v>0</v>
      </c>
      <c r="G79" s="643"/>
      <c r="H79" s="702">
        <f t="shared" si="13"/>
        <v>0</v>
      </c>
      <c r="I79" s="702"/>
      <c r="J79" s="643"/>
      <c r="K79" s="643"/>
      <c r="L79" s="703">
        <f t="shared" si="14"/>
        <v>0</v>
      </c>
      <c r="M79" s="720"/>
      <c r="N79" s="639">
        <f t="shared" si="15"/>
        <v>0</v>
      </c>
      <c r="O79" s="643"/>
      <c r="P79" s="643"/>
      <c r="Q79" s="643"/>
      <c r="R79" s="944">
        <f t="shared" si="16"/>
        <v>0</v>
      </c>
      <c r="S79" s="643"/>
      <c r="T79" s="702">
        <f t="shared" si="17"/>
        <v>0</v>
      </c>
      <c r="U79" s="702"/>
      <c r="V79" s="643"/>
      <c r="W79" s="643"/>
      <c r="X79" s="703">
        <f t="shared" si="18"/>
        <v>0</v>
      </c>
    </row>
    <row r="80" spans="1:24" s="97" customFormat="1" ht="15.6" x14ac:dyDescent="0.25">
      <c r="A80" s="48">
        <v>569.01</v>
      </c>
      <c r="B80" s="411" t="s">
        <v>1414</v>
      </c>
      <c r="D80" s="638">
        <v>643.98</v>
      </c>
      <c r="E80" s="444"/>
      <c r="F80" s="944">
        <f t="shared" si="12"/>
        <v>2.0910137180474742E-4</v>
      </c>
      <c r="G80" s="643"/>
      <c r="H80" s="702">
        <f t="shared" si="13"/>
        <v>1188.3755490454969</v>
      </c>
      <c r="I80" s="702"/>
      <c r="J80" s="643"/>
      <c r="K80" s="643"/>
      <c r="L80" s="703">
        <f t="shared" si="14"/>
        <v>1235.592214915674</v>
      </c>
      <c r="M80" s="720"/>
      <c r="N80" s="639">
        <f t="shared" si="15"/>
        <v>654.21620431072995</v>
      </c>
      <c r="O80" s="643"/>
      <c r="P80" s="643"/>
      <c r="Q80" s="643"/>
      <c r="R80" s="944">
        <f t="shared" si="16"/>
        <v>2.0910137180474742E-4</v>
      </c>
      <c r="S80" s="643"/>
      <c r="T80" s="702">
        <f t="shared" si="17"/>
        <v>1286.7057137852842</v>
      </c>
      <c r="U80" s="702"/>
      <c r="V80" s="643"/>
      <c r="W80" s="643"/>
      <c r="X80" s="703">
        <f t="shared" si="18"/>
        <v>1337.8292443980145</v>
      </c>
    </row>
    <row r="81" spans="1:24" s="97" customFormat="1" ht="15.6" x14ac:dyDescent="0.25">
      <c r="A81" s="411">
        <v>571.02</v>
      </c>
      <c r="B81" s="411" t="s">
        <v>369</v>
      </c>
      <c r="D81" s="638">
        <v>1109.79</v>
      </c>
      <c r="E81" s="444"/>
      <c r="F81" s="944">
        <f t="shared" si="12"/>
        <v>3.6035064973320697E-4</v>
      </c>
      <c r="G81" s="643"/>
      <c r="H81" s="702">
        <f t="shared" si="13"/>
        <v>2047.9631363943008</v>
      </c>
      <c r="I81" s="702"/>
      <c r="J81" s="643" t="s">
        <v>674</v>
      </c>
      <c r="K81" s="643"/>
      <c r="L81" s="703">
        <f t="shared" si="14"/>
        <v>2129.3330292730607</v>
      </c>
      <c r="M81" s="720"/>
      <c r="N81" s="639">
        <f t="shared" si="15"/>
        <v>1127.4303571260054</v>
      </c>
      <c r="O81" s="643"/>
      <c r="P81" s="643"/>
      <c r="Q81" s="643"/>
      <c r="R81" s="944">
        <f t="shared" si="16"/>
        <v>3.6035064973320702E-4</v>
      </c>
      <c r="S81" s="643"/>
      <c r="T81" s="702">
        <f t="shared" si="17"/>
        <v>2217.4184510416017</v>
      </c>
      <c r="U81" s="702"/>
      <c r="V81" s="643" t="s">
        <v>674</v>
      </c>
      <c r="W81" s="643"/>
      <c r="X81" s="703">
        <f t="shared" si="18"/>
        <v>2305.5211608131813</v>
      </c>
    </row>
    <row r="82" spans="1:24" s="97" customFormat="1" ht="15.6" x14ac:dyDescent="0.25">
      <c r="A82" s="48">
        <v>571.04</v>
      </c>
      <c r="B82" s="48" t="s">
        <v>371</v>
      </c>
      <c r="D82" s="638">
        <v>1604.15</v>
      </c>
      <c r="E82" s="444"/>
      <c r="F82" s="944">
        <f t="shared" si="12"/>
        <v>5.2087015991270785E-4</v>
      </c>
      <c r="G82" s="643"/>
      <c r="H82" s="702">
        <f t="shared" si="13"/>
        <v>2960.2357790635324</v>
      </c>
      <c r="I82" s="702"/>
      <c r="J82" s="702">
        <f>SUM(L78:L82)</f>
        <v>6556.4976565851302</v>
      </c>
      <c r="K82" s="643"/>
      <c r="L82" s="703">
        <f t="shared" si="14"/>
        <v>3077.8521872682045</v>
      </c>
      <c r="M82" s="720"/>
      <c r="N82" s="639">
        <f t="shared" si="15"/>
        <v>1629.6483184960052</v>
      </c>
      <c r="O82" s="643"/>
      <c r="P82" s="643"/>
      <c r="Q82" s="643"/>
      <c r="R82" s="944">
        <f t="shared" si="16"/>
        <v>5.2087015991270785E-4</v>
      </c>
      <c r="S82" s="643"/>
      <c r="T82" s="702">
        <f t="shared" si="17"/>
        <v>3205.1755811805706</v>
      </c>
      <c r="U82" s="702"/>
      <c r="V82" s="702">
        <f>SUM(X78:X82)</f>
        <v>7099.0041859443636</v>
      </c>
      <c r="W82" s="643"/>
      <c r="X82" s="703">
        <f t="shared" si="18"/>
        <v>3332.5239640999334</v>
      </c>
    </row>
    <row r="83" spans="1:24" s="97" customFormat="1" ht="15.6" x14ac:dyDescent="0.25">
      <c r="A83" s="533" t="s">
        <v>1179</v>
      </c>
      <c r="B83" s="332" t="s">
        <v>751</v>
      </c>
      <c r="C83" s="333"/>
      <c r="D83" s="638">
        <f>27359.21+958.25</f>
        <v>28317.46</v>
      </c>
      <c r="E83" s="595"/>
      <c r="F83" s="948">
        <f t="shared" si="12"/>
        <v>9.1947261281810962E-3</v>
      </c>
      <c r="G83" s="756"/>
      <c r="H83" s="938">
        <f t="shared" si="13"/>
        <v>52255.935083502423</v>
      </c>
      <c r="I83" s="938"/>
      <c r="J83" s="756"/>
      <c r="K83" s="756"/>
      <c r="L83" s="951">
        <f t="shared" si="14"/>
        <v>54332.173549156803</v>
      </c>
      <c r="M83" s="720"/>
      <c r="N83" s="639">
        <f t="shared" si="15"/>
        <v>28767.57228007224</v>
      </c>
      <c r="O83" s="643"/>
      <c r="P83" s="643"/>
      <c r="Q83" s="643"/>
      <c r="R83" s="944">
        <f t="shared" si="16"/>
        <v>9.1947261281810962E-3</v>
      </c>
      <c r="S83" s="643"/>
      <c r="T83" s="702">
        <f t="shared" si="17"/>
        <v>56579.765803109149</v>
      </c>
      <c r="U83" s="702"/>
      <c r="V83" s="643"/>
      <c r="W83" s="643"/>
      <c r="X83" s="703">
        <f t="shared" si="18"/>
        <v>58827.799178656162</v>
      </c>
    </row>
    <row r="84" spans="1:24" s="97" customFormat="1" ht="15.6" x14ac:dyDescent="0.25">
      <c r="A84" s="418">
        <v>541.01</v>
      </c>
      <c r="B84" s="332" t="s">
        <v>478</v>
      </c>
      <c r="C84" s="333"/>
      <c r="D84" s="638">
        <v>1613.57</v>
      </c>
      <c r="E84" s="595"/>
      <c r="F84" s="948">
        <f t="shared" si="12"/>
        <v>5.239288495030688E-4</v>
      </c>
      <c r="G84" s="756"/>
      <c r="H84" s="938">
        <f t="shared" si="13"/>
        <v>2977.619079277838</v>
      </c>
      <c r="I84" s="938"/>
      <c r="J84" s="756"/>
      <c r="K84" s="756"/>
      <c r="L84" s="951">
        <f t="shared" si="14"/>
        <v>3095.9261626471066</v>
      </c>
      <c r="M84" s="720"/>
      <c r="N84" s="639">
        <f t="shared" si="15"/>
        <v>1639.2180514762329</v>
      </c>
      <c r="O84" s="643"/>
      <c r="P84" s="643"/>
      <c r="Q84" s="643"/>
      <c r="R84" s="944">
        <f t="shared" si="16"/>
        <v>5.239288495030688E-4</v>
      </c>
      <c r="S84" s="643"/>
      <c r="T84" s="702">
        <f t="shared" si="17"/>
        <v>3223.99723375341</v>
      </c>
      <c r="U84" s="702"/>
      <c r="V84" s="643"/>
      <c r="W84" s="643"/>
      <c r="X84" s="703">
        <f t="shared" si="18"/>
        <v>3352.0934406088763</v>
      </c>
    </row>
    <row r="85" spans="1:24" s="97" customFormat="1" ht="15.6" x14ac:dyDescent="0.25">
      <c r="A85" s="332">
        <v>535.01</v>
      </c>
      <c r="B85" s="418" t="s">
        <v>1413</v>
      </c>
      <c r="C85" s="333"/>
      <c r="D85" s="638">
        <v>949.04</v>
      </c>
      <c r="E85" s="595"/>
      <c r="F85" s="948">
        <f t="shared" si="12"/>
        <v>3.081548586875019E-4</v>
      </c>
      <c r="G85" s="756"/>
      <c r="H85" s="938">
        <f t="shared" si="13"/>
        <v>1751.3213625673752</v>
      </c>
      <c r="I85" s="938"/>
      <c r="J85" s="756"/>
      <c r="K85" s="756"/>
      <c r="L85" s="951">
        <f t="shared" si="14"/>
        <v>1820.905052398477</v>
      </c>
      <c r="M85" s="720"/>
      <c r="N85" s="639">
        <f t="shared" si="15"/>
        <v>964.12520037742661</v>
      </c>
      <c r="O85" s="643"/>
      <c r="P85" s="643"/>
      <c r="Q85" s="643"/>
      <c r="R85" s="944">
        <f t="shared" si="16"/>
        <v>3.0815485868750195E-4</v>
      </c>
      <c r="S85" s="643"/>
      <c r="T85" s="702">
        <f t="shared" si="17"/>
        <v>1896.2315454063578</v>
      </c>
      <c r="U85" s="702"/>
      <c r="V85" s="643"/>
      <c r="W85" s="643"/>
      <c r="X85" s="703">
        <f t="shared" si="18"/>
        <v>1971.5728222980399</v>
      </c>
    </row>
    <row r="86" spans="1:24" s="97" customFormat="1" ht="15.6" x14ac:dyDescent="0.25">
      <c r="A86" s="332">
        <v>543.01</v>
      </c>
      <c r="B86" s="332" t="s">
        <v>480</v>
      </c>
      <c r="C86" s="333"/>
      <c r="D86" s="638">
        <v>185.37</v>
      </c>
      <c r="E86" s="595"/>
      <c r="F86" s="948">
        <f t="shared" si="12"/>
        <v>6.0189945792487387E-5</v>
      </c>
      <c r="G86" s="756"/>
      <c r="H86" s="938">
        <f t="shared" si="13"/>
        <v>342.07456058660784</v>
      </c>
      <c r="I86" s="938"/>
      <c r="J86" s="756" t="s">
        <v>673</v>
      </c>
      <c r="K86" s="756"/>
      <c r="L86" s="951">
        <f t="shared" si="14"/>
        <v>355.66590403260733</v>
      </c>
      <c r="M86" s="720"/>
      <c r="N86" s="639">
        <f t="shared" si="15"/>
        <v>188.31649708543745</v>
      </c>
      <c r="O86" s="643"/>
      <c r="P86" s="643"/>
      <c r="Q86" s="643"/>
      <c r="R86" s="944">
        <f t="shared" si="16"/>
        <v>6.0189945792487387E-5</v>
      </c>
      <c r="S86" s="643"/>
      <c r="T86" s="702">
        <f t="shared" si="17"/>
        <v>370.3789530177616</v>
      </c>
      <c r="U86" s="702"/>
      <c r="V86" s="643" t="s">
        <v>673</v>
      </c>
      <c r="W86" s="643"/>
      <c r="X86" s="703">
        <f t="shared" si="18"/>
        <v>385.09488964573421</v>
      </c>
    </row>
    <row r="87" spans="1:24" s="97" customFormat="1" ht="15.6" x14ac:dyDescent="0.25">
      <c r="A87" s="457" t="s">
        <v>627</v>
      </c>
      <c r="B87" s="332" t="s">
        <v>752</v>
      </c>
      <c r="C87" s="333"/>
      <c r="D87" s="638">
        <v>253.7</v>
      </c>
      <c r="E87" s="595"/>
      <c r="F87" s="948">
        <f t="shared" si="12"/>
        <v>8.23768098805311E-5</v>
      </c>
      <c r="G87" s="756"/>
      <c r="H87" s="938">
        <f t="shared" si="13"/>
        <v>468.16807477381678</v>
      </c>
      <c r="I87" s="938"/>
      <c r="J87" s="938">
        <f>SUM(L83:L87)</f>
        <v>60091.440047600976</v>
      </c>
      <c r="K87" s="756"/>
      <c r="L87" s="951">
        <f t="shared" si="14"/>
        <v>486.76937936598415</v>
      </c>
      <c r="M87" s="720"/>
      <c r="N87" s="639">
        <f t="shared" si="15"/>
        <v>257.73261752481778</v>
      </c>
      <c r="O87" s="643"/>
      <c r="P87" s="643"/>
      <c r="Q87" s="643"/>
      <c r="R87" s="944">
        <f t="shared" si="16"/>
        <v>8.2376809880531086E-5</v>
      </c>
      <c r="S87" s="643"/>
      <c r="T87" s="702">
        <f t="shared" si="17"/>
        <v>506.90586600100397</v>
      </c>
      <c r="U87" s="702"/>
      <c r="V87" s="702">
        <f>SUM(X83:X87)</f>
        <v>65063.60663591358</v>
      </c>
      <c r="W87" s="643"/>
      <c r="X87" s="703">
        <f t="shared" si="18"/>
        <v>527.04630470476752</v>
      </c>
    </row>
    <row r="88" spans="1:24" s="97" customFormat="1" ht="15.6" x14ac:dyDescent="0.25">
      <c r="A88" s="48">
        <v>580.01</v>
      </c>
      <c r="B88" s="48" t="s">
        <v>372</v>
      </c>
      <c r="D88" s="638">
        <v>94801.42</v>
      </c>
      <c r="E88" s="444"/>
      <c r="F88" s="944">
        <f t="shared" si="12"/>
        <v>3.0782177972977446E-2</v>
      </c>
      <c r="G88" s="643"/>
      <c r="H88" s="702">
        <f t="shared" si="13"/>
        <v>174942.83912977536</v>
      </c>
      <c r="I88" s="702"/>
      <c r="J88" s="643"/>
      <c r="K88" s="643"/>
      <c r="L88" s="703">
        <f t="shared" si="14"/>
        <v>181893.68693895938</v>
      </c>
      <c r="M88" s="720"/>
      <c r="N88" s="639">
        <f t="shared" si="15"/>
        <v>96308.309505989804</v>
      </c>
      <c r="O88" s="643"/>
      <c r="P88" s="643"/>
      <c r="Q88" s="643"/>
      <c r="R88" s="944">
        <f t="shared" si="16"/>
        <v>3.0782177972977446E-2</v>
      </c>
      <c r="S88" s="643"/>
      <c r="T88" s="702">
        <f t="shared" si="17"/>
        <v>189418.1943367162</v>
      </c>
      <c r="U88" s="702"/>
      <c r="V88" s="643"/>
      <c r="W88" s="643"/>
      <c r="X88" s="703">
        <f t="shared" si="18"/>
        <v>196944.17852489022</v>
      </c>
    </row>
    <row r="89" spans="1:24" s="97" customFormat="1" ht="15.6" x14ac:dyDescent="0.25">
      <c r="A89" s="48">
        <v>582.01</v>
      </c>
      <c r="B89" s="48" t="s">
        <v>373</v>
      </c>
      <c r="D89" s="638">
        <v>21488.080000000002</v>
      </c>
      <c r="E89" s="444"/>
      <c r="F89" s="944">
        <f t="shared" si="12"/>
        <v>6.9772151393679262E-3</v>
      </c>
      <c r="G89" s="643"/>
      <c r="H89" s="702">
        <f t="shared" si="13"/>
        <v>39653.263871445633</v>
      </c>
      <c r="I89" s="702"/>
      <c r="J89" s="643"/>
      <c r="K89" s="643"/>
      <c r="L89" s="703">
        <f t="shared" si="14"/>
        <v>41228.771641177045</v>
      </c>
      <c r="M89" s="720"/>
      <c r="N89" s="639">
        <f t="shared" si="15"/>
        <v>21829.637776833613</v>
      </c>
      <c r="O89" s="643"/>
      <c r="P89" s="643"/>
      <c r="Q89" s="643"/>
      <c r="R89" s="944">
        <f t="shared" si="16"/>
        <v>6.9772151393679262E-3</v>
      </c>
      <c r="S89" s="643"/>
      <c r="T89" s="702">
        <f t="shared" si="17"/>
        <v>42934.307454075111</v>
      </c>
      <c r="U89" s="702"/>
      <c r="V89" s="643"/>
      <c r="W89" s="643"/>
      <c r="X89" s="703">
        <f t="shared" si="18"/>
        <v>44640.178002366665</v>
      </c>
    </row>
    <row r="90" spans="1:24" s="97" customFormat="1" ht="15.6" x14ac:dyDescent="0.25">
      <c r="A90" s="48">
        <v>583.01</v>
      </c>
      <c r="B90" s="48" t="s">
        <v>374</v>
      </c>
      <c r="D90" s="638">
        <v>17359.080000000002</v>
      </c>
      <c r="E90" s="444"/>
      <c r="F90" s="944">
        <f t="shared" si="12"/>
        <v>5.6365220057584941E-3</v>
      </c>
      <c r="G90" s="643"/>
      <c r="H90" s="702">
        <f t="shared" si="13"/>
        <v>32033.768480270664</v>
      </c>
      <c r="I90" s="702"/>
      <c r="J90" s="643" t="s">
        <v>1364</v>
      </c>
      <c r="K90" s="643"/>
      <c r="L90" s="703">
        <f t="shared" si="14"/>
        <v>33306.537634861917</v>
      </c>
      <c r="M90" s="720"/>
      <c r="N90" s="639">
        <f t="shared" si="15"/>
        <v>17635.006410022528</v>
      </c>
      <c r="O90" s="643"/>
      <c r="P90" s="643"/>
      <c r="Q90" s="643"/>
      <c r="R90" s="944">
        <f t="shared" si="16"/>
        <v>5.636522005758495E-3</v>
      </c>
      <c r="S90" s="643"/>
      <c r="T90" s="702">
        <f t="shared" si="17"/>
        <v>34684.349548209342</v>
      </c>
      <c r="U90" s="702"/>
      <c r="V90" s="643"/>
      <c r="W90" s="643"/>
      <c r="X90" s="703">
        <f t="shared" si="18"/>
        <v>36062.431876525181</v>
      </c>
    </row>
    <row r="91" spans="1:24" s="97" customFormat="1" ht="15.6" x14ac:dyDescent="0.25">
      <c r="A91" s="48">
        <v>583.02</v>
      </c>
      <c r="B91" s="48" t="s">
        <v>375</v>
      </c>
      <c r="D91" s="638">
        <v>2286.42</v>
      </c>
      <c r="E91" s="444"/>
      <c r="F91" s="944">
        <f t="shared" si="12"/>
        <v>7.4240435808846632E-4</v>
      </c>
      <c r="G91" s="643"/>
      <c r="H91" s="702">
        <f t="shared" si="13"/>
        <v>4219.2701991499807</v>
      </c>
      <c r="I91" s="702"/>
      <c r="J91" s="702">
        <f>+L75</f>
        <v>0</v>
      </c>
      <c r="K91" s="643"/>
      <c r="L91" s="703">
        <f t="shared" si="14"/>
        <v>4386.910699132729</v>
      </c>
      <c r="M91" s="720"/>
      <c r="N91" s="639">
        <f t="shared" si="15"/>
        <v>2322.7631508123532</v>
      </c>
      <c r="O91" s="643"/>
      <c r="P91" s="643"/>
      <c r="Q91" s="643"/>
      <c r="R91" s="944">
        <f t="shared" si="16"/>
        <v>7.4240435808846643E-4</v>
      </c>
      <c r="S91" s="643"/>
      <c r="T91" s="702">
        <f t="shared" si="17"/>
        <v>4568.3867171541806</v>
      </c>
      <c r="U91" s="702"/>
      <c r="V91" s="643"/>
      <c r="W91" s="643"/>
      <c r="X91" s="703">
        <f t="shared" si="18"/>
        <v>4749.8983523968254</v>
      </c>
    </row>
    <row r="92" spans="1:24" s="97" customFormat="1" ht="15.6" x14ac:dyDescent="0.25">
      <c r="A92" s="48">
        <v>583.03</v>
      </c>
      <c r="B92" s="97" t="s">
        <v>376</v>
      </c>
      <c r="D92" s="638">
        <v>8839.2999999999993</v>
      </c>
      <c r="E92" s="444"/>
      <c r="F92" s="944">
        <f t="shared" si="12"/>
        <v>2.8701353392864741E-3</v>
      </c>
      <c r="G92" s="643"/>
      <c r="H92" s="702">
        <f t="shared" si="13"/>
        <v>16311.699106614893</v>
      </c>
      <c r="I92" s="702"/>
      <c r="J92" s="643"/>
      <c r="K92" s="643"/>
      <c r="L92" s="703">
        <f t="shared" si="14"/>
        <v>16959.797300077822</v>
      </c>
      <c r="M92" s="720"/>
      <c r="N92" s="639">
        <f t="shared" si="15"/>
        <v>8979.8026254912184</v>
      </c>
      <c r="O92" s="643"/>
      <c r="P92" s="643"/>
      <c r="Q92" s="643"/>
      <c r="R92" s="944">
        <f t="shared" si="16"/>
        <v>2.8701353392864741E-3</v>
      </c>
      <c r="S92" s="643"/>
      <c r="T92" s="702">
        <f t="shared" si="17"/>
        <v>17661.383607972704</v>
      </c>
      <c r="U92" s="702"/>
      <c r="V92" s="643"/>
      <c r="W92" s="643"/>
      <c r="X92" s="703">
        <f t="shared" si="18"/>
        <v>18363.107612049083</v>
      </c>
    </row>
    <row r="93" spans="1:24" s="97" customFormat="1" ht="15.6" x14ac:dyDescent="0.25">
      <c r="A93" s="456" t="s">
        <v>866</v>
      </c>
      <c r="B93" s="48" t="s">
        <v>753</v>
      </c>
      <c r="D93" s="638">
        <f>10584.57+18017.07</f>
        <v>28601.64</v>
      </c>
      <c r="E93" s="444"/>
      <c r="F93" s="944">
        <f t="shared" si="12"/>
        <v>9.2869998445068713E-3</v>
      </c>
      <c r="G93" s="643"/>
      <c r="H93" s="702">
        <f t="shared" si="13"/>
        <v>52780.349760243545</v>
      </c>
      <c r="I93" s="702"/>
      <c r="J93" s="643"/>
      <c r="K93" s="643"/>
      <c r="L93" s="703">
        <f t="shared" si="14"/>
        <v>54877.424326564069</v>
      </c>
      <c r="M93" s="720"/>
      <c r="N93" s="639">
        <f>+(D93/($D$193-D$55))*$N$194</f>
        <v>29056.269383927985</v>
      </c>
      <c r="O93" s="643"/>
      <c r="P93" s="643"/>
      <c r="Q93" s="643"/>
      <c r="R93" s="944">
        <f t="shared" si="16"/>
        <v>9.2869998445068713E-3</v>
      </c>
      <c r="S93" s="643"/>
      <c r="T93" s="702">
        <f t="shared" si="17"/>
        <v>57147.572302912711</v>
      </c>
      <c r="U93" s="702"/>
      <c r="V93" s="643"/>
      <c r="W93" s="643"/>
      <c r="X93" s="703">
        <f t="shared" si="18"/>
        <v>59418.165827733807</v>
      </c>
    </row>
    <row r="94" spans="1:24" s="97" customFormat="1" ht="15.6" x14ac:dyDescent="0.25">
      <c r="A94" s="48">
        <v>583.05999999999995</v>
      </c>
      <c r="B94" s="97" t="s">
        <v>378</v>
      </c>
      <c r="D94" s="638">
        <v>607.07000000000005</v>
      </c>
      <c r="E94" s="444"/>
      <c r="F94" s="944">
        <f t="shared" si="12"/>
        <v>1.9711663371767447E-4</v>
      </c>
      <c r="G94" s="643"/>
      <c r="H94" s="702">
        <f t="shared" si="13"/>
        <v>1120.263276125112</v>
      </c>
      <c r="I94" s="702"/>
      <c r="J94" s="643"/>
      <c r="K94" s="643"/>
      <c r="L94" s="703">
        <f t="shared" si="14"/>
        <v>1164.7736977994007</v>
      </c>
      <c r="M94" s="720"/>
      <c r="N94" s="639">
        <f t="shared" si="15"/>
        <v>616.71951170985881</v>
      </c>
      <c r="O94" s="643"/>
      <c r="P94" s="643"/>
      <c r="Q94" s="643"/>
      <c r="R94" s="944">
        <f t="shared" si="16"/>
        <v>1.971166337176745E-4</v>
      </c>
      <c r="S94" s="643"/>
      <c r="T94" s="702">
        <f t="shared" si="17"/>
        <v>1212.9576037573102</v>
      </c>
      <c r="U94" s="702"/>
      <c r="V94" s="643"/>
      <c r="W94" s="643"/>
      <c r="X94" s="703">
        <f t="shared" si="18"/>
        <v>1261.1509664845223</v>
      </c>
    </row>
    <row r="95" spans="1:24" s="97" customFormat="1" ht="15.6" x14ac:dyDescent="0.25">
      <c r="A95" s="48">
        <v>584.01</v>
      </c>
      <c r="B95" s="48" t="s">
        <v>379</v>
      </c>
      <c r="D95" s="638">
        <v>536.65</v>
      </c>
      <c r="E95" s="444"/>
      <c r="F95" s="944">
        <f t="shared" si="12"/>
        <v>1.7425114317062284E-4</v>
      </c>
      <c r="G95" s="643"/>
      <c r="H95" s="702">
        <f t="shared" si="13"/>
        <v>990.31295753791392</v>
      </c>
      <c r="I95" s="702"/>
      <c r="J95" s="643"/>
      <c r="K95" s="643"/>
      <c r="L95" s="703">
        <f t="shared" si="14"/>
        <v>1029.6601790963948</v>
      </c>
      <c r="M95" s="720"/>
      <c r="N95" s="639">
        <f t="shared" si="15"/>
        <v>545.18017025894153</v>
      </c>
      <c r="O95" s="643"/>
      <c r="P95" s="643"/>
      <c r="Q95" s="643"/>
      <c r="R95" s="944">
        <f t="shared" si="16"/>
        <v>1.7425114317062281E-4</v>
      </c>
      <c r="S95" s="643"/>
      <c r="T95" s="702">
        <f t="shared" si="17"/>
        <v>1072.2547614877367</v>
      </c>
      <c r="U95" s="702"/>
      <c r="V95" s="643"/>
      <c r="W95" s="643"/>
      <c r="X95" s="703">
        <f t="shared" si="18"/>
        <v>1114.857703665012</v>
      </c>
    </row>
    <row r="96" spans="1:24" s="97" customFormat="1" ht="15.6" x14ac:dyDescent="0.25">
      <c r="A96" s="48">
        <v>584.02</v>
      </c>
      <c r="B96" s="48" t="s">
        <v>754</v>
      </c>
      <c r="D96" s="638"/>
      <c r="E96" s="444"/>
      <c r="F96" s="944">
        <f t="shared" si="12"/>
        <v>0</v>
      </c>
      <c r="G96" s="643"/>
      <c r="H96" s="702">
        <f t="shared" si="13"/>
        <v>0</v>
      </c>
      <c r="I96" s="702"/>
      <c r="J96" s="643"/>
      <c r="K96" s="643"/>
      <c r="L96" s="703">
        <f t="shared" si="14"/>
        <v>0</v>
      </c>
      <c r="M96" s="720"/>
      <c r="N96" s="639">
        <f t="shared" si="15"/>
        <v>0</v>
      </c>
      <c r="O96" s="643"/>
      <c r="P96" s="643"/>
      <c r="Q96" s="643"/>
      <c r="R96" s="944">
        <f t="shared" si="16"/>
        <v>0</v>
      </c>
      <c r="S96" s="643"/>
      <c r="T96" s="702">
        <f t="shared" si="17"/>
        <v>0</v>
      </c>
      <c r="U96" s="702"/>
      <c r="V96" s="643"/>
      <c r="W96" s="643"/>
      <c r="X96" s="703">
        <f t="shared" si="18"/>
        <v>0</v>
      </c>
    </row>
    <row r="97" spans="1:24" s="97" customFormat="1" ht="15.6" x14ac:dyDescent="0.25">
      <c r="A97" s="48">
        <v>586.01</v>
      </c>
      <c r="B97" s="48" t="s">
        <v>381</v>
      </c>
      <c r="D97" s="638">
        <v>24794.720000000001</v>
      </c>
      <c r="E97" s="444"/>
      <c r="F97" s="944">
        <f t="shared" si="12"/>
        <v>8.0508866199487661E-3</v>
      </c>
      <c r="G97" s="643"/>
      <c r="H97" s="702">
        <f t="shared" si="13"/>
        <v>45755.208226077455</v>
      </c>
      <c r="I97" s="702"/>
      <c r="J97" s="643"/>
      <c r="K97" s="643"/>
      <c r="L97" s="703">
        <f t="shared" si="14"/>
        <v>47573.159109000211</v>
      </c>
      <c r="M97" s="720"/>
      <c r="N97" s="639">
        <f t="shared" si="15"/>
        <v>25188.837549842141</v>
      </c>
      <c r="O97" s="643"/>
      <c r="P97" s="643"/>
      <c r="Q97" s="643"/>
      <c r="R97" s="944">
        <f t="shared" si="16"/>
        <v>8.0508866199487678E-3</v>
      </c>
      <c r="S97" s="643"/>
      <c r="T97" s="702">
        <f t="shared" si="17"/>
        <v>49541.147078645707</v>
      </c>
      <c r="U97" s="702"/>
      <c r="V97" s="643"/>
      <c r="W97" s="643"/>
      <c r="X97" s="703">
        <f t="shared" si="18"/>
        <v>51509.521293612124</v>
      </c>
    </row>
    <row r="98" spans="1:24" s="97" customFormat="1" ht="15.6" x14ac:dyDescent="0.25">
      <c r="A98" s="48">
        <v>586.04999999999995</v>
      </c>
      <c r="B98" s="48" t="s">
        <v>755</v>
      </c>
      <c r="D98" s="638">
        <v>683.23</v>
      </c>
      <c r="E98" s="444"/>
      <c r="F98" s="944">
        <f t="shared" si="12"/>
        <v>2.2184591176458519E-4</v>
      </c>
      <c r="G98" s="643"/>
      <c r="H98" s="702">
        <f t="shared" si="13"/>
        <v>1260.8059666051038</v>
      </c>
      <c r="I98" s="702"/>
      <c r="J98" s="643"/>
      <c r="K98" s="643"/>
      <c r="L98" s="703">
        <f t="shared" si="14"/>
        <v>1310.900445661101</v>
      </c>
      <c r="M98" s="720"/>
      <c r="N98" s="639">
        <f t="shared" si="15"/>
        <v>694.09009172834556</v>
      </c>
      <c r="O98" s="643"/>
      <c r="P98" s="643"/>
      <c r="Q98" s="643"/>
      <c r="R98" s="944">
        <f t="shared" si="16"/>
        <v>2.2184591176458519E-4</v>
      </c>
      <c r="S98" s="643"/>
      <c r="T98" s="702">
        <f t="shared" si="17"/>
        <v>1365.1292661721166</v>
      </c>
      <c r="U98" s="702"/>
      <c r="V98" s="643"/>
      <c r="W98" s="643"/>
      <c r="X98" s="703">
        <f t="shared" si="18"/>
        <v>1419.3687298519446</v>
      </c>
    </row>
    <row r="99" spans="1:24" s="97" customFormat="1" ht="15.6" x14ac:dyDescent="0.25">
      <c r="A99" s="48">
        <v>587.01</v>
      </c>
      <c r="B99" s="48" t="s">
        <v>382</v>
      </c>
      <c r="D99" s="638">
        <f>69592.96+89.34</f>
        <v>69682.3</v>
      </c>
      <c r="E99" s="444"/>
      <c r="F99" s="944">
        <f t="shared" si="12"/>
        <v>2.2625958136137693E-2</v>
      </c>
      <c r="G99" s="643"/>
      <c r="H99" s="702">
        <f t="shared" si="13"/>
        <v>128588.99580926896</v>
      </c>
      <c r="I99" s="702"/>
      <c r="J99" s="643"/>
      <c r="K99" s="643"/>
      <c r="L99" s="703">
        <f t="shared" si="14"/>
        <v>133698.10770119954</v>
      </c>
      <c r="M99" s="720"/>
      <c r="N99" s="639">
        <f t="shared" si="15"/>
        <v>70789.915546510107</v>
      </c>
      <c r="O99" s="643"/>
      <c r="P99" s="643"/>
      <c r="Q99" s="643"/>
      <c r="R99" s="944">
        <f t="shared" si="16"/>
        <v>2.2625958136137693E-2</v>
      </c>
      <c r="S99" s="643"/>
      <c r="T99" s="702">
        <f t="shared" si="17"/>
        <v>139228.87909515871</v>
      </c>
      <c r="U99" s="702"/>
      <c r="V99" s="643"/>
      <c r="W99" s="643"/>
      <c r="X99" s="703">
        <f t="shared" si="18"/>
        <v>144760.73598080027</v>
      </c>
    </row>
    <row r="100" spans="1:24" s="97" customFormat="1" ht="15.6" x14ac:dyDescent="0.25">
      <c r="A100" s="48">
        <v>588.01</v>
      </c>
      <c r="B100" s="48" t="s">
        <v>383</v>
      </c>
      <c r="D100" s="638">
        <v>21489.84</v>
      </c>
      <c r="E100" s="444"/>
      <c r="F100" s="944">
        <f t="shared" si="12"/>
        <v>6.9777866142807744E-3</v>
      </c>
      <c r="G100" s="643"/>
      <c r="H100" s="702">
        <f t="shared" si="13"/>
        <v>39656.511706729834</v>
      </c>
      <c r="I100" s="702"/>
      <c r="J100" s="643"/>
      <c r="K100" s="643"/>
      <c r="L100" s="703">
        <f t="shared" si="14"/>
        <v>41232.148519804105</v>
      </c>
      <c r="M100" s="720"/>
      <c r="N100" s="639">
        <f t="shared" si="15"/>
        <v>21831.425752422278</v>
      </c>
      <c r="O100" s="643"/>
      <c r="P100" s="643"/>
      <c r="Q100" s="643"/>
      <c r="R100" s="944">
        <f t="shared" si="16"/>
        <v>6.9777866142807753E-3</v>
      </c>
      <c r="S100" s="643"/>
      <c r="T100" s="702">
        <f t="shared" si="17"/>
        <v>42937.824026105707</v>
      </c>
      <c r="U100" s="702"/>
      <c r="V100" s="643"/>
      <c r="W100" s="643"/>
      <c r="X100" s="703">
        <f t="shared" si="18"/>
        <v>44643.834295217595</v>
      </c>
    </row>
    <row r="101" spans="1:24" s="97" customFormat="1" ht="15.6" x14ac:dyDescent="0.25">
      <c r="A101" s="48">
        <v>588.02</v>
      </c>
      <c r="B101" s="48" t="s">
        <v>384</v>
      </c>
      <c r="D101" s="638">
        <v>35385.03</v>
      </c>
      <c r="E101" s="444"/>
      <c r="F101" s="944">
        <f t="shared" si="12"/>
        <v>1.1489577804205318E-2</v>
      </c>
      <c r="G101" s="643"/>
      <c r="H101" s="702">
        <f t="shared" si="13"/>
        <v>65298.15282189101</v>
      </c>
      <c r="I101" s="702"/>
      <c r="J101" s="643"/>
      <c r="K101" s="643"/>
      <c r="L101" s="703">
        <f t="shared" si="14"/>
        <v>67892.586093601611</v>
      </c>
      <c r="M101" s="720"/>
      <c r="N101" s="639">
        <f t="shared" si="15"/>
        <v>35947.482865960599</v>
      </c>
      <c r="O101" s="643"/>
      <c r="P101" s="643"/>
      <c r="Q101" s="643"/>
      <c r="R101" s="944">
        <f t="shared" si="16"/>
        <v>1.1489577804205318E-2</v>
      </c>
      <c r="S101" s="643"/>
      <c r="T101" s="702">
        <f t="shared" si="17"/>
        <v>70701.14022712459</v>
      </c>
      <c r="U101" s="702"/>
      <c r="V101" s="643"/>
      <c r="W101" s="643"/>
      <c r="X101" s="703">
        <f t="shared" si="18"/>
        <v>73510.245578901624</v>
      </c>
    </row>
    <row r="102" spans="1:24" s="97" customFormat="1" ht="15.6" x14ac:dyDescent="0.25">
      <c r="A102" s="48">
        <v>588.03</v>
      </c>
      <c r="B102" s="48" t="s">
        <v>385</v>
      </c>
      <c r="D102" s="638">
        <v>44217.1</v>
      </c>
      <c r="E102" s="444"/>
      <c r="F102" s="944">
        <f t="shared" si="12"/>
        <v>1.4357365550525941E-2</v>
      </c>
      <c r="G102" s="643"/>
      <c r="H102" s="702">
        <f t="shared" si="13"/>
        <v>81596.509968787286</v>
      </c>
      <c r="I102" s="702"/>
      <c r="J102" s="643"/>
      <c r="K102" s="643"/>
      <c r="L102" s="703">
        <f t="shared" si="14"/>
        <v>84838.511329773974</v>
      </c>
      <c r="M102" s="720"/>
      <c r="N102" s="639">
        <f t="shared" si="15"/>
        <v>44919.940569005208</v>
      </c>
      <c r="O102" s="643"/>
      <c r="P102" s="643"/>
      <c r="Q102" s="643"/>
      <c r="R102" s="944">
        <f t="shared" si="16"/>
        <v>1.4357365550525941E-2</v>
      </c>
      <c r="S102" s="643"/>
      <c r="T102" s="702">
        <f t="shared" si="17"/>
        <v>88348.077917039787</v>
      </c>
      <c r="U102" s="702"/>
      <c r="V102" s="643"/>
      <c r="W102" s="643"/>
      <c r="X102" s="703">
        <f t="shared" si="18"/>
        <v>91858.333306114218</v>
      </c>
    </row>
    <row r="103" spans="1:24" s="97" customFormat="1" ht="15.6" x14ac:dyDescent="0.25">
      <c r="A103" s="48">
        <v>588.04</v>
      </c>
      <c r="B103" s="48" t="s">
        <v>386</v>
      </c>
      <c r="D103" s="638">
        <v>27342.79</v>
      </c>
      <c r="E103" s="444"/>
      <c r="F103" s="944">
        <f t="shared" si="12"/>
        <v>8.8782491660752347E-3</v>
      </c>
      <c r="G103" s="643"/>
      <c r="H103" s="702">
        <f t="shared" si="13"/>
        <v>50457.317119608866</v>
      </c>
      <c r="I103" s="702"/>
      <c r="J103" s="643"/>
      <c r="K103" s="643"/>
      <c r="L103" s="703">
        <f t="shared" si="14"/>
        <v>52462.092701751819</v>
      </c>
      <c r="M103" s="720"/>
      <c r="N103" s="639">
        <f t="shared" si="15"/>
        <v>27777.409685184917</v>
      </c>
      <c r="O103" s="643"/>
      <c r="P103" s="643"/>
      <c r="Q103" s="643"/>
      <c r="R103" s="944">
        <f t="shared" si="16"/>
        <v>8.8782491660752347E-3</v>
      </c>
      <c r="S103" s="643"/>
      <c r="T103" s="702">
        <f t="shared" si="17"/>
        <v>54632.324177507267</v>
      </c>
      <c r="U103" s="702"/>
      <c r="V103" s="643"/>
      <c r="W103" s="643"/>
      <c r="X103" s="703">
        <f t="shared" si="18"/>
        <v>56802.981591716489</v>
      </c>
    </row>
    <row r="104" spans="1:24" s="97" customFormat="1" ht="15.6" x14ac:dyDescent="0.25">
      <c r="A104" s="48">
        <v>588.04999999999995</v>
      </c>
      <c r="B104" s="48" t="s">
        <v>387</v>
      </c>
      <c r="D104" s="639">
        <v>38197.06</v>
      </c>
      <c r="E104" s="444"/>
      <c r="F104" s="944">
        <f t="shared" si="12"/>
        <v>1.2402648599192901E-2</v>
      </c>
      <c r="G104" s="643"/>
      <c r="H104" s="702">
        <f t="shared" si="13"/>
        <v>70487.363193614365</v>
      </c>
      <c r="I104" s="702"/>
      <c r="J104" s="643"/>
      <c r="K104" s="643"/>
      <c r="L104" s="703">
        <f t="shared" si="14"/>
        <v>73287.974733170107</v>
      </c>
      <c r="M104" s="720"/>
      <c r="N104" s="639">
        <f t="shared" si="15"/>
        <v>38804.21070379392</v>
      </c>
      <c r="O104" s="643"/>
      <c r="P104" s="643"/>
      <c r="Q104" s="643"/>
      <c r="R104" s="944">
        <f t="shared" si="16"/>
        <v>1.2402648599192902E-2</v>
      </c>
      <c r="S104" s="643"/>
      <c r="T104" s="702">
        <f t="shared" si="17"/>
        <v>76319.723208483687</v>
      </c>
      <c r="U104" s="702"/>
      <c r="V104" s="643"/>
      <c r="W104" s="643"/>
      <c r="X104" s="703">
        <f t="shared" si="18"/>
        <v>79352.066707080376</v>
      </c>
    </row>
    <row r="105" spans="1:24" s="97" customFormat="1" ht="15.6" x14ac:dyDescent="0.25">
      <c r="A105" s="48">
        <v>588.07000000000005</v>
      </c>
      <c r="B105" s="411" t="s">
        <v>1415</v>
      </c>
      <c r="D105" s="639">
        <v>346.78</v>
      </c>
      <c r="E105" s="444"/>
      <c r="F105" s="944">
        <f t="shared" si="12"/>
        <v>1.1260003993051073E-4</v>
      </c>
      <c r="G105" s="643"/>
      <c r="H105" s="702">
        <f t="shared" si="13"/>
        <v>639.9342726451091</v>
      </c>
      <c r="I105" s="702"/>
      <c r="J105" s="643"/>
      <c r="K105" s="643"/>
      <c r="L105" s="703">
        <f t="shared" si="14"/>
        <v>665.36021039233731</v>
      </c>
      <c r="M105" s="720"/>
      <c r="N105" s="639">
        <f t="shared" si="15"/>
        <v>352.2921446797647</v>
      </c>
      <c r="O105" s="643"/>
      <c r="P105" s="643"/>
      <c r="Q105" s="643"/>
      <c r="R105" s="944">
        <f t="shared" si="16"/>
        <v>1.1260003993051072E-4</v>
      </c>
      <c r="S105" s="643"/>
      <c r="T105" s="702">
        <f t="shared" si="17"/>
        <v>692.8845731644783</v>
      </c>
      <c r="U105" s="702"/>
      <c r="V105" s="643"/>
      <c r="W105" s="643"/>
      <c r="X105" s="703">
        <f t="shared" si="18"/>
        <v>720.41433797997342</v>
      </c>
    </row>
    <row r="106" spans="1:24" s="97" customFormat="1" ht="15.6" x14ac:dyDescent="0.25">
      <c r="A106" s="48">
        <v>588.08000000000004</v>
      </c>
      <c r="B106" s="97" t="s">
        <v>388</v>
      </c>
      <c r="D106" s="639">
        <v>87037.29</v>
      </c>
      <c r="E106" s="444"/>
      <c r="F106" s="944">
        <f t="shared" si="12"/>
        <v>2.8261152112127118E-2</v>
      </c>
      <c r="G106" s="643"/>
      <c r="H106" s="702">
        <f t="shared" si="13"/>
        <v>160615.21676322573</v>
      </c>
      <c r="I106" s="702"/>
      <c r="J106" s="643" t="s">
        <v>338</v>
      </c>
      <c r="K106" s="643"/>
      <c r="L106" s="703">
        <f t="shared" si="14"/>
        <v>166996.79793061558</v>
      </c>
      <c r="M106" s="720"/>
      <c r="N106" s="639">
        <f t="shared" si="15"/>
        <v>88420.76694507942</v>
      </c>
      <c r="O106" s="643"/>
      <c r="P106" s="643"/>
      <c r="Q106" s="643"/>
      <c r="R106" s="944">
        <f t="shared" si="16"/>
        <v>2.8261152112127118E-2</v>
      </c>
      <c r="S106" s="643"/>
      <c r="T106" s="702">
        <f t="shared" si="17"/>
        <v>173905.05660950148</v>
      </c>
      <c r="U106" s="702"/>
      <c r="V106" s="643" t="s">
        <v>338</v>
      </c>
      <c r="W106" s="643"/>
      <c r="X106" s="703">
        <f t="shared" si="18"/>
        <v>180814.67113132525</v>
      </c>
    </row>
    <row r="107" spans="1:24" s="97" customFormat="1" ht="15.6" x14ac:dyDescent="0.25">
      <c r="A107" s="48">
        <v>588.62</v>
      </c>
      <c r="B107" s="97" t="s">
        <v>30</v>
      </c>
      <c r="D107" s="639"/>
      <c r="E107" s="444"/>
      <c r="F107" s="944">
        <f t="shared" si="12"/>
        <v>0</v>
      </c>
      <c r="G107" s="643"/>
      <c r="H107" s="702">
        <f t="shared" si="13"/>
        <v>0</v>
      </c>
      <c r="I107" s="702"/>
      <c r="J107" s="643"/>
      <c r="K107" s="643"/>
      <c r="L107" s="703">
        <f t="shared" si="14"/>
        <v>0</v>
      </c>
      <c r="M107" s="720"/>
      <c r="N107" s="639">
        <f t="shared" si="15"/>
        <v>0</v>
      </c>
      <c r="O107" s="643"/>
      <c r="P107" s="643"/>
      <c r="Q107" s="643"/>
      <c r="R107" s="944">
        <f t="shared" si="16"/>
        <v>0</v>
      </c>
      <c r="S107" s="643"/>
      <c r="T107" s="702">
        <f t="shared" si="17"/>
        <v>0</v>
      </c>
      <c r="U107" s="702"/>
      <c r="V107" s="643"/>
      <c r="W107" s="643"/>
      <c r="X107" s="703">
        <f t="shared" si="18"/>
        <v>0</v>
      </c>
    </row>
    <row r="108" spans="1:24" s="97" customFormat="1" ht="15.6" x14ac:dyDescent="0.25">
      <c r="A108" s="48">
        <v>588.70000000000005</v>
      </c>
      <c r="B108" s="48" t="s">
        <v>208</v>
      </c>
      <c r="D108" s="639"/>
      <c r="E108" s="444"/>
      <c r="F108" s="944">
        <f t="shared" si="12"/>
        <v>0</v>
      </c>
      <c r="G108" s="643"/>
      <c r="H108" s="702">
        <f t="shared" si="13"/>
        <v>0</v>
      </c>
      <c r="I108" s="702"/>
      <c r="J108" s="702">
        <f>SUM(L88:L108)</f>
        <v>1004805.2011926393</v>
      </c>
      <c r="K108" s="643"/>
      <c r="L108" s="703">
        <f t="shared" si="14"/>
        <v>0</v>
      </c>
      <c r="M108" s="720"/>
      <c r="N108" s="639">
        <f t="shared" si="15"/>
        <v>0</v>
      </c>
      <c r="O108" s="643"/>
      <c r="P108" s="643"/>
      <c r="Q108" s="643"/>
      <c r="R108" s="944">
        <f t="shared" si="16"/>
        <v>0</v>
      </c>
      <c r="S108" s="643"/>
      <c r="T108" s="702">
        <f t="shared" si="17"/>
        <v>0</v>
      </c>
      <c r="U108" s="702"/>
      <c r="V108" s="702">
        <f>SUM(X88:X108)</f>
        <v>1087946.1418187113</v>
      </c>
      <c r="W108" s="643"/>
      <c r="X108" s="703">
        <f t="shared" si="18"/>
        <v>0</v>
      </c>
    </row>
    <row r="109" spans="1:24" s="97" customFormat="1" ht="15.6" x14ac:dyDescent="0.25">
      <c r="A109" s="48">
        <v>590</v>
      </c>
      <c r="B109" s="48" t="s">
        <v>390</v>
      </c>
      <c r="D109" s="639"/>
      <c r="E109" s="444"/>
      <c r="F109" s="944">
        <f t="shared" si="12"/>
        <v>0</v>
      </c>
      <c r="G109" s="643"/>
      <c r="H109" s="702">
        <f t="shared" si="13"/>
        <v>0</v>
      </c>
      <c r="I109" s="702"/>
      <c r="J109" s="643"/>
      <c r="K109" s="643"/>
      <c r="L109" s="703">
        <f t="shared" si="14"/>
        <v>0</v>
      </c>
      <c r="M109" s="720"/>
      <c r="N109" s="639">
        <f t="shared" si="15"/>
        <v>0</v>
      </c>
      <c r="O109" s="643"/>
      <c r="P109" s="643"/>
      <c r="Q109" s="643"/>
      <c r="R109" s="944">
        <f t="shared" si="16"/>
        <v>0</v>
      </c>
      <c r="S109" s="643"/>
      <c r="T109" s="702">
        <f t="shared" si="17"/>
        <v>0</v>
      </c>
      <c r="U109" s="702"/>
      <c r="V109" s="643"/>
      <c r="W109" s="643"/>
      <c r="X109" s="703">
        <f t="shared" si="18"/>
        <v>0</v>
      </c>
    </row>
    <row r="110" spans="1:24" s="97" customFormat="1" ht="15.6" x14ac:dyDescent="0.25">
      <c r="A110" s="48">
        <v>590.01</v>
      </c>
      <c r="B110" s="48" t="s">
        <v>391</v>
      </c>
      <c r="D110" s="639">
        <v>64219.62</v>
      </c>
      <c r="E110" s="444"/>
      <c r="F110" s="944">
        <f t="shared" si="12"/>
        <v>2.0852216899250899E-2</v>
      </c>
      <c r="G110" s="643"/>
      <c r="H110" s="702">
        <f t="shared" si="13"/>
        <v>118508.37941705203</v>
      </c>
      <c r="I110" s="702"/>
      <c r="J110" s="643"/>
      <c r="K110" s="643"/>
      <c r="L110" s="703">
        <f t="shared" si="14"/>
        <v>123216.9671679911</v>
      </c>
      <c r="M110" s="720"/>
      <c r="N110" s="639">
        <f t="shared" si="15"/>
        <v>65240.405041581158</v>
      </c>
      <c r="O110" s="643"/>
      <c r="P110" s="643"/>
      <c r="Q110" s="643"/>
      <c r="R110" s="944">
        <f t="shared" si="16"/>
        <v>2.0852216899250896E-2</v>
      </c>
      <c r="S110" s="643"/>
      <c r="T110" s="702">
        <f t="shared" si="17"/>
        <v>128314.15881101851</v>
      </c>
      <c r="U110" s="702"/>
      <c r="V110" s="643"/>
      <c r="W110" s="643"/>
      <c r="X110" s="703">
        <f t="shared" si="18"/>
        <v>133412.35084960342</v>
      </c>
    </row>
    <row r="111" spans="1:24" s="97" customFormat="1" ht="15.6" x14ac:dyDescent="0.25">
      <c r="A111" s="48">
        <v>590.02</v>
      </c>
      <c r="B111" s="48" t="s">
        <v>392</v>
      </c>
      <c r="D111" s="639">
        <v>4849.2700000000004</v>
      </c>
      <c r="E111" s="444"/>
      <c r="F111" s="944">
        <f t="shared" si="12"/>
        <v>1.5745659946762439E-3</v>
      </c>
      <c r="G111" s="643"/>
      <c r="H111" s="702">
        <f t="shared" si="13"/>
        <v>8948.6535276248578</v>
      </c>
      <c r="I111" s="702"/>
      <c r="J111" s="643"/>
      <c r="K111" s="643"/>
      <c r="L111" s="703">
        <f t="shared" si="14"/>
        <v>9304.2023976274577</v>
      </c>
      <c r="M111" s="720"/>
      <c r="N111" s="639">
        <f t="shared" si="15"/>
        <v>4926.3502175190124</v>
      </c>
      <c r="O111" s="643"/>
      <c r="P111" s="643"/>
      <c r="Q111" s="643"/>
      <c r="R111" s="944">
        <f t="shared" si="16"/>
        <v>1.5745659946762439E-3</v>
      </c>
      <c r="S111" s="643"/>
      <c r="T111" s="702">
        <f t="shared" si="17"/>
        <v>9689.0950288635759</v>
      </c>
      <c r="U111" s="702"/>
      <c r="V111" s="643"/>
      <c r="W111" s="643"/>
      <c r="X111" s="703">
        <f t="shared" si="18"/>
        <v>10074.063200692506</v>
      </c>
    </row>
    <row r="112" spans="1:24" s="97" customFormat="1" ht="15.6" x14ac:dyDescent="0.25">
      <c r="A112" s="48">
        <v>590.54999999999995</v>
      </c>
      <c r="B112" s="48" t="s">
        <v>393</v>
      </c>
      <c r="D112" s="639">
        <v>1325.64</v>
      </c>
      <c r="E112" s="444"/>
      <c r="F112" s="944">
        <f t="shared" si="12"/>
        <v>4.3043750197093914E-4</v>
      </c>
      <c r="G112" s="643"/>
      <c r="H112" s="702">
        <f t="shared" si="13"/>
        <v>2446.2842989482165</v>
      </c>
      <c r="I112" s="702"/>
      <c r="J112" s="643"/>
      <c r="K112" s="643"/>
      <c r="L112" s="703">
        <f t="shared" si="14"/>
        <v>2543.4803313469579</v>
      </c>
      <c r="M112" s="720"/>
      <c r="N112" s="639">
        <f t="shared" si="15"/>
        <v>1346.7113405423711</v>
      </c>
      <c r="O112" s="643"/>
      <c r="P112" s="702">
        <f>(0.4-(SUM($N$56:$N$59)/$N$193))*P220</f>
        <v>0</v>
      </c>
      <c r="Q112" s="643"/>
      <c r="R112" s="944">
        <f t="shared" si="16"/>
        <v>4.3043750197093914E-4</v>
      </c>
      <c r="S112" s="643"/>
      <c r="T112" s="702">
        <f t="shared" si="17"/>
        <v>2648.6980378619278</v>
      </c>
      <c r="U112" s="702"/>
      <c r="V112" s="643"/>
      <c r="W112" s="643"/>
      <c r="X112" s="703">
        <f t="shared" si="18"/>
        <v>2753.9363948318023</v>
      </c>
    </row>
    <row r="113" spans="1:24" s="97" customFormat="1" ht="15.6" x14ac:dyDescent="0.25">
      <c r="A113" s="48">
        <v>592.01</v>
      </c>
      <c r="B113" s="48" t="s">
        <v>756</v>
      </c>
      <c r="D113" s="639">
        <v>10702.25</v>
      </c>
      <c r="E113" s="444"/>
      <c r="F113" s="944">
        <f t="shared" si="12"/>
        <v>3.4750382875203545E-3</v>
      </c>
      <c r="G113" s="643"/>
      <c r="H113" s="702">
        <f t="shared" si="13"/>
        <v>19749.514301332601</v>
      </c>
      <c r="I113" s="702"/>
      <c r="J113" s="643"/>
      <c r="K113" s="643"/>
      <c r="L113" s="703">
        <f t="shared" si="14"/>
        <v>20534.204140006324</v>
      </c>
      <c r="M113" s="720"/>
      <c r="N113" s="639">
        <f t="shared" si="15"/>
        <v>10872.36462713828</v>
      </c>
      <c r="O113" s="643"/>
      <c r="P113" s="643"/>
      <c r="Q113" s="643"/>
      <c r="R113" s="944">
        <f t="shared" si="16"/>
        <v>3.4750382875203549E-3</v>
      </c>
      <c r="S113" s="643"/>
      <c r="T113" s="702">
        <f t="shared" si="17"/>
        <v>21383.655121833843</v>
      </c>
      <c r="U113" s="702"/>
      <c r="V113" s="643"/>
      <c r="W113" s="643"/>
      <c r="X113" s="703">
        <f t="shared" si="18"/>
        <v>22233.272820364997</v>
      </c>
    </row>
    <row r="114" spans="1:24" s="97" customFormat="1" ht="15.6" x14ac:dyDescent="0.25">
      <c r="A114" s="48">
        <v>593.01</v>
      </c>
      <c r="B114" s="48" t="s">
        <v>396</v>
      </c>
      <c r="D114" s="639">
        <v>285648.01</v>
      </c>
      <c r="E114" s="444"/>
      <c r="F114" s="944">
        <f t="shared" si="12"/>
        <v>9.2750381602373061E-2</v>
      </c>
      <c r="G114" s="643"/>
      <c r="H114" s="702">
        <f t="shared" si="13"/>
        <v>527123.68507951102</v>
      </c>
      <c r="I114" s="702"/>
      <c r="J114" s="643"/>
      <c r="K114" s="643"/>
      <c r="L114" s="703">
        <f t="shared" si="14"/>
        <v>548067.42035801499</v>
      </c>
      <c r="M114" s="720"/>
      <c r="N114" s="639">
        <f t="shared" si="15"/>
        <v>290188.44819887797</v>
      </c>
      <c r="O114" s="643"/>
      <c r="P114" s="643"/>
      <c r="Q114" s="643"/>
      <c r="R114" s="944">
        <f t="shared" si="16"/>
        <v>9.2750381602373075E-2</v>
      </c>
      <c r="S114" s="643"/>
      <c r="T114" s="702">
        <f t="shared" si="17"/>
        <v>570739.66054597357</v>
      </c>
      <c r="U114" s="702"/>
      <c r="V114" s="643"/>
      <c r="W114" s="643"/>
      <c r="X114" s="703">
        <f t="shared" si="18"/>
        <v>593416.35047997849</v>
      </c>
    </row>
    <row r="115" spans="1:24" s="97" customFormat="1" ht="15.6" x14ac:dyDescent="0.25">
      <c r="A115" s="48">
        <v>593.02</v>
      </c>
      <c r="B115" s="48" t="s">
        <v>757</v>
      </c>
      <c r="D115" s="639">
        <v>33264.86</v>
      </c>
      <c r="E115" s="444"/>
      <c r="F115" s="944">
        <f t="shared" si="12"/>
        <v>1.0801155096265209E-2</v>
      </c>
      <c r="G115" s="643"/>
      <c r="H115" s="702">
        <f t="shared" si="13"/>
        <v>61385.673881831084</v>
      </c>
      <c r="I115" s="702"/>
      <c r="J115" s="643"/>
      <c r="K115" s="643"/>
      <c r="L115" s="703">
        <f t="shared" si="14"/>
        <v>63824.656117053019</v>
      </c>
      <c r="M115" s="720"/>
      <c r="N115" s="639">
        <f t="shared" si="15"/>
        <v>33793.612295611398</v>
      </c>
      <c r="O115" s="643"/>
      <c r="P115" s="643"/>
      <c r="Q115" s="643"/>
      <c r="R115" s="944">
        <f t="shared" si="16"/>
        <v>1.0801155096265211E-2</v>
      </c>
      <c r="S115" s="643"/>
      <c r="T115" s="702">
        <f>+(R115*$T$200)+(N115+P115)</f>
        <v>66464.929703201255</v>
      </c>
      <c r="U115" s="702"/>
      <c r="V115" s="643"/>
      <c r="W115" s="643"/>
      <c r="X115" s="703">
        <f t="shared" si="18"/>
        <v>69105.721480179083</v>
      </c>
    </row>
    <row r="116" spans="1:24" s="97" customFormat="1" ht="15.6" x14ac:dyDescent="0.25">
      <c r="A116" s="48">
        <v>593.04</v>
      </c>
      <c r="B116" s="418" t="s">
        <v>1181</v>
      </c>
      <c r="D116" s="639"/>
      <c r="E116" s="444"/>
      <c r="F116" s="944">
        <f t="shared" si="12"/>
        <v>0</v>
      </c>
      <c r="G116" s="643"/>
      <c r="H116" s="702">
        <f t="shared" si="13"/>
        <v>0</v>
      </c>
      <c r="I116" s="702"/>
      <c r="J116" s="643"/>
      <c r="K116" s="643"/>
      <c r="L116" s="703">
        <f t="shared" si="14"/>
        <v>0</v>
      </c>
      <c r="M116" s="720"/>
      <c r="N116" s="639">
        <f t="shared" si="15"/>
        <v>0</v>
      </c>
      <c r="O116" s="643"/>
      <c r="P116" s="643"/>
      <c r="Q116" s="643"/>
      <c r="R116" s="944">
        <f t="shared" si="16"/>
        <v>0</v>
      </c>
      <c r="S116" s="643"/>
      <c r="T116" s="702">
        <f t="shared" si="17"/>
        <v>0</v>
      </c>
      <c r="U116" s="702"/>
      <c r="V116" s="643"/>
      <c r="W116" s="643"/>
      <c r="X116" s="703">
        <f t="shared" si="18"/>
        <v>0</v>
      </c>
    </row>
    <row r="117" spans="1:24" s="97" customFormat="1" ht="15.6" x14ac:dyDescent="0.25">
      <c r="A117" s="48">
        <v>593.04999999999995</v>
      </c>
      <c r="B117" s="48" t="s">
        <v>399</v>
      </c>
      <c r="D117" s="639"/>
      <c r="E117" s="444"/>
      <c r="F117" s="944">
        <f t="shared" si="12"/>
        <v>0</v>
      </c>
      <c r="G117" s="643"/>
      <c r="H117" s="702">
        <f t="shared" si="13"/>
        <v>0</v>
      </c>
      <c r="I117" s="702"/>
      <c r="J117" s="643"/>
      <c r="K117" s="643"/>
      <c r="L117" s="703">
        <f t="shared" si="14"/>
        <v>0</v>
      </c>
      <c r="M117" s="720"/>
      <c r="N117" s="639">
        <f t="shared" si="15"/>
        <v>0</v>
      </c>
      <c r="O117" s="643"/>
      <c r="P117" s="643"/>
      <c r="Q117" s="643"/>
      <c r="R117" s="944">
        <f t="shared" si="16"/>
        <v>0</v>
      </c>
      <c r="S117" s="643"/>
      <c r="T117" s="702">
        <f t="shared" si="17"/>
        <v>0</v>
      </c>
      <c r="U117" s="702"/>
      <c r="V117" s="643"/>
      <c r="W117" s="643"/>
      <c r="X117" s="703">
        <f t="shared" si="18"/>
        <v>0</v>
      </c>
    </row>
    <row r="118" spans="1:24" s="97" customFormat="1" ht="15.6" x14ac:dyDescent="0.25">
      <c r="A118" s="48">
        <v>593.07000000000005</v>
      </c>
      <c r="B118" s="48" t="s">
        <v>758</v>
      </c>
      <c r="D118" s="639">
        <v>315639.53999999998</v>
      </c>
      <c r="E118" s="444"/>
      <c r="F118" s="944">
        <f t="shared" si="12"/>
        <v>0.10248868103018639</v>
      </c>
      <c r="G118" s="643"/>
      <c r="H118" s="702">
        <f t="shared" si="13"/>
        <v>582468.88358018571</v>
      </c>
      <c r="I118" s="702"/>
      <c r="J118" s="643"/>
      <c r="K118" s="643"/>
      <c r="L118" s="703">
        <f t="shared" si="14"/>
        <v>605611.60027262394</v>
      </c>
      <c r="M118" s="720"/>
      <c r="N118" s="639">
        <f t="shared" si="15"/>
        <v>320656.70019128668</v>
      </c>
      <c r="O118" s="643"/>
      <c r="P118" s="643"/>
      <c r="Q118" s="643"/>
      <c r="R118" s="944">
        <f t="shared" si="16"/>
        <v>0.10248868103018641</v>
      </c>
      <c r="S118" s="643"/>
      <c r="T118" s="702">
        <f t="shared" si="17"/>
        <v>630664.30574638769</v>
      </c>
      <c r="U118" s="702"/>
      <c r="V118" s="643"/>
      <c r="W118" s="643"/>
      <c r="X118" s="703">
        <f t="shared" si="18"/>
        <v>655721.928165994</v>
      </c>
    </row>
    <row r="119" spans="1:24" s="97" customFormat="1" ht="15.6" x14ac:dyDescent="0.25">
      <c r="A119" s="48">
        <v>593.08000000000004</v>
      </c>
      <c r="B119" s="48" t="s">
        <v>401</v>
      </c>
      <c r="D119" s="639"/>
      <c r="E119" s="444"/>
      <c r="F119" s="944">
        <f t="shared" si="12"/>
        <v>0</v>
      </c>
      <c r="G119" s="643"/>
      <c r="H119" s="702">
        <f t="shared" si="13"/>
        <v>0</v>
      </c>
      <c r="I119" s="702"/>
      <c r="J119" s="643"/>
      <c r="K119" s="643"/>
      <c r="L119" s="703">
        <f t="shared" si="14"/>
        <v>0</v>
      </c>
      <c r="M119" s="720"/>
      <c r="N119" s="639">
        <f t="shared" si="15"/>
        <v>0</v>
      </c>
      <c r="O119" s="643"/>
      <c r="P119" s="643"/>
      <c r="Q119" s="643"/>
      <c r="R119" s="944">
        <f t="shared" si="16"/>
        <v>0</v>
      </c>
      <c r="S119" s="643"/>
      <c r="T119" s="702">
        <f t="shared" si="17"/>
        <v>0</v>
      </c>
      <c r="U119" s="702"/>
      <c r="V119" s="643"/>
      <c r="W119" s="643"/>
      <c r="X119" s="703">
        <f t="shared" si="18"/>
        <v>0</v>
      </c>
    </row>
    <row r="120" spans="1:24" s="97" customFormat="1" ht="15.6" x14ac:dyDescent="0.25">
      <c r="A120" s="48">
        <v>593.09</v>
      </c>
      <c r="B120" s="48" t="s">
        <v>402</v>
      </c>
      <c r="D120" s="639">
        <v>123277.2</v>
      </c>
      <c r="E120" s="444"/>
      <c r="F120" s="944">
        <f t="shared" si="12"/>
        <v>4.0028310867182532E-2</v>
      </c>
      <c r="G120" s="643"/>
      <c r="H120" s="702">
        <f t="shared" si="13"/>
        <v>227490.93175997934</v>
      </c>
      <c r="I120" s="702"/>
      <c r="J120" s="643"/>
      <c r="K120" s="643"/>
      <c r="L120" s="703">
        <f t="shared" si="14"/>
        <v>236529.62607006816</v>
      </c>
      <c r="M120" s="720"/>
      <c r="N120" s="639">
        <f t="shared" si="15"/>
        <v>125236.71831742401</v>
      </c>
      <c r="O120" s="643"/>
      <c r="P120" s="643"/>
      <c r="Q120" s="643"/>
      <c r="R120" s="944">
        <f t="shared" si="16"/>
        <v>4.0028310867182532E-2</v>
      </c>
      <c r="S120" s="643"/>
      <c r="T120" s="702">
        <f t="shared" si="17"/>
        <v>246314.29177839565</v>
      </c>
      <c r="U120" s="702"/>
      <c r="V120" s="643"/>
      <c r="W120" s="643"/>
      <c r="X120" s="703">
        <f t="shared" si="18"/>
        <v>256100.87786500031</v>
      </c>
    </row>
    <row r="121" spans="1:24" s="97" customFormat="1" ht="15.6" x14ac:dyDescent="0.25">
      <c r="A121" s="48">
        <v>593.14</v>
      </c>
      <c r="B121" s="418" t="s">
        <v>880</v>
      </c>
      <c r="D121" s="639"/>
      <c r="E121" s="444"/>
      <c r="F121" s="944">
        <f t="shared" si="12"/>
        <v>0</v>
      </c>
      <c r="G121" s="643"/>
      <c r="H121" s="702">
        <f t="shared" si="13"/>
        <v>0</v>
      </c>
      <c r="I121" s="702"/>
      <c r="J121" s="643"/>
      <c r="K121" s="643"/>
      <c r="L121" s="703">
        <f t="shared" si="14"/>
        <v>0</v>
      </c>
      <c r="M121" s="720"/>
      <c r="N121" s="639">
        <f t="shared" si="15"/>
        <v>0</v>
      </c>
      <c r="O121" s="643"/>
      <c r="P121" s="643"/>
      <c r="Q121" s="643"/>
      <c r="R121" s="944">
        <f t="shared" si="16"/>
        <v>0</v>
      </c>
      <c r="S121" s="643"/>
      <c r="T121" s="702">
        <f t="shared" si="17"/>
        <v>0</v>
      </c>
      <c r="U121" s="702"/>
      <c r="V121" s="643"/>
      <c r="W121" s="643"/>
      <c r="X121" s="703">
        <f t="shared" si="18"/>
        <v>0</v>
      </c>
    </row>
    <row r="122" spans="1:24" s="97" customFormat="1" ht="15.6" x14ac:dyDescent="0.25">
      <c r="A122" s="411">
        <v>593.23</v>
      </c>
      <c r="B122" s="418" t="s">
        <v>1087</v>
      </c>
      <c r="D122" s="639"/>
      <c r="E122" s="444"/>
      <c r="F122" s="944">
        <f t="shared" si="12"/>
        <v>0</v>
      </c>
      <c r="G122" s="643"/>
      <c r="H122" s="702">
        <f t="shared" si="13"/>
        <v>0</v>
      </c>
      <c r="I122" s="702"/>
      <c r="J122" s="643"/>
      <c r="K122" s="643"/>
      <c r="L122" s="703">
        <f t="shared" si="14"/>
        <v>0</v>
      </c>
      <c r="M122" s="720"/>
      <c r="N122" s="639">
        <f t="shared" si="15"/>
        <v>0</v>
      </c>
      <c r="O122" s="643"/>
      <c r="P122" s="643"/>
      <c r="Q122" s="643"/>
      <c r="R122" s="944">
        <f t="shared" si="16"/>
        <v>0</v>
      </c>
      <c r="S122" s="643"/>
      <c r="T122" s="702">
        <f t="shared" si="17"/>
        <v>0</v>
      </c>
      <c r="U122" s="702"/>
      <c r="V122" s="643"/>
      <c r="W122" s="643"/>
      <c r="X122" s="703">
        <f t="shared" si="18"/>
        <v>0</v>
      </c>
    </row>
    <row r="123" spans="1:24" s="97" customFormat="1" ht="15.6" x14ac:dyDescent="0.25">
      <c r="A123" s="48">
        <v>593.54999999999995</v>
      </c>
      <c r="B123" s="48" t="s">
        <v>403</v>
      </c>
      <c r="D123" s="639">
        <v>22455.74</v>
      </c>
      <c r="E123" s="444"/>
      <c r="F123" s="944">
        <f t="shared" si="12"/>
        <v>7.2914159428720442E-3</v>
      </c>
      <c r="G123" s="643"/>
      <c r="H123" s="702">
        <f t="shared" si="13"/>
        <v>41438.945855031096</v>
      </c>
      <c r="I123" s="702"/>
      <c r="J123" s="643"/>
      <c r="K123" s="643"/>
      <c r="L123" s="703">
        <f t="shared" si="14"/>
        <v>43085.402534504945</v>
      </c>
      <c r="M123" s="720"/>
      <c r="N123" s="639">
        <f t="shared" si="15"/>
        <v>22812.678946222914</v>
      </c>
      <c r="O123" s="643"/>
      <c r="P123" s="643"/>
      <c r="Q123" s="643"/>
      <c r="R123" s="944">
        <f t="shared" si="16"/>
        <v>7.2914159428720442E-3</v>
      </c>
      <c r="S123" s="643"/>
      <c r="T123" s="702">
        <f t="shared" si="17"/>
        <v>44867.742733123327</v>
      </c>
      <c r="U123" s="702"/>
      <c r="V123" s="643"/>
      <c r="W123" s="643"/>
      <c r="X123" s="703">
        <f t="shared" si="18"/>
        <v>46650.432741076227</v>
      </c>
    </row>
    <row r="124" spans="1:24" s="97" customFormat="1" ht="15.6" x14ac:dyDescent="0.25">
      <c r="A124" s="48">
        <v>594.01</v>
      </c>
      <c r="B124" s="48" t="s">
        <v>759</v>
      </c>
      <c r="D124" s="639">
        <v>8004.43</v>
      </c>
      <c r="E124" s="444"/>
      <c r="F124" s="944">
        <f t="shared" si="12"/>
        <v>2.5990516685534867E-3</v>
      </c>
      <c r="G124" s="643"/>
      <c r="H124" s="702">
        <f t="shared" si="13"/>
        <v>14771.062604500523</v>
      </c>
      <c r="I124" s="702"/>
      <c r="J124" s="643"/>
      <c r="K124" s="643"/>
      <c r="L124" s="703">
        <f t="shared" si="14"/>
        <v>15357.94806179923</v>
      </c>
      <c r="M124" s="720"/>
      <c r="N124" s="639">
        <f t="shared" si="15"/>
        <v>8131.6621824760641</v>
      </c>
      <c r="O124" s="643"/>
      <c r="P124" s="643"/>
      <c r="Q124" s="643"/>
      <c r="R124" s="944">
        <f t="shared" si="16"/>
        <v>2.5990516685534867E-3</v>
      </c>
      <c r="S124" s="643"/>
      <c r="T124" s="702">
        <f t="shared" si="17"/>
        <v>15993.269692528249</v>
      </c>
      <c r="U124" s="702"/>
      <c r="V124" s="643"/>
      <c r="W124" s="643"/>
      <c r="X124" s="703">
        <f t="shared" si="18"/>
        <v>16628.716014063786</v>
      </c>
    </row>
    <row r="125" spans="1:24" s="97" customFormat="1" ht="15.6" x14ac:dyDescent="0.25">
      <c r="A125" s="48">
        <v>595.01</v>
      </c>
      <c r="B125" s="48" t="s">
        <v>406</v>
      </c>
      <c r="D125" s="639">
        <v>9423.6299999999992</v>
      </c>
      <c r="E125" s="444"/>
      <c r="F125" s="944">
        <f t="shared" si="12"/>
        <v>3.0598682573688184E-3</v>
      </c>
      <c r="G125" s="643"/>
      <c r="H125" s="702">
        <f t="shared" si="13"/>
        <v>17389.998874579356</v>
      </c>
      <c r="I125" s="702"/>
      <c r="J125" s="643"/>
      <c r="K125" s="643"/>
      <c r="L125" s="703">
        <f t="shared" si="14"/>
        <v>18080.940191070826</v>
      </c>
      <c r="M125" s="720"/>
      <c r="N125" s="639">
        <f t="shared" si="15"/>
        <v>9573.4206798793803</v>
      </c>
      <c r="O125" s="643"/>
      <c r="P125" s="643"/>
      <c r="Q125" s="643"/>
      <c r="R125" s="944">
        <f t="shared" si="16"/>
        <v>3.0598682573688184E-3</v>
      </c>
      <c r="S125" s="643"/>
      <c r="T125" s="702">
        <f t="shared" si="17"/>
        <v>18828.905502652902</v>
      </c>
      <c r="U125" s="702"/>
      <c r="V125" s="643"/>
      <c r="W125" s="643"/>
      <c r="X125" s="703">
        <f t="shared" si="18"/>
        <v>19577.017612948319</v>
      </c>
    </row>
    <row r="126" spans="1:24" s="97" customFormat="1" ht="15.6" x14ac:dyDescent="0.25">
      <c r="A126" s="48">
        <v>595.02</v>
      </c>
      <c r="B126" s="48" t="s">
        <v>407</v>
      </c>
      <c r="D126" s="639">
        <v>1087.82</v>
      </c>
      <c r="E126" s="444"/>
      <c r="F126" s="944">
        <f t="shared" si="12"/>
        <v>3.5321695437224806E-4</v>
      </c>
      <c r="G126" s="643"/>
      <c r="H126" s="702">
        <f t="shared" si="13"/>
        <v>2007.42055617049</v>
      </c>
      <c r="I126" s="702"/>
      <c r="J126" s="643"/>
      <c r="K126" s="643"/>
      <c r="L126" s="703">
        <f t="shared" ref="L126:L189" si="19">+H126+((H126/($H$27+$H$191))*$H$52)</f>
        <v>2087.1796068660024</v>
      </c>
      <c r="M126" s="720"/>
      <c r="N126" s="639">
        <f t="shared" si="15"/>
        <v>1105.1111391243489</v>
      </c>
      <c r="O126" s="643"/>
      <c r="P126" s="643"/>
      <c r="Q126" s="643"/>
      <c r="R126" s="944">
        <f t="shared" si="16"/>
        <v>3.5321695437224811E-4</v>
      </c>
      <c r="S126" s="643"/>
      <c r="T126" s="702">
        <f t="shared" si="17"/>
        <v>2173.5212422278764</v>
      </c>
      <c r="U126" s="702"/>
      <c r="V126" s="643"/>
      <c r="W126" s="643"/>
      <c r="X126" s="703">
        <f t="shared" ref="X126:X189" si="20">+T126+((T126/($T$27+$T$191))*$T$52)</f>
        <v>2259.8798233501789</v>
      </c>
    </row>
    <row r="127" spans="1:24" s="97" customFormat="1" ht="15.6" x14ac:dyDescent="0.25">
      <c r="A127" s="48">
        <v>596.02</v>
      </c>
      <c r="B127" s="48" t="s">
        <v>760</v>
      </c>
      <c r="D127" s="639">
        <v>973.33</v>
      </c>
      <c r="E127" s="444"/>
      <c r="F127" s="944">
        <f t="shared" si="12"/>
        <v>3.1604186188812508E-4</v>
      </c>
      <c r="G127" s="643"/>
      <c r="H127" s="702">
        <f t="shared" si="13"/>
        <v>1796.1451802112697</v>
      </c>
      <c r="I127" s="702"/>
      <c r="J127" s="643" t="s">
        <v>339</v>
      </c>
      <c r="K127" s="643"/>
      <c r="L127" s="703">
        <f t="shared" si="19"/>
        <v>1867.5098148139273</v>
      </c>
      <c r="M127" s="720"/>
      <c r="N127" s="639">
        <f t="shared" si="15"/>
        <v>988.80129529141095</v>
      </c>
      <c r="O127" s="643"/>
      <c r="P127" s="643"/>
      <c r="Q127" s="643"/>
      <c r="R127" s="944">
        <f t="shared" si="16"/>
        <v>3.1604186188812514E-4</v>
      </c>
      <c r="S127" s="643"/>
      <c r="T127" s="702">
        <f t="shared" si="17"/>
        <v>1944.7642355331388</v>
      </c>
      <c r="U127" s="702"/>
      <c r="V127" s="643" t="s">
        <v>339</v>
      </c>
      <c r="W127" s="643"/>
      <c r="X127" s="703">
        <f t="shared" si="20"/>
        <v>2022.0338185190835</v>
      </c>
    </row>
    <row r="128" spans="1:24" s="97" customFormat="1" ht="15.6" x14ac:dyDescent="0.25">
      <c r="A128" s="534">
        <v>596.03</v>
      </c>
      <c r="B128" s="48" t="s">
        <v>408</v>
      </c>
      <c r="D128" s="639"/>
      <c r="E128" s="444"/>
      <c r="F128" s="944">
        <f t="shared" si="12"/>
        <v>0</v>
      </c>
      <c r="G128" s="643"/>
      <c r="H128" s="702">
        <f t="shared" si="13"/>
        <v>0</v>
      </c>
      <c r="I128" s="702"/>
      <c r="J128" s="702">
        <f>+SUM(L109:L128)</f>
        <v>1690111.1370637869</v>
      </c>
      <c r="K128" s="643"/>
      <c r="L128" s="703">
        <f t="shared" si="19"/>
        <v>0</v>
      </c>
      <c r="M128" s="720"/>
      <c r="N128" s="639">
        <f t="shared" si="15"/>
        <v>0</v>
      </c>
      <c r="O128" s="643"/>
      <c r="P128" s="643"/>
      <c r="Q128" s="643"/>
      <c r="R128" s="944">
        <f t="shared" si="16"/>
        <v>0</v>
      </c>
      <c r="S128" s="643"/>
      <c r="T128" s="702">
        <f t="shared" si="17"/>
        <v>0</v>
      </c>
      <c r="U128" s="702"/>
      <c r="V128" s="702">
        <f>+SUM(X109:X128)</f>
        <v>1829956.581266602</v>
      </c>
      <c r="W128" s="643"/>
      <c r="X128" s="703">
        <f t="shared" si="20"/>
        <v>0</v>
      </c>
    </row>
    <row r="129" spans="1:24" s="97" customFormat="1" ht="15.6" x14ac:dyDescent="0.25">
      <c r="A129" s="48">
        <v>901.01</v>
      </c>
      <c r="B129" s="48" t="s">
        <v>409</v>
      </c>
      <c r="D129" s="639">
        <v>2044.25</v>
      </c>
      <c r="E129" s="444"/>
      <c r="F129" s="944">
        <f t="shared" si="12"/>
        <v>6.6377135829040479E-4</v>
      </c>
      <c r="G129" s="643"/>
      <c r="H129" s="702">
        <f t="shared" si="13"/>
        <v>3772.3791362095976</v>
      </c>
      <c r="I129" s="702"/>
      <c r="J129" s="643"/>
      <c r="K129" s="643"/>
      <c r="L129" s="703">
        <f t="shared" si="19"/>
        <v>3922.263712136039</v>
      </c>
      <c r="M129" s="720"/>
      <c r="N129" s="639">
        <f t="shared" si="15"/>
        <v>2076.7438051837166</v>
      </c>
      <c r="O129" s="643"/>
      <c r="P129" s="643"/>
      <c r="Q129" s="643"/>
      <c r="R129" s="944">
        <f t="shared" si="16"/>
        <v>6.637713582904049E-4</v>
      </c>
      <c r="S129" s="643"/>
      <c r="T129" s="702">
        <f t="shared" si="17"/>
        <v>4084.5183940581501</v>
      </c>
      <c r="U129" s="702"/>
      <c r="V129" s="643"/>
      <c r="W129" s="643"/>
      <c r="X129" s="703">
        <f t="shared" si="20"/>
        <v>4246.8049207438762</v>
      </c>
    </row>
    <row r="130" spans="1:24" s="97" customFormat="1" ht="15.6" x14ac:dyDescent="0.25">
      <c r="A130" s="48">
        <v>902.01</v>
      </c>
      <c r="B130" s="48" t="s">
        <v>761</v>
      </c>
      <c r="D130" s="639">
        <v>30462.51</v>
      </c>
      <c r="E130" s="444"/>
      <c r="F130" s="944">
        <f t="shared" si="12"/>
        <v>9.8912274132982939E-3</v>
      </c>
      <c r="G130" s="643"/>
      <c r="H130" s="702">
        <f t="shared" si="13"/>
        <v>56214.326604170827</v>
      </c>
      <c r="I130" s="702"/>
      <c r="J130" s="643"/>
      <c r="K130" s="643"/>
      <c r="L130" s="703">
        <f t="shared" si="19"/>
        <v>58447.840309933315</v>
      </c>
      <c r="M130" s="720"/>
      <c r="N130" s="639">
        <f t="shared" si="15"/>
        <v>30946.718323515717</v>
      </c>
      <c r="O130" s="643"/>
      <c r="P130" s="643"/>
      <c r="Q130" s="643"/>
      <c r="R130" s="944">
        <f t="shared" si="16"/>
        <v>9.8912274132982939E-3</v>
      </c>
      <c r="S130" s="643"/>
      <c r="T130" s="702">
        <f t="shared" si="17"/>
        <v>60865.687868010427</v>
      </c>
      <c r="U130" s="702"/>
      <c r="V130" s="643"/>
      <c r="W130" s="643"/>
      <c r="X130" s="703">
        <f t="shared" si="20"/>
        <v>63284.009962680451</v>
      </c>
    </row>
    <row r="131" spans="1:24" s="97" customFormat="1" ht="15.6" x14ac:dyDescent="0.25">
      <c r="A131" s="456">
        <v>902.05</v>
      </c>
      <c r="B131" s="97" t="s">
        <v>411</v>
      </c>
      <c r="D131" s="639"/>
      <c r="E131" s="444"/>
      <c r="F131" s="944">
        <f t="shared" si="12"/>
        <v>0</v>
      </c>
      <c r="G131" s="643"/>
      <c r="H131" s="702">
        <f t="shared" si="13"/>
        <v>0</v>
      </c>
      <c r="I131" s="702"/>
      <c r="J131" s="643"/>
      <c r="K131" s="643"/>
      <c r="L131" s="703">
        <f t="shared" si="19"/>
        <v>0</v>
      </c>
      <c r="M131" s="720"/>
      <c r="N131" s="639">
        <f t="shared" si="15"/>
        <v>0</v>
      </c>
      <c r="O131" s="643"/>
      <c r="P131" s="643"/>
      <c r="Q131" s="643"/>
      <c r="R131" s="944">
        <f t="shared" ref="R131:R190" si="21">+(N131+P131)/($N$193+$P$193-$T$197+$T$204)</f>
        <v>0</v>
      </c>
      <c r="S131" s="643"/>
      <c r="T131" s="702">
        <f t="shared" ref="T131:T190" si="22">+(R131*$T$200)+(N131+P131)</f>
        <v>0</v>
      </c>
      <c r="U131" s="702"/>
      <c r="V131" s="643"/>
      <c r="W131" s="643"/>
      <c r="X131" s="703">
        <f t="shared" si="20"/>
        <v>0</v>
      </c>
    </row>
    <row r="132" spans="1:24" s="97" customFormat="1" ht="15.6" x14ac:dyDescent="0.25">
      <c r="A132" s="48">
        <v>903</v>
      </c>
      <c r="B132" s="97" t="s">
        <v>762</v>
      </c>
      <c r="D132" s="639">
        <v>11922.2</v>
      </c>
      <c r="E132" s="444"/>
      <c r="F132" s="944">
        <f t="shared" si="12"/>
        <v>3.8711580715714146E-3</v>
      </c>
      <c r="G132" s="643"/>
      <c r="H132" s="702">
        <f t="shared" si="13"/>
        <v>22000.762400742606</v>
      </c>
      <c r="I132" s="702"/>
      <c r="J132" s="643"/>
      <c r="K132" s="643"/>
      <c r="L132" s="703">
        <f t="shared" si="19"/>
        <v>22874.899072436488</v>
      </c>
      <c r="M132" s="720"/>
      <c r="N132" s="639">
        <f t="shared" ref="N132:N190" si="23">+(D132/($D$193-D$55))*$N$194</f>
        <v>12111.706001791026</v>
      </c>
      <c r="O132" s="643"/>
      <c r="P132" s="643"/>
      <c r="Q132" s="643"/>
      <c r="R132" s="944">
        <f t="shared" si="21"/>
        <v>3.871158071571415E-3</v>
      </c>
      <c r="S132" s="643"/>
      <c r="T132" s="702">
        <f t="shared" si="22"/>
        <v>23821.179013154004</v>
      </c>
      <c r="U132" s="702"/>
      <c r="V132" s="643"/>
      <c r="W132" s="643"/>
      <c r="X132" s="703">
        <f t="shared" si="20"/>
        <v>24767.64467462034</v>
      </c>
    </row>
    <row r="133" spans="1:24" s="97" customFormat="1" ht="15.6" x14ac:dyDescent="0.25">
      <c r="A133" s="48">
        <v>903.02</v>
      </c>
      <c r="B133" s="97" t="s">
        <v>414</v>
      </c>
      <c r="D133" s="639">
        <v>22529.52</v>
      </c>
      <c r="E133" s="444"/>
      <c r="F133" s="944">
        <f t="shared" si="12"/>
        <v>7.3153724309799883E-3</v>
      </c>
      <c r="G133" s="643"/>
      <c r="H133" s="702">
        <f t="shared" si="13"/>
        <v>41575.096586433589</v>
      </c>
      <c r="I133" s="702"/>
      <c r="J133" s="643" t="str">
        <f>+V133</f>
        <v>Cust Svc</v>
      </c>
      <c r="K133" s="643"/>
      <c r="L133" s="703">
        <f t="shared" si="19"/>
        <v>43226.962821495974</v>
      </c>
      <c r="M133" s="720"/>
      <c r="N133" s="639">
        <f t="shared" si="23"/>
        <v>22887.631695615823</v>
      </c>
      <c r="O133" s="643"/>
      <c r="P133" s="643"/>
      <c r="Q133" s="643"/>
      <c r="R133" s="944">
        <f t="shared" si="21"/>
        <v>7.3153724309799892E-3</v>
      </c>
      <c r="S133" s="643"/>
      <c r="T133" s="702">
        <f t="shared" si="22"/>
        <v>45015.159031087671</v>
      </c>
      <c r="U133" s="702"/>
      <c r="V133" s="643" t="s">
        <v>322</v>
      </c>
      <c r="W133" s="643"/>
      <c r="X133" s="703">
        <f t="shared" si="20"/>
        <v>46803.70619933842</v>
      </c>
    </row>
    <row r="134" spans="1:24" s="97" customFormat="1" ht="15.6" x14ac:dyDescent="0.25">
      <c r="A134" s="48">
        <v>903.03</v>
      </c>
      <c r="B134" s="97" t="s">
        <v>415</v>
      </c>
      <c r="D134" s="639">
        <v>19848.73</v>
      </c>
      <c r="E134" s="444"/>
      <c r="F134" s="944">
        <f t="shared" ref="F134:F190" si="24">+D134/($D$193-$H$197+$H$204)</f>
        <v>6.4449154811982417E-3</v>
      </c>
      <c r="G134" s="643"/>
      <c r="H134" s="702">
        <f t="shared" ref="H134:H190" si="25">+(F134*$H$200)+D134</f>
        <v>36628.071386698066</v>
      </c>
      <c r="I134" s="702"/>
      <c r="J134" s="702">
        <f>SUM(L129:L134)+SUM(L136:L148)</f>
        <v>641108.92629040941</v>
      </c>
      <c r="K134" s="643"/>
      <c r="L134" s="703">
        <f t="shared" si="19"/>
        <v>38083.381881367714</v>
      </c>
      <c r="M134" s="720"/>
      <c r="N134" s="639">
        <f t="shared" si="23"/>
        <v>20164.229946564359</v>
      </c>
      <c r="O134" s="643"/>
      <c r="P134" s="643"/>
      <c r="Q134" s="643"/>
      <c r="R134" s="944">
        <f t="shared" si="21"/>
        <v>6.4449154811982434E-3</v>
      </c>
      <c r="S134" s="643"/>
      <c r="T134" s="702">
        <f t="shared" si="22"/>
        <v>39658.80043228266</v>
      </c>
      <c r="U134" s="702"/>
      <c r="V134" s="702">
        <f>SUM(X129:X134)+SUM(X136:X148)</f>
        <v>694156.42157834105</v>
      </c>
      <c r="W134" s="643"/>
      <c r="X134" s="703">
        <f t="shared" si="20"/>
        <v>41234.528181248184</v>
      </c>
    </row>
    <row r="135" spans="1:24" s="97" customFormat="1" ht="15.6" x14ac:dyDescent="0.25">
      <c r="A135" s="332">
        <v>920.01</v>
      </c>
      <c r="B135" s="333" t="s">
        <v>438</v>
      </c>
      <c r="C135" s="333"/>
      <c r="D135" s="638">
        <v>425028.95</v>
      </c>
      <c r="E135" s="444"/>
      <c r="F135" s="944">
        <f t="shared" si="24"/>
        <v>0.1380076034996916</v>
      </c>
      <c r="G135" s="643"/>
      <c r="H135" s="702">
        <f t="shared" si="25"/>
        <v>784331.8298960852</v>
      </c>
      <c r="I135" s="702"/>
      <c r="J135" s="643"/>
      <c r="K135" s="643"/>
      <c r="L135" s="703">
        <f t="shared" si="19"/>
        <v>815494.98700857663</v>
      </c>
      <c r="M135" s="720"/>
      <c r="N135" s="639">
        <f t="shared" si="23"/>
        <v>431784.87901980651</v>
      </c>
      <c r="O135" s="643"/>
      <c r="P135" s="643"/>
      <c r="Q135" s="643"/>
      <c r="R135" s="944">
        <f t="shared" si="21"/>
        <v>0.1380076034996916</v>
      </c>
      <c r="S135" s="643"/>
      <c r="T135" s="702">
        <f t="shared" si="22"/>
        <v>849230.06691071123</v>
      </c>
      <c r="U135" s="702"/>
      <c r="V135" s="643"/>
      <c r="W135" s="643"/>
      <c r="X135" s="703">
        <f t="shared" si="20"/>
        <v>882971.7677967971</v>
      </c>
    </row>
    <row r="136" spans="1:24" s="97" customFormat="1" ht="15.6" x14ac:dyDescent="0.25">
      <c r="A136" s="48">
        <v>903.04</v>
      </c>
      <c r="B136" s="97" t="s">
        <v>416</v>
      </c>
      <c r="D136" s="639">
        <v>1178.57</v>
      </c>
      <c r="E136" s="444"/>
      <c r="F136" s="944">
        <f t="shared" si="24"/>
        <v>3.8268362956601313E-4</v>
      </c>
      <c r="G136" s="643"/>
      <c r="H136" s="702">
        <f t="shared" si="25"/>
        <v>2174.8870630121291</v>
      </c>
      <c r="I136" s="702"/>
      <c r="J136" s="643"/>
      <c r="K136" s="643"/>
      <c r="L136" s="703">
        <f t="shared" si="19"/>
        <v>2261.2999110735823</v>
      </c>
      <c r="M136" s="720"/>
      <c r="N136" s="639">
        <f t="shared" si="23"/>
        <v>1197.3036304147597</v>
      </c>
      <c r="O136" s="643"/>
      <c r="P136" s="643"/>
      <c r="Q136" s="643"/>
      <c r="R136" s="944">
        <f t="shared" si="21"/>
        <v>3.8268362956601318E-4</v>
      </c>
      <c r="S136" s="643"/>
      <c r="T136" s="702">
        <f t="shared" si="22"/>
        <v>2354.8444875553937</v>
      </c>
      <c r="U136" s="702"/>
      <c r="V136" s="643"/>
      <c r="W136" s="643"/>
      <c r="X136" s="703">
        <f t="shared" si="20"/>
        <v>2448.4074234761451</v>
      </c>
    </row>
    <row r="137" spans="1:24" s="97" customFormat="1" ht="15.6" x14ac:dyDescent="0.25">
      <c r="A137" s="48">
        <v>903.05</v>
      </c>
      <c r="B137" s="97" t="s">
        <v>417</v>
      </c>
      <c r="D137" s="639">
        <v>25181.99</v>
      </c>
      <c r="E137" s="444"/>
      <c r="F137" s="944">
        <f t="shared" si="24"/>
        <v>8.1766338298913492E-3</v>
      </c>
      <c r="G137" s="643"/>
      <c r="H137" s="702">
        <f t="shared" si="25"/>
        <v>46469.861163868773</v>
      </c>
      <c r="I137" s="702"/>
      <c r="J137" s="643"/>
      <c r="K137" s="643"/>
      <c r="L137" s="703">
        <f t="shared" si="19"/>
        <v>48316.20671462523</v>
      </c>
      <c r="M137" s="720"/>
      <c r="N137" s="639">
        <f t="shared" si="23"/>
        <v>25582.263292013351</v>
      </c>
      <c r="O137" s="643"/>
      <c r="P137" s="643"/>
      <c r="Q137" s="643"/>
      <c r="R137" s="944">
        <f t="shared" si="21"/>
        <v>8.1766338298913492E-3</v>
      </c>
      <c r="S137" s="643"/>
      <c r="T137" s="702">
        <f t="shared" si="22"/>
        <v>50314.932789036749</v>
      </c>
      <c r="U137" s="702"/>
      <c r="V137" s="643"/>
      <c r="W137" s="643"/>
      <c r="X137" s="703">
        <f t="shared" si="20"/>
        <v>52314.051141554635</v>
      </c>
    </row>
    <row r="138" spans="1:24" s="97" customFormat="1" ht="15.6" x14ac:dyDescent="0.25">
      <c r="A138" s="48">
        <v>903.06</v>
      </c>
      <c r="B138" s="97" t="s">
        <v>418</v>
      </c>
      <c r="D138" s="639">
        <v>3152.8</v>
      </c>
      <c r="E138" s="444"/>
      <c r="F138" s="944">
        <f t="shared" si="24"/>
        <v>1.0237193779713775E-3</v>
      </c>
      <c r="G138" s="643"/>
      <c r="H138" s="702">
        <f t="shared" si="25"/>
        <v>5818.0540250173017</v>
      </c>
      <c r="I138" s="702"/>
      <c r="J138" s="643"/>
      <c r="K138" s="643"/>
      <c r="L138" s="703">
        <f t="shared" si="19"/>
        <v>6049.2175769218557</v>
      </c>
      <c r="M138" s="720"/>
      <c r="N138" s="639">
        <f t="shared" si="23"/>
        <v>3202.9144522358915</v>
      </c>
      <c r="O138" s="643"/>
      <c r="P138" s="643"/>
      <c r="Q138" s="643"/>
      <c r="R138" s="944">
        <f t="shared" si="21"/>
        <v>1.0237193779713775E-3</v>
      </c>
      <c r="S138" s="643"/>
      <c r="T138" s="702">
        <f t="shared" si="22"/>
        <v>6299.4592602600151</v>
      </c>
      <c r="U138" s="702"/>
      <c r="V138" s="643"/>
      <c r="W138" s="643"/>
      <c r="X138" s="703">
        <f t="shared" si="20"/>
        <v>6549.750057048449</v>
      </c>
    </row>
    <row r="139" spans="1:24" s="97" customFormat="1" ht="15.6" x14ac:dyDescent="0.25">
      <c r="A139" s="48">
        <v>903.07</v>
      </c>
      <c r="B139" s="97" t="s">
        <v>419</v>
      </c>
      <c r="D139" s="639">
        <v>90208.35</v>
      </c>
      <c r="E139" s="444"/>
      <c r="F139" s="944">
        <f t="shared" si="24"/>
        <v>2.9290800542319306E-2</v>
      </c>
      <c r="G139" s="643"/>
      <c r="H139" s="702">
        <f t="shared" si="25"/>
        <v>166466.96707931667</v>
      </c>
      <c r="I139" s="702"/>
      <c r="J139" s="643"/>
      <c r="K139" s="643"/>
      <c r="L139" s="703">
        <f t="shared" si="19"/>
        <v>173081.05062329318</v>
      </c>
      <c r="M139" s="720"/>
      <c r="N139" s="639">
        <f t="shared" si="23"/>
        <v>91642.231644047701</v>
      </c>
      <c r="O139" s="643"/>
      <c r="P139" s="643"/>
      <c r="Q139" s="643"/>
      <c r="R139" s="944">
        <f t="shared" si="21"/>
        <v>2.9290800542319306E-2</v>
      </c>
      <c r="S139" s="643"/>
      <c r="T139" s="702">
        <f t="shared" si="22"/>
        <v>180241.00030457892</v>
      </c>
      <c r="U139" s="702"/>
      <c r="V139" s="643"/>
      <c r="W139" s="643"/>
      <c r="X139" s="703">
        <f t="shared" si="20"/>
        <v>187402.35522670209</v>
      </c>
    </row>
    <row r="140" spans="1:24" s="97" customFormat="1" ht="15.6" x14ac:dyDescent="0.25">
      <c r="A140" s="48">
        <v>903.11</v>
      </c>
      <c r="B140" s="97" t="s">
        <v>421</v>
      </c>
      <c r="D140" s="639">
        <v>7963.18</v>
      </c>
      <c r="E140" s="444"/>
      <c r="F140" s="944">
        <f t="shared" si="24"/>
        <v>2.5856577252835935E-3</v>
      </c>
      <c r="G140" s="643"/>
      <c r="H140" s="702">
        <f t="shared" si="25"/>
        <v>14694.941465027048</v>
      </c>
      <c r="I140" s="702"/>
      <c r="J140" s="643"/>
      <c r="K140" s="643"/>
      <c r="L140" s="703">
        <f t="shared" si="19"/>
        <v>15278.802468977601</v>
      </c>
      <c r="M140" s="720"/>
      <c r="N140" s="639">
        <f t="shared" si="23"/>
        <v>8089.7565046167865</v>
      </c>
      <c r="O140" s="643"/>
      <c r="P140" s="643"/>
      <c r="Q140" s="643"/>
      <c r="R140" s="944">
        <f t="shared" si="21"/>
        <v>2.5856577252835935E-3</v>
      </c>
      <c r="S140" s="643"/>
      <c r="T140" s="702">
        <f t="shared" si="22"/>
        <v>15910.850035561196</v>
      </c>
      <c r="U140" s="702"/>
      <c r="V140" s="643"/>
      <c r="W140" s="643"/>
      <c r="X140" s="703">
        <f t="shared" si="20"/>
        <v>16543.021650370167</v>
      </c>
    </row>
    <row r="141" spans="1:24" s="97" customFormat="1" ht="15.6" x14ac:dyDescent="0.25">
      <c r="A141" s="48">
        <v>903.13</v>
      </c>
      <c r="B141" s="97" t="s">
        <v>422</v>
      </c>
      <c r="D141" s="639">
        <v>314.68</v>
      </c>
      <c r="E141" s="444"/>
      <c r="F141" s="944">
        <f t="shared" si="24"/>
        <v>1.0217711680412111E-4</v>
      </c>
      <c r="G141" s="643"/>
      <c r="H141" s="702">
        <f t="shared" si="25"/>
        <v>580.69818592757065</v>
      </c>
      <c r="I141" s="702"/>
      <c r="J141" s="643"/>
      <c r="K141" s="643"/>
      <c r="L141" s="703">
        <f t="shared" si="19"/>
        <v>603.77054906932563</v>
      </c>
      <c r="M141" s="720"/>
      <c r="N141" s="639">
        <f t="shared" si="23"/>
        <v>319.68190809109052</v>
      </c>
      <c r="O141" s="643"/>
      <c r="P141" s="643"/>
      <c r="Q141" s="643"/>
      <c r="R141" s="944">
        <f t="shared" si="21"/>
        <v>1.0217711680412111E-4</v>
      </c>
      <c r="S141" s="643"/>
      <c r="T141" s="702">
        <f t="shared" si="22"/>
        <v>628.74709465193519</v>
      </c>
      <c r="U141" s="702"/>
      <c r="V141" s="643"/>
      <c r="W141" s="643"/>
      <c r="X141" s="703">
        <f t="shared" si="20"/>
        <v>653.72854223293757</v>
      </c>
    </row>
    <row r="142" spans="1:24" s="97" customFormat="1" ht="15.6" x14ac:dyDescent="0.25">
      <c r="A142" s="48">
        <v>903.5</v>
      </c>
      <c r="B142" s="97" t="s">
        <v>423</v>
      </c>
      <c r="D142" s="639">
        <v>108.38</v>
      </c>
      <c r="E142" s="444"/>
      <c r="F142" s="944">
        <f t="shared" si="24"/>
        <v>3.5191165371903667E-5</v>
      </c>
      <c r="G142" s="643"/>
      <c r="H142" s="702">
        <f t="shared" si="25"/>
        <v>200.00022051236209</v>
      </c>
      <c r="I142" s="702"/>
      <c r="J142" s="643"/>
      <c r="K142" s="643"/>
      <c r="L142" s="703">
        <f t="shared" si="19"/>
        <v>207.94665090928405</v>
      </c>
      <c r="M142" s="720"/>
      <c r="N142" s="639">
        <f t="shared" si="23"/>
        <v>110.10272403366083</v>
      </c>
      <c r="O142" s="643"/>
      <c r="P142" s="643"/>
      <c r="Q142" s="643"/>
      <c r="R142" s="944">
        <f t="shared" si="21"/>
        <v>3.5191165371903667E-5</v>
      </c>
      <c r="S142" s="643"/>
      <c r="T142" s="702">
        <f t="shared" si="22"/>
        <v>216.54890720216326</v>
      </c>
      <c r="U142" s="702"/>
      <c r="V142" s="643"/>
      <c r="W142" s="643"/>
      <c r="X142" s="703">
        <f t="shared" si="20"/>
        <v>225.15285180884001</v>
      </c>
    </row>
    <row r="143" spans="1:24" s="97" customFormat="1" ht="15.6" x14ac:dyDescent="0.25">
      <c r="A143" s="48">
        <v>905.01</v>
      </c>
      <c r="B143" s="97" t="s">
        <v>424</v>
      </c>
      <c r="D143" s="639">
        <v>32868.980000000003</v>
      </c>
      <c r="E143" s="444"/>
      <c r="F143" s="944">
        <f t="shared" si="24"/>
        <v>1.0672612205072839E-2</v>
      </c>
      <c r="G143" s="643"/>
      <c r="H143" s="702">
        <f t="shared" si="25"/>
        <v>60655.132386200588</v>
      </c>
      <c r="I143" s="702"/>
      <c r="J143" s="643"/>
      <c r="K143" s="643"/>
      <c r="L143" s="703">
        <f t="shared" si="19"/>
        <v>63065.088667689975</v>
      </c>
      <c r="M143" s="720"/>
      <c r="N143" s="639">
        <f t="shared" si="23"/>
        <v>33391.439695588837</v>
      </c>
      <c r="O143" s="643"/>
      <c r="P143" s="643"/>
      <c r="Q143" s="643"/>
      <c r="R143" s="944">
        <f t="shared" si="21"/>
        <v>1.067261220507284E-2</v>
      </c>
      <c r="S143" s="643"/>
      <c r="T143" s="702">
        <f t="shared" si="22"/>
        <v>65673.940762592378</v>
      </c>
      <c r="U143" s="702"/>
      <c r="V143" s="643"/>
      <c r="W143" s="643"/>
      <c r="X143" s="703">
        <f t="shared" si="20"/>
        <v>68283.304881414733</v>
      </c>
    </row>
    <row r="144" spans="1:24" s="97" customFormat="1" ht="15.6" x14ac:dyDescent="0.25">
      <c r="A144" s="48">
        <v>908.01</v>
      </c>
      <c r="B144" s="97" t="s">
        <v>428</v>
      </c>
      <c r="D144" s="639">
        <v>86356.3</v>
      </c>
      <c r="E144" s="444"/>
      <c r="F144" s="944">
        <f t="shared" si="24"/>
        <v>2.8040033532069797E-2</v>
      </c>
      <c r="G144" s="643"/>
      <c r="H144" s="702">
        <f t="shared" si="25"/>
        <v>159358.5444051642</v>
      </c>
      <c r="I144" s="702"/>
      <c r="J144" s="643"/>
      <c r="K144" s="643"/>
      <c r="L144" s="703">
        <f t="shared" si="19"/>
        <v>165690.19533047985</v>
      </c>
      <c r="M144" s="720"/>
      <c r="N144" s="639">
        <f t="shared" si="23"/>
        <v>87728.952458645741</v>
      </c>
      <c r="O144" s="643"/>
      <c r="P144" s="643"/>
      <c r="Q144" s="643"/>
      <c r="R144" s="944">
        <f t="shared" si="21"/>
        <v>2.8040033532069797E-2</v>
      </c>
      <c r="S144" s="643"/>
      <c r="T144" s="702">
        <f t="shared" si="22"/>
        <v>172544.40298045921</v>
      </c>
      <c r="U144" s="702"/>
      <c r="V144" s="643"/>
      <c r="W144" s="643"/>
      <c r="X144" s="703">
        <f t="shared" si="20"/>
        <v>179399.95586510177</v>
      </c>
    </row>
    <row r="145" spans="1:24" s="97" customFormat="1" ht="15.6" x14ac:dyDescent="0.25">
      <c r="A145" s="48">
        <v>908.04</v>
      </c>
      <c r="B145" s="97" t="s">
        <v>763</v>
      </c>
      <c r="D145" s="639"/>
      <c r="E145" s="444"/>
      <c r="F145" s="944">
        <f t="shared" si="24"/>
        <v>0</v>
      </c>
      <c r="G145" s="643"/>
      <c r="H145" s="702">
        <f t="shared" si="25"/>
        <v>0</v>
      </c>
      <c r="I145" s="702"/>
      <c r="J145" s="643"/>
      <c r="K145" s="643"/>
      <c r="L145" s="703">
        <f t="shared" si="19"/>
        <v>0</v>
      </c>
      <c r="M145" s="720"/>
      <c r="N145" s="639">
        <f t="shared" si="23"/>
        <v>0</v>
      </c>
      <c r="O145" s="643"/>
      <c r="P145" s="643"/>
      <c r="Q145" s="643"/>
      <c r="R145" s="944">
        <f t="shared" si="21"/>
        <v>0</v>
      </c>
      <c r="S145" s="643"/>
      <c r="T145" s="702">
        <f t="shared" si="22"/>
        <v>0</v>
      </c>
      <c r="U145" s="702"/>
      <c r="V145" s="643"/>
      <c r="W145" s="643"/>
      <c r="X145" s="703">
        <f t="shared" si="20"/>
        <v>0</v>
      </c>
    </row>
    <row r="146" spans="1:24" s="97" customFormat="1" ht="15.6" x14ac:dyDescent="0.25">
      <c r="A146" s="48">
        <v>908.06</v>
      </c>
      <c r="B146" s="97" t="s">
        <v>432</v>
      </c>
      <c r="D146" s="639"/>
      <c r="E146" s="444"/>
      <c r="F146" s="944">
        <f t="shared" si="24"/>
        <v>0</v>
      </c>
      <c r="G146" s="643"/>
      <c r="H146" s="702">
        <f t="shared" si="25"/>
        <v>0</v>
      </c>
      <c r="I146" s="702"/>
      <c r="J146" s="643"/>
      <c r="K146" s="643"/>
      <c r="L146" s="703">
        <f t="shared" si="19"/>
        <v>0</v>
      </c>
      <c r="M146" s="720"/>
      <c r="N146" s="639">
        <f t="shared" si="23"/>
        <v>0</v>
      </c>
      <c r="O146" s="643"/>
      <c r="P146" s="643"/>
      <c r="Q146" s="643"/>
      <c r="R146" s="944">
        <f t="shared" si="21"/>
        <v>0</v>
      </c>
      <c r="S146" s="643"/>
      <c r="T146" s="702">
        <f t="shared" si="22"/>
        <v>0</v>
      </c>
      <c r="U146" s="702"/>
      <c r="V146" s="643"/>
      <c r="W146" s="643"/>
      <c r="X146" s="703">
        <f t="shared" si="20"/>
        <v>0</v>
      </c>
    </row>
    <row r="147" spans="1:24" s="97" customFormat="1" ht="15.6" x14ac:dyDescent="0.25">
      <c r="A147" s="48">
        <v>908.07</v>
      </c>
      <c r="B147" s="97" t="s">
        <v>433</v>
      </c>
      <c r="D147" s="639"/>
      <c r="E147" s="444"/>
      <c r="F147" s="944">
        <f t="shared" si="24"/>
        <v>0</v>
      </c>
      <c r="G147" s="643"/>
      <c r="H147" s="702">
        <f t="shared" si="25"/>
        <v>0</v>
      </c>
      <c r="I147" s="702"/>
      <c r="J147" s="643"/>
      <c r="K147" s="643"/>
      <c r="L147" s="703">
        <f t="shared" si="19"/>
        <v>0</v>
      </c>
      <c r="M147" s="720"/>
      <c r="N147" s="639">
        <f t="shared" si="23"/>
        <v>0</v>
      </c>
      <c r="O147" s="643"/>
      <c r="P147" s="643"/>
      <c r="Q147" s="643"/>
      <c r="R147" s="944">
        <f t="shared" si="21"/>
        <v>0</v>
      </c>
      <c r="S147" s="643"/>
      <c r="T147" s="702">
        <f t="shared" si="22"/>
        <v>0</v>
      </c>
      <c r="U147" s="702"/>
      <c r="V147" s="643"/>
      <c r="W147" s="643"/>
      <c r="X147" s="703">
        <f t="shared" si="20"/>
        <v>0</v>
      </c>
    </row>
    <row r="148" spans="1:24" s="97" customFormat="1" ht="15.6" x14ac:dyDescent="0.25">
      <c r="A148" s="48">
        <v>909.01</v>
      </c>
      <c r="B148" s="97" t="s">
        <v>436</v>
      </c>
      <c r="D148" s="639"/>
      <c r="E148" s="444"/>
      <c r="F148" s="944">
        <f t="shared" si="24"/>
        <v>0</v>
      </c>
      <c r="G148" s="643"/>
      <c r="H148" s="702">
        <f t="shared" si="25"/>
        <v>0</v>
      </c>
      <c r="I148" s="702"/>
      <c r="J148" s="643"/>
      <c r="K148" s="643"/>
      <c r="L148" s="703">
        <f t="shared" si="19"/>
        <v>0</v>
      </c>
      <c r="M148" s="720"/>
      <c r="N148" s="639">
        <f t="shared" si="23"/>
        <v>0</v>
      </c>
      <c r="O148" s="643"/>
      <c r="P148" s="643"/>
      <c r="Q148" s="643"/>
      <c r="R148" s="944">
        <f t="shared" si="21"/>
        <v>0</v>
      </c>
      <c r="S148" s="643"/>
      <c r="T148" s="702">
        <f t="shared" si="22"/>
        <v>0</v>
      </c>
      <c r="U148" s="702"/>
      <c r="V148" s="643"/>
      <c r="W148" s="643"/>
      <c r="X148" s="703">
        <f t="shared" si="20"/>
        <v>0</v>
      </c>
    </row>
    <row r="149" spans="1:24" s="97" customFormat="1" ht="15.6" x14ac:dyDescent="0.25">
      <c r="A149" s="48">
        <v>920</v>
      </c>
      <c r="B149" s="332" t="s">
        <v>439</v>
      </c>
      <c r="D149" s="639"/>
      <c r="E149" s="444"/>
      <c r="F149" s="944">
        <f t="shared" si="24"/>
        <v>0</v>
      </c>
      <c r="G149" s="643"/>
      <c r="H149" s="702">
        <f t="shared" si="25"/>
        <v>0</v>
      </c>
      <c r="I149" s="702"/>
      <c r="J149" s="643"/>
      <c r="K149" s="643"/>
      <c r="L149" s="703">
        <f t="shared" si="19"/>
        <v>0</v>
      </c>
      <c r="M149" s="720"/>
      <c r="N149" s="639">
        <f t="shared" si="23"/>
        <v>0</v>
      </c>
      <c r="O149" s="643"/>
      <c r="P149" s="643"/>
      <c r="Q149" s="643"/>
      <c r="R149" s="944">
        <f t="shared" si="21"/>
        <v>0</v>
      </c>
      <c r="S149" s="643"/>
      <c r="T149" s="702">
        <f t="shared" si="22"/>
        <v>0</v>
      </c>
      <c r="U149" s="702"/>
      <c r="V149" s="643"/>
      <c r="W149" s="643"/>
      <c r="X149" s="703">
        <f t="shared" si="20"/>
        <v>0</v>
      </c>
    </row>
    <row r="150" spans="1:24" s="97" customFormat="1" ht="16.5" customHeight="1" x14ac:dyDescent="0.25">
      <c r="A150" s="411" t="s">
        <v>1305</v>
      </c>
      <c r="B150" s="48" t="s">
        <v>440</v>
      </c>
      <c r="D150" s="639">
        <v>52169</v>
      </c>
      <c r="E150" s="444"/>
      <c r="F150" s="944">
        <f t="shared" si="24"/>
        <v>1.6939360641140822E-2</v>
      </c>
      <c r="G150" s="643"/>
      <c r="H150" s="702">
        <f t="shared" si="25"/>
        <v>96270.635762220132</v>
      </c>
      <c r="I150" s="702"/>
      <c r="J150" s="643"/>
      <c r="K150" s="643"/>
      <c r="L150" s="703">
        <f t="shared" si="19"/>
        <v>100095.67107664181</v>
      </c>
      <c r="M150" s="720"/>
      <c r="N150" s="639">
        <f t="shared" si="23"/>
        <v>52998.237775531023</v>
      </c>
      <c r="O150" s="643"/>
      <c r="P150" s="643"/>
      <c r="Q150" s="643"/>
      <c r="R150" s="944">
        <f t="shared" si="21"/>
        <v>1.6939360641140822E-2</v>
      </c>
      <c r="S150" s="643"/>
      <c r="T150" s="702">
        <f t="shared" si="22"/>
        <v>104236.38992276855</v>
      </c>
      <c r="U150" s="702"/>
      <c r="V150" s="643"/>
      <c r="W150" s="643"/>
      <c r="X150" s="703">
        <f t="shared" si="20"/>
        <v>108377.92144321254</v>
      </c>
    </row>
    <row r="151" spans="1:24" s="97" customFormat="1" ht="15.75" customHeight="1" x14ac:dyDescent="0.25">
      <c r="A151" s="48">
        <v>920.06</v>
      </c>
      <c r="B151" s="48" t="s">
        <v>441</v>
      </c>
      <c r="D151" s="639">
        <v>16960.8</v>
      </c>
      <c r="E151" s="444"/>
      <c r="F151" s="944">
        <f t="shared" si="24"/>
        <v>5.5071998305940553E-3</v>
      </c>
      <c r="G151" s="643"/>
      <c r="H151" s="702">
        <f t="shared" si="25"/>
        <v>31298.798118343519</v>
      </c>
      <c r="I151" s="702"/>
      <c r="J151" s="643"/>
      <c r="K151" s="643"/>
      <c r="L151" s="703">
        <f t="shared" si="19"/>
        <v>32542.365351007422</v>
      </c>
      <c r="M151" s="720"/>
      <c r="N151" s="639">
        <f t="shared" si="23"/>
        <v>17230.395661469964</v>
      </c>
      <c r="O151" s="643"/>
      <c r="P151" s="643"/>
      <c r="Q151" s="643"/>
      <c r="R151" s="944">
        <f t="shared" si="21"/>
        <v>5.5071998305940553E-3</v>
      </c>
      <c r="S151" s="643"/>
      <c r="T151" s="702">
        <f t="shared" si="22"/>
        <v>33888.565282104173</v>
      </c>
      <c r="U151" s="702"/>
      <c r="V151" s="643"/>
      <c r="W151" s="643"/>
      <c r="X151" s="703">
        <f t="shared" si="20"/>
        <v>35235.029423873166</v>
      </c>
    </row>
    <row r="152" spans="1:24" s="97" customFormat="1" ht="16.5" customHeight="1" x14ac:dyDescent="0.25">
      <c r="A152" s="48">
        <v>920.07</v>
      </c>
      <c r="B152" s="48" t="s">
        <v>442</v>
      </c>
      <c r="D152" s="639">
        <v>88998.7</v>
      </c>
      <c r="E152" s="444"/>
      <c r="F152" s="944">
        <f t="shared" si="24"/>
        <v>2.8898025185315028E-2</v>
      </c>
      <c r="G152" s="643"/>
      <c r="H152" s="702">
        <f t="shared" si="25"/>
        <v>164234.72619776306</v>
      </c>
      <c r="I152" s="702"/>
      <c r="J152" s="643"/>
      <c r="K152" s="643"/>
      <c r="L152" s="703">
        <f t="shared" si="19"/>
        <v>170760.11810555542</v>
      </c>
      <c r="M152" s="720"/>
      <c r="N152" s="639">
        <f t="shared" si="23"/>
        <v>90413.353990169504</v>
      </c>
      <c r="O152" s="643"/>
      <c r="P152" s="643"/>
      <c r="Q152" s="643"/>
      <c r="R152" s="944">
        <f t="shared" si="21"/>
        <v>2.8898025185315031E-2</v>
      </c>
      <c r="S152" s="643"/>
      <c r="T152" s="702">
        <f t="shared" si="22"/>
        <v>177824.0563518469</v>
      </c>
      <c r="U152" s="702"/>
      <c r="V152" s="643"/>
      <c r="W152" s="643"/>
      <c r="X152" s="703">
        <f t="shared" si="20"/>
        <v>184889.38099538116</v>
      </c>
    </row>
    <row r="153" spans="1:24" s="97" customFormat="1" ht="15.75" customHeight="1" x14ac:dyDescent="0.25">
      <c r="A153" s="48">
        <v>920.08</v>
      </c>
      <c r="B153" s="48" t="s">
        <v>443</v>
      </c>
      <c r="D153" s="639">
        <v>1045.47</v>
      </c>
      <c r="E153" s="444"/>
      <c r="F153" s="944">
        <f t="shared" si="24"/>
        <v>3.3946583928182438E-4</v>
      </c>
      <c r="G153" s="643"/>
      <c r="H153" s="702">
        <f t="shared" si="25"/>
        <v>1929.2695196443919</v>
      </c>
      <c r="I153" s="702"/>
      <c r="J153" s="643"/>
      <c r="K153" s="643"/>
      <c r="L153" s="703">
        <f t="shared" si="19"/>
        <v>2005.9234649024654</v>
      </c>
      <c r="M153" s="720"/>
      <c r="N153" s="639">
        <f t="shared" si="23"/>
        <v>1062.0879765221573</v>
      </c>
      <c r="O153" s="643"/>
      <c r="P153" s="643"/>
      <c r="Q153" s="643"/>
      <c r="R153" s="944">
        <f t="shared" si="21"/>
        <v>3.3946583928182443E-4</v>
      </c>
      <c r="S153" s="643"/>
      <c r="T153" s="702">
        <f t="shared" si="22"/>
        <v>2088.9037277417019</v>
      </c>
      <c r="U153" s="702"/>
      <c r="V153" s="643"/>
      <c r="W153" s="643"/>
      <c r="X153" s="703">
        <f t="shared" si="20"/>
        <v>2171.9002766247281</v>
      </c>
    </row>
    <row r="154" spans="1:24" s="97" customFormat="1" ht="15.6" x14ac:dyDescent="0.25">
      <c r="A154" s="48">
        <v>920.09</v>
      </c>
      <c r="B154" s="97" t="s">
        <v>444</v>
      </c>
      <c r="D154" s="639">
        <v>12239.37</v>
      </c>
      <c r="E154" s="444"/>
      <c r="F154" s="944">
        <f t="shared" si="24"/>
        <v>3.9741436954965547E-3</v>
      </c>
      <c r="G154" s="643"/>
      <c r="H154" s="702">
        <f t="shared" si="25"/>
        <v>22586.055535452935</v>
      </c>
      <c r="I154" s="702"/>
      <c r="J154" s="643"/>
      <c r="K154" s="643"/>
      <c r="L154" s="703">
        <f t="shared" si="19"/>
        <v>23483.447137290677</v>
      </c>
      <c r="M154" s="720"/>
      <c r="N154" s="639">
        <f t="shared" si="23"/>
        <v>12433.917488981986</v>
      </c>
      <c r="O154" s="643"/>
      <c r="P154" s="643"/>
      <c r="Q154" s="643"/>
      <c r="R154" s="944">
        <f t="shared" si="21"/>
        <v>3.9741436954965556E-3</v>
      </c>
      <c r="S154" s="643"/>
      <c r="T154" s="702">
        <f t="shared" si="22"/>
        <v>24454.901258008314</v>
      </c>
      <c r="U154" s="702"/>
      <c r="V154" s="643"/>
      <c r="W154" s="643"/>
      <c r="X154" s="703">
        <f t="shared" si="20"/>
        <v>25426.546040261695</v>
      </c>
    </row>
    <row r="155" spans="1:24" s="97" customFormat="1" ht="15.6" x14ac:dyDescent="0.25">
      <c r="A155" s="48">
        <v>920.11</v>
      </c>
      <c r="B155" s="97" t="s">
        <v>445</v>
      </c>
      <c r="D155" s="639">
        <v>23018.35</v>
      </c>
      <c r="E155" s="444"/>
      <c r="F155" s="944">
        <f t="shared" si="24"/>
        <v>7.4740963410071855E-3</v>
      </c>
      <c r="G155" s="643"/>
      <c r="H155" s="702">
        <f t="shared" si="25"/>
        <v>42477.164383010975</v>
      </c>
      <c r="I155" s="702"/>
      <c r="J155" s="643"/>
      <c r="K155" s="643"/>
      <c r="L155" s="703">
        <f t="shared" si="19"/>
        <v>44164.871673350412</v>
      </c>
      <c r="M155" s="720"/>
      <c r="N155" s="639">
        <f t="shared" si="23"/>
        <v>23384.231756414625</v>
      </c>
      <c r="O155" s="643"/>
      <c r="P155" s="643"/>
      <c r="Q155" s="643"/>
      <c r="R155" s="944">
        <f t="shared" si="21"/>
        <v>7.4740963410071864E-3</v>
      </c>
      <c r="S155" s="643"/>
      <c r="T155" s="702">
        <f t="shared" si="22"/>
        <v>45991.86693206233</v>
      </c>
      <c r="U155" s="702"/>
      <c r="V155" s="643"/>
      <c r="W155" s="643"/>
      <c r="X155" s="703">
        <f t="shared" si="20"/>
        <v>47819.220764292426</v>
      </c>
    </row>
    <row r="156" spans="1:24" s="97" customFormat="1" ht="15.6" x14ac:dyDescent="0.25">
      <c r="A156" s="48">
        <v>920.2</v>
      </c>
      <c r="B156" s="97" t="s">
        <v>764</v>
      </c>
      <c r="D156" s="639">
        <v>8665.83</v>
      </c>
      <c r="E156" s="444"/>
      <c r="F156" s="944">
        <f t="shared" si="24"/>
        <v>2.8138093431888168E-3</v>
      </c>
      <c r="G156" s="643"/>
      <c r="H156" s="702">
        <f t="shared" si="25"/>
        <v>15991.584341415784</v>
      </c>
      <c r="I156" s="702"/>
      <c r="J156" s="643"/>
      <c r="K156" s="643"/>
      <c r="L156" s="703">
        <f t="shared" si="19"/>
        <v>16626.963700398606</v>
      </c>
      <c r="M156" s="720"/>
      <c r="N156" s="639">
        <f t="shared" si="23"/>
        <v>8803.5752815336691</v>
      </c>
      <c r="O156" s="643"/>
      <c r="P156" s="643"/>
      <c r="Q156" s="643"/>
      <c r="R156" s="944">
        <f t="shared" si="21"/>
        <v>2.8138093431888168E-3</v>
      </c>
      <c r="S156" s="643"/>
      <c r="T156" s="702">
        <f t="shared" si="22"/>
        <v>17314.781477207256</v>
      </c>
      <c r="U156" s="702"/>
      <c r="V156" s="643"/>
      <c r="W156" s="643"/>
      <c r="X156" s="703">
        <f t="shared" si="20"/>
        <v>18002.734247929508</v>
      </c>
    </row>
    <row r="157" spans="1:24" s="97" customFormat="1" ht="15.6" x14ac:dyDescent="0.25">
      <c r="A157" s="48">
        <v>920.21</v>
      </c>
      <c r="B157" s="412" t="s">
        <v>868</v>
      </c>
      <c r="D157" s="639"/>
      <c r="E157" s="444"/>
      <c r="F157" s="944">
        <f t="shared" si="24"/>
        <v>0</v>
      </c>
      <c r="G157" s="643"/>
      <c r="H157" s="702">
        <f t="shared" si="25"/>
        <v>0</v>
      </c>
      <c r="I157" s="702"/>
      <c r="J157" s="643"/>
      <c r="K157" s="643"/>
      <c r="L157" s="703">
        <f t="shared" si="19"/>
        <v>0</v>
      </c>
      <c r="M157" s="720"/>
      <c r="N157" s="639">
        <f t="shared" si="23"/>
        <v>0</v>
      </c>
      <c r="O157" s="643"/>
      <c r="P157" s="643"/>
      <c r="Q157" s="643"/>
      <c r="R157" s="944">
        <f t="shared" si="21"/>
        <v>0</v>
      </c>
      <c r="S157" s="643"/>
      <c r="T157" s="702">
        <f t="shared" si="22"/>
        <v>0</v>
      </c>
      <c r="U157" s="702"/>
      <c r="V157" s="643"/>
      <c r="W157" s="643"/>
      <c r="X157" s="703">
        <f t="shared" si="20"/>
        <v>0</v>
      </c>
    </row>
    <row r="158" spans="1:24" s="97" customFormat="1" ht="15.6" x14ac:dyDescent="0.25">
      <c r="A158" s="48">
        <v>921.1</v>
      </c>
      <c r="B158" s="97" t="s">
        <v>446</v>
      </c>
      <c r="D158" s="639">
        <v>15427.01</v>
      </c>
      <c r="E158" s="444"/>
      <c r="F158" s="944">
        <f t="shared" si="24"/>
        <v>5.0091756791290978E-3</v>
      </c>
      <c r="G158" s="643"/>
      <c r="H158" s="702">
        <f t="shared" si="25"/>
        <v>28468.401936209772</v>
      </c>
      <c r="I158" s="702"/>
      <c r="J158" s="643"/>
      <c r="K158" s="643"/>
      <c r="L158" s="703">
        <f t="shared" si="19"/>
        <v>29599.51156157994</v>
      </c>
      <c r="M158" s="720"/>
      <c r="N158" s="639">
        <f t="shared" si="23"/>
        <v>15672.225730711629</v>
      </c>
      <c r="O158" s="643"/>
      <c r="P158" s="643"/>
      <c r="Q158" s="643"/>
      <c r="R158" s="944">
        <f t="shared" si="21"/>
        <v>5.0091756791290987E-3</v>
      </c>
      <c r="S158" s="643"/>
      <c r="T158" s="702">
        <f t="shared" si="22"/>
        <v>30823.972660055777</v>
      </c>
      <c r="U158" s="702"/>
      <c r="V158" s="643"/>
      <c r="W158" s="643"/>
      <c r="X158" s="703">
        <f t="shared" si="20"/>
        <v>32048.674076245559</v>
      </c>
    </row>
    <row r="159" spans="1:24" s="97" customFormat="1" ht="15.6" x14ac:dyDescent="0.25">
      <c r="A159" s="48">
        <v>921.11</v>
      </c>
      <c r="B159" s="97" t="s">
        <v>447</v>
      </c>
      <c r="D159" s="639">
        <v>187.12</v>
      </c>
      <c r="E159" s="444"/>
      <c r="F159" s="944">
        <f t="shared" si="24"/>
        <v>6.0758173688785885E-5</v>
      </c>
      <c r="G159" s="643"/>
      <c r="H159" s="702">
        <f t="shared" si="25"/>
        <v>345.30394226124002</v>
      </c>
      <c r="I159" s="702"/>
      <c r="J159" s="643"/>
      <c r="K159" s="643"/>
      <c r="L159" s="703">
        <f t="shared" si="19"/>
        <v>359.0235958492824</v>
      </c>
      <c r="M159" s="720"/>
      <c r="N159" s="639">
        <f t="shared" si="23"/>
        <v>190.09431372189164</v>
      </c>
      <c r="O159" s="643"/>
      <c r="P159" s="643"/>
      <c r="Q159" s="643"/>
      <c r="R159" s="944">
        <f t="shared" si="21"/>
        <v>6.0758173688785885E-5</v>
      </c>
      <c r="S159" s="643"/>
      <c r="T159" s="702">
        <f t="shared" si="22"/>
        <v>373.87554452545476</v>
      </c>
      <c r="U159" s="702"/>
      <c r="V159" s="643"/>
      <c r="W159" s="643"/>
      <c r="X159" s="703">
        <f t="shared" si="20"/>
        <v>388.7304081054636</v>
      </c>
    </row>
    <row r="160" spans="1:24" s="97" customFormat="1" ht="15.6" x14ac:dyDescent="0.25">
      <c r="A160" s="48">
        <v>921.12</v>
      </c>
      <c r="B160" s="97" t="s">
        <v>448</v>
      </c>
      <c r="D160" s="639">
        <v>484.93</v>
      </c>
      <c r="E160" s="444"/>
      <c r="F160" s="944">
        <f t="shared" si="24"/>
        <v>1.5745757357258947E-4</v>
      </c>
      <c r="G160" s="643"/>
      <c r="H160" s="702">
        <f t="shared" si="25"/>
        <v>894.8708888453566</v>
      </c>
      <c r="I160" s="702"/>
      <c r="J160" s="643"/>
      <c r="K160" s="643"/>
      <c r="L160" s="703">
        <f t="shared" si="19"/>
        <v>930.42599580586</v>
      </c>
      <c r="M160" s="720"/>
      <c r="N160" s="639">
        <f t="shared" si="23"/>
        <v>492.63806943756373</v>
      </c>
      <c r="O160" s="643"/>
      <c r="P160" s="643"/>
      <c r="Q160" s="643"/>
      <c r="R160" s="944">
        <f t="shared" si="21"/>
        <v>1.5745757357258947E-4</v>
      </c>
      <c r="S160" s="643"/>
      <c r="T160" s="702">
        <f t="shared" si="22"/>
        <v>968.9154970432279</v>
      </c>
      <c r="U160" s="702"/>
      <c r="V160" s="643"/>
      <c r="W160" s="643"/>
      <c r="X160" s="703">
        <f t="shared" si="20"/>
        <v>1007.4125523866101</v>
      </c>
    </row>
    <row r="161" spans="1:24" s="97" customFormat="1" ht="15.6" x14ac:dyDescent="0.25">
      <c r="A161" s="48">
        <v>923.03</v>
      </c>
      <c r="B161" s="412" t="s">
        <v>1085</v>
      </c>
      <c r="D161" s="639"/>
      <c r="E161" s="444"/>
      <c r="F161" s="944">
        <f t="shared" si="24"/>
        <v>0</v>
      </c>
      <c r="G161" s="643"/>
      <c r="H161" s="702">
        <f t="shared" si="25"/>
        <v>0</v>
      </c>
      <c r="I161" s="702"/>
      <c r="J161" s="643"/>
      <c r="K161" s="643"/>
      <c r="L161" s="703">
        <f t="shared" si="19"/>
        <v>0</v>
      </c>
      <c r="M161" s="720"/>
      <c r="N161" s="639">
        <f t="shared" si="23"/>
        <v>0</v>
      </c>
      <c r="O161" s="643"/>
      <c r="P161" s="643"/>
      <c r="Q161" s="643"/>
      <c r="R161" s="944">
        <f t="shared" si="21"/>
        <v>0</v>
      </c>
      <c r="S161" s="643"/>
      <c r="T161" s="702">
        <f t="shared" si="22"/>
        <v>0</v>
      </c>
      <c r="U161" s="702"/>
      <c r="V161" s="643"/>
      <c r="W161" s="643"/>
      <c r="X161" s="703">
        <f t="shared" si="20"/>
        <v>0</v>
      </c>
    </row>
    <row r="162" spans="1:24" s="97" customFormat="1" ht="15.6" x14ac:dyDescent="0.25">
      <c r="A162" s="48">
        <v>926.05</v>
      </c>
      <c r="B162" s="97" t="s">
        <v>765</v>
      </c>
      <c r="D162" s="639">
        <v>8537.34</v>
      </c>
      <c r="E162" s="444"/>
      <c r="F162" s="944">
        <f t="shared" si="24"/>
        <v>2.7720884275343059E-3</v>
      </c>
      <c r="G162" s="643"/>
      <c r="H162" s="702">
        <f t="shared" si="25"/>
        <v>15754.473912059508</v>
      </c>
      <c r="I162" s="702"/>
      <c r="J162" s="643"/>
      <c r="K162" s="643"/>
      <c r="L162" s="703">
        <f t="shared" si="19"/>
        <v>16380.43237381313</v>
      </c>
      <c r="M162" s="720"/>
      <c r="N162" s="639">
        <f t="shared" si="23"/>
        <v>8673.0429046090994</v>
      </c>
      <c r="O162" s="643"/>
      <c r="P162" s="643"/>
      <c r="Q162" s="643"/>
      <c r="R162" s="944">
        <f t="shared" si="21"/>
        <v>2.7720884275343064E-3</v>
      </c>
      <c r="S162" s="643"/>
      <c r="T162" s="702">
        <f t="shared" si="22"/>
        <v>17058.051738450977</v>
      </c>
      <c r="U162" s="702"/>
      <c r="V162" s="643"/>
      <c r="W162" s="643"/>
      <c r="X162" s="703">
        <f t="shared" si="20"/>
        <v>17735.804095420583</v>
      </c>
    </row>
    <row r="163" spans="1:24" s="97" customFormat="1" ht="15.6" hidden="1" x14ac:dyDescent="0.25">
      <c r="A163" s="332">
        <v>926.12</v>
      </c>
      <c r="B163" s="333"/>
      <c r="C163" s="333"/>
      <c r="D163" s="638"/>
      <c r="E163" s="444"/>
      <c r="F163" s="944">
        <f t="shared" si="24"/>
        <v>0</v>
      </c>
      <c r="G163" s="643"/>
      <c r="H163" s="702">
        <f t="shared" si="25"/>
        <v>0</v>
      </c>
      <c r="I163" s="702"/>
      <c r="J163" s="643"/>
      <c r="K163" s="643"/>
      <c r="L163" s="703">
        <f t="shared" si="19"/>
        <v>0</v>
      </c>
      <c r="M163" s="720"/>
      <c r="N163" s="639">
        <f t="shared" si="23"/>
        <v>0</v>
      </c>
      <c r="O163" s="643"/>
      <c r="P163" s="643"/>
      <c r="Q163" s="643"/>
      <c r="R163" s="944">
        <f t="shared" si="21"/>
        <v>0</v>
      </c>
      <c r="S163" s="643"/>
      <c r="T163" s="702">
        <f t="shared" si="22"/>
        <v>0</v>
      </c>
      <c r="U163" s="702"/>
      <c r="V163" s="643"/>
      <c r="W163" s="643"/>
      <c r="X163" s="703">
        <f t="shared" si="20"/>
        <v>0</v>
      </c>
    </row>
    <row r="164" spans="1:24" s="97" customFormat="1" ht="15.6" hidden="1" x14ac:dyDescent="0.25">
      <c r="A164" s="332">
        <v>926.13</v>
      </c>
      <c r="B164" s="333"/>
      <c r="C164" s="333"/>
      <c r="D164" s="638"/>
      <c r="E164" s="444"/>
      <c r="F164" s="944">
        <f t="shared" si="24"/>
        <v>0</v>
      </c>
      <c r="G164" s="643"/>
      <c r="H164" s="702">
        <f t="shared" si="25"/>
        <v>0</v>
      </c>
      <c r="I164" s="702"/>
      <c r="J164" s="643"/>
      <c r="K164" s="643"/>
      <c r="L164" s="703">
        <f t="shared" si="19"/>
        <v>0</v>
      </c>
      <c r="M164" s="720"/>
      <c r="N164" s="639">
        <f t="shared" si="23"/>
        <v>0</v>
      </c>
      <c r="O164" s="643"/>
      <c r="P164" s="643"/>
      <c r="Q164" s="643"/>
      <c r="R164" s="944">
        <f t="shared" si="21"/>
        <v>0</v>
      </c>
      <c r="S164" s="643"/>
      <c r="T164" s="702">
        <f t="shared" si="22"/>
        <v>0</v>
      </c>
      <c r="U164" s="702"/>
      <c r="V164" s="643"/>
      <c r="W164" s="643"/>
      <c r="X164" s="703">
        <f t="shared" si="20"/>
        <v>0</v>
      </c>
    </row>
    <row r="165" spans="1:24" s="97" customFormat="1" ht="15.6" x14ac:dyDescent="0.25">
      <c r="A165" s="48">
        <v>928.01</v>
      </c>
      <c r="B165" s="97" t="s">
        <v>452</v>
      </c>
      <c r="D165" s="639"/>
      <c r="E165" s="444"/>
      <c r="F165" s="944">
        <f t="shared" si="24"/>
        <v>0</v>
      </c>
      <c r="G165" s="643"/>
      <c r="H165" s="702">
        <f t="shared" si="25"/>
        <v>0</v>
      </c>
      <c r="I165" s="702"/>
      <c r="J165" s="643"/>
      <c r="K165" s="643"/>
      <c r="L165" s="703">
        <f t="shared" si="19"/>
        <v>0</v>
      </c>
      <c r="M165" s="720"/>
      <c r="N165" s="639">
        <f t="shared" si="23"/>
        <v>0</v>
      </c>
      <c r="O165" s="643"/>
      <c r="P165" s="643"/>
      <c r="Q165" s="643"/>
      <c r="R165" s="944">
        <f t="shared" si="21"/>
        <v>0</v>
      </c>
      <c r="S165" s="643"/>
      <c r="T165" s="702">
        <f t="shared" si="22"/>
        <v>0</v>
      </c>
      <c r="U165" s="702"/>
      <c r="V165" s="643"/>
      <c r="W165" s="643"/>
      <c r="X165" s="703">
        <f t="shared" si="20"/>
        <v>0</v>
      </c>
    </row>
    <row r="166" spans="1:24" s="97" customFormat="1" ht="15.6" x14ac:dyDescent="0.25">
      <c r="A166" s="48">
        <v>928.04</v>
      </c>
      <c r="B166" s="97" t="s">
        <v>453</v>
      </c>
      <c r="D166" s="639"/>
      <c r="E166" s="444"/>
      <c r="F166" s="944">
        <f>+D166/($D$193-$H$197+$H$204)</f>
        <v>0</v>
      </c>
      <c r="G166" s="643"/>
      <c r="H166" s="702">
        <f>+(F166*$H$200)+D166</f>
        <v>0</v>
      </c>
      <c r="I166" s="702"/>
      <c r="J166" s="643"/>
      <c r="K166" s="643"/>
      <c r="L166" s="703">
        <f t="shared" si="19"/>
        <v>0</v>
      </c>
      <c r="M166" s="720"/>
      <c r="N166" s="639">
        <f t="shared" si="23"/>
        <v>0</v>
      </c>
      <c r="O166" s="643"/>
      <c r="P166" s="643"/>
      <c r="Q166" s="643"/>
      <c r="R166" s="944">
        <f t="shared" si="21"/>
        <v>0</v>
      </c>
      <c r="S166" s="643"/>
      <c r="T166" s="702">
        <f t="shared" si="22"/>
        <v>0</v>
      </c>
      <c r="U166" s="702"/>
      <c r="V166" s="643"/>
      <c r="W166" s="643"/>
      <c r="X166" s="703">
        <f t="shared" si="20"/>
        <v>0</v>
      </c>
    </row>
    <row r="167" spans="1:24" s="97" customFormat="1" ht="15.6" x14ac:dyDescent="0.25">
      <c r="A167" s="48">
        <v>928.05</v>
      </c>
      <c r="B167" s="412" t="s">
        <v>865</v>
      </c>
      <c r="D167" s="639">
        <v>2470.15</v>
      </c>
      <c r="E167" s="444"/>
      <c r="F167" s="944">
        <f t="shared" si="24"/>
        <v>8.0206179316670827E-4</v>
      </c>
      <c r="G167" s="643"/>
      <c r="H167" s="702">
        <f t="shared" si="25"/>
        <v>4558.3183677672187</v>
      </c>
      <c r="I167" s="702"/>
      <c r="J167" s="643"/>
      <c r="K167" s="643"/>
      <c r="L167" s="703">
        <f t="shared" si="19"/>
        <v>4739.4299662628518</v>
      </c>
      <c r="M167" s="720"/>
      <c r="N167" s="639">
        <f t="shared" si="23"/>
        <v>2509.413579735628</v>
      </c>
      <c r="O167" s="643"/>
      <c r="P167" s="643"/>
      <c r="Q167" s="643"/>
      <c r="R167" s="944">
        <f t="shared" si="21"/>
        <v>8.0206179316670838E-4</v>
      </c>
      <c r="S167" s="643"/>
      <c r="T167" s="702">
        <f t="shared" si="22"/>
        <v>4935.488864416162</v>
      </c>
      <c r="U167" s="702"/>
      <c r="V167" s="643"/>
      <c r="W167" s="643"/>
      <c r="X167" s="703">
        <f t="shared" si="20"/>
        <v>5131.5862418860142</v>
      </c>
    </row>
    <row r="168" spans="1:24" s="97" customFormat="1" ht="15.6" x14ac:dyDescent="0.25">
      <c r="A168" s="48">
        <v>928.07</v>
      </c>
      <c r="B168" s="412" t="s">
        <v>869</v>
      </c>
      <c r="D168" s="639"/>
      <c r="E168" s="444"/>
      <c r="F168" s="944">
        <f t="shared" si="24"/>
        <v>0</v>
      </c>
      <c r="G168" s="643"/>
      <c r="H168" s="702">
        <f t="shared" si="25"/>
        <v>0</v>
      </c>
      <c r="I168" s="702"/>
      <c r="J168" s="643"/>
      <c r="K168" s="643"/>
      <c r="L168" s="703">
        <f t="shared" si="19"/>
        <v>0</v>
      </c>
      <c r="M168" s="720"/>
      <c r="N168" s="639">
        <f t="shared" si="23"/>
        <v>0</v>
      </c>
      <c r="O168" s="643"/>
      <c r="P168" s="643"/>
      <c r="Q168" s="643"/>
      <c r="R168" s="944">
        <f t="shared" si="21"/>
        <v>0</v>
      </c>
      <c r="S168" s="643"/>
      <c r="T168" s="702">
        <f t="shared" si="22"/>
        <v>0</v>
      </c>
      <c r="U168" s="702"/>
      <c r="V168" s="643"/>
      <c r="W168" s="643"/>
      <c r="X168" s="703">
        <f t="shared" si="20"/>
        <v>0</v>
      </c>
    </row>
    <row r="169" spans="1:24" s="97" customFormat="1" ht="15.6" x14ac:dyDescent="0.25">
      <c r="A169" s="48">
        <v>928.12</v>
      </c>
      <c r="B169" s="412" t="s">
        <v>870</v>
      </c>
      <c r="D169" s="639"/>
      <c r="E169" s="444"/>
      <c r="F169" s="944">
        <f t="shared" si="24"/>
        <v>0</v>
      </c>
      <c r="G169" s="643"/>
      <c r="H169" s="702">
        <f t="shared" si="25"/>
        <v>0</v>
      </c>
      <c r="I169" s="702"/>
      <c r="J169" s="643"/>
      <c r="K169" s="643"/>
      <c r="L169" s="703">
        <f t="shared" si="19"/>
        <v>0</v>
      </c>
      <c r="M169" s="720"/>
      <c r="N169" s="639">
        <f t="shared" si="23"/>
        <v>0</v>
      </c>
      <c r="O169" s="643"/>
      <c r="P169" s="643"/>
      <c r="Q169" s="643"/>
      <c r="R169" s="944">
        <f t="shared" si="21"/>
        <v>0</v>
      </c>
      <c r="S169" s="643"/>
      <c r="T169" s="702">
        <f t="shared" si="22"/>
        <v>0</v>
      </c>
      <c r="U169" s="702"/>
      <c r="V169" s="643"/>
      <c r="W169" s="643"/>
      <c r="X169" s="703">
        <f t="shared" si="20"/>
        <v>0</v>
      </c>
    </row>
    <row r="170" spans="1:24" s="97" customFormat="1" ht="15.6" x14ac:dyDescent="0.25">
      <c r="A170" s="48">
        <v>930.01</v>
      </c>
      <c r="B170" s="97" t="s">
        <v>455</v>
      </c>
      <c r="D170" s="639"/>
      <c r="E170" s="444"/>
      <c r="F170" s="944">
        <f t="shared" si="24"/>
        <v>0</v>
      </c>
      <c r="G170" s="643"/>
      <c r="H170" s="702">
        <f t="shared" si="25"/>
        <v>0</v>
      </c>
      <c r="I170" s="702"/>
      <c r="J170" s="643"/>
      <c r="K170" s="643"/>
      <c r="L170" s="703">
        <f t="shared" si="19"/>
        <v>0</v>
      </c>
      <c r="M170" s="720"/>
      <c r="N170" s="639">
        <f t="shared" si="23"/>
        <v>0</v>
      </c>
      <c r="O170" s="643"/>
      <c r="P170" s="643"/>
      <c r="Q170" s="643"/>
      <c r="R170" s="944">
        <f t="shared" si="21"/>
        <v>0</v>
      </c>
      <c r="S170" s="643"/>
      <c r="T170" s="702">
        <f t="shared" si="22"/>
        <v>0</v>
      </c>
      <c r="U170" s="702"/>
      <c r="V170" s="643"/>
      <c r="W170" s="643"/>
      <c r="X170" s="703">
        <f t="shared" si="20"/>
        <v>0</v>
      </c>
    </row>
    <row r="171" spans="1:24" s="97" customFormat="1" ht="15.6" x14ac:dyDescent="0.25">
      <c r="A171" s="48">
        <v>930.26</v>
      </c>
      <c r="B171" s="333" t="s">
        <v>454</v>
      </c>
      <c r="D171" s="638"/>
      <c r="E171" s="444"/>
      <c r="F171" s="944">
        <f t="shared" si="24"/>
        <v>0</v>
      </c>
      <c r="G171" s="643"/>
      <c r="H171" s="702">
        <f t="shared" si="25"/>
        <v>0</v>
      </c>
      <c r="I171" s="702"/>
      <c r="J171" s="643"/>
      <c r="K171" s="643"/>
      <c r="L171" s="703">
        <f t="shared" si="19"/>
        <v>0</v>
      </c>
      <c r="M171" s="720"/>
      <c r="N171" s="639">
        <f t="shared" si="23"/>
        <v>0</v>
      </c>
      <c r="O171" s="643"/>
      <c r="P171" s="643"/>
      <c r="Q171" s="643"/>
      <c r="R171" s="944">
        <f t="shared" si="21"/>
        <v>0</v>
      </c>
      <c r="S171" s="643"/>
      <c r="T171" s="702">
        <f t="shared" si="22"/>
        <v>0</v>
      </c>
      <c r="U171" s="702"/>
      <c r="V171" s="643"/>
      <c r="W171" s="643"/>
      <c r="X171" s="703">
        <f t="shared" si="20"/>
        <v>0</v>
      </c>
    </row>
    <row r="172" spans="1:24" s="97" customFormat="1" ht="15.6" x14ac:dyDescent="0.25">
      <c r="A172" s="456" t="s">
        <v>1306</v>
      </c>
      <c r="B172" s="97" t="s">
        <v>456</v>
      </c>
      <c r="D172" s="639">
        <f>5.96+3606.09</f>
        <v>3612.05</v>
      </c>
      <c r="E172" s="444"/>
      <c r="F172" s="944">
        <f>+D172/($D$193-$H$197+$H$204)</f>
        <v>1.1728386130428552E-3</v>
      </c>
      <c r="G172" s="643"/>
      <c r="H172" s="702">
        <f>+(F172*$H$200)+D172</f>
        <v>6665.5360444886282</v>
      </c>
      <c r="I172" s="702"/>
      <c r="J172" s="643"/>
      <c r="K172" s="643"/>
      <c r="L172" s="703">
        <f t="shared" si="19"/>
        <v>6930.3718436693071</v>
      </c>
      <c r="M172" s="720"/>
      <c r="N172" s="639">
        <f t="shared" si="23"/>
        <v>3669.464332402516</v>
      </c>
      <c r="O172" s="643"/>
      <c r="P172" s="643"/>
      <c r="Q172" s="643"/>
      <c r="R172" s="944">
        <f t="shared" si="21"/>
        <v>1.1728386130428552E-3</v>
      </c>
      <c r="S172" s="643"/>
      <c r="T172" s="702">
        <f t="shared" si="22"/>
        <v>7217.0647744932085</v>
      </c>
      <c r="U172" s="702"/>
      <c r="V172" s="643"/>
      <c r="W172" s="643"/>
      <c r="X172" s="703">
        <f t="shared" si="20"/>
        <v>7503.8139728374308</v>
      </c>
    </row>
    <row r="173" spans="1:24" s="97" customFormat="1" ht="15.6" x14ac:dyDescent="0.25">
      <c r="A173" s="48">
        <v>930.11</v>
      </c>
      <c r="B173" s="97" t="s">
        <v>457</v>
      </c>
      <c r="D173" s="639">
        <v>728.46</v>
      </c>
      <c r="E173" s="444"/>
      <c r="F173" s="944">
        <f>+D173/($D$193-$H$197+$H$204)</f>
        <v>2.365321676214887E-4</v>
      </c>
      <c r="G173" s="643"/>
      <c r="H173" s="702">
        <f>+(F173*$H$200)+D173</f>
        <v>1344.2716426871682</v>
      </c>
      <c r="I173" s="702"/>
      <c r="J173" s="643"/>
      <c r="K173" s="643"/>
      <c r="L173" s="703">
        <f t="shared" si="19"/>
        <v>1397.6823890143667</v>
      </c>
      <c r="M173" s="720"/>
      <c r="N173" s="639">
        <f t="shared" si="23"/>
        <v>740.03903256653052</v>
      </c>
      <c r="O173" s="643"/>
      <c r="P173" s="643"/>
      <c r="Q173" s="643"/>
      <c r="R173" s="944">
        <f t="shared" si="21"/>
        <v>2.365321676214887E-4</v>
      </c>
      <c r="S173" s="643"/>
      <c r="T173" s="702">
        <f t="shared" si="22"/>
        <v>1455.5011712538094</v>
      </c>
      <c r="U173" s="702"/>
      <c r="V173" s="643"/>
      <c r="W173" s="643"/>
      <c r="X173" s="703">
        <f t="shared" si="20"/>
        <v>1513.3313012425504</v>
      </c>
    </row>
    <row r="174" spans="1:24" s="97" customFormat="1" ht="15.6" x14ac:dyDescent="0.25">
      <c r="A174" s="48">
        <v>932.01</v>
      </c>
      <c r="B174" s="97" t="s">
        <v>458</v>
      </c>
      <c r="D174" s="639">
        <v>2028.76</v>
      </c>
      <c r="E174" s="444"/>
      <c r="F174" s="944">
        <f t="shared" si="24"/>
        <v>6.5874172965402547E-4</v>
      </c>
      <c r="G174" s="643"/>
      <c r="H174" s="702">
        <f t="shared" si="25"/>
        <v>3743.7944949867106</v>
      </c>
      <c r="I174" s="702"/>
      <c r="J174" s="643"/>
      <c r="K174" s="643"/>
      <c r="L174" s="703">
        <f t="shared" si="19"/>
        <v>3892.543342855869</v>
      </c>
      <c r="M174" s="720"/>
      <c r="N174" s="639">
        <f t="shared" si="23"/>
        <v>2061.0075882130445</v>
      </c>
      <c r="O174" s="643"/>
      <c r="P174" s="643"/>
      <c r="Q174" s="643"/>
      <c r="R174" s="944">
        <f t="shared" si="21"/>
        <v>6.5874172965402547E-4</v>
      </c>
      <c r="S174" s="643"/>
      <c r="T174" s="702">
        <f t="shared" si="22"/>
        <v>4053.5685640843394</v>
      </c>
      <c r="U174" s="702"/>
      <c r="V174" s="643"/>
      <c r="W174" s="643"/>
      <c r="X174" s="703">
        <f t="shared" si="20"/>
        <v>4214.6253887774701</v>
      </c>
    </row>
    <row r="175" spans="1:24" s="97" customFormat="1" ht="15.6" x14ac:dyDescent="0.25">
      <c r="A175" s="48">
        <v>932.02</v>
      </c>
      <c r="B175" s="97" t="s">
        <v>459</v>
      </c>
      <c r="D175" s="639">
        <v>27123.72</v>
      </c>
      <c r="E175" s="444"/>
      <c r="F175" s="944">
        <f>+D175/($D$193-$H$197+$H$204)</f>
        <v>8.8071167745083136E-3</v>
      </c>
      <c r="G175" s="643"/>
      <c r="H175" s="702">
        <f>+(F175*$H$200)+D175</f>
        <v>50053.053894773635</v>
      </c>
      <c r="I175" s="702"/>
      <c r="J175" s="643"/>
      <c r="K175" s="643"/>
      <c r="L175" s="703">
        <f t="shared" si="19"/>
        <v>52041.767246735253</v>
      </c>
      <c r="M175" s="720"/>
      <c r="N175" s="639">
        <f t="shared" si="23"/>
        <v>27554.857519157478</v>
      </c>
      <c r="O175" s="643"/>
      <c r="P175" s="643"/>
      <c r="Q175" s="643"/>
      <c r="R175" s="944">
        <f t="shared" si="21"/>
        <v>8.8071167745083136E-3</v>
      </c>
      <c r="S175" s="643"/>
      <c r="T175" s="702">
        <f t="shared" si="22"/>
        <v>54194.610862312788</v>
      </c>
      <c r="U175" s="702"/>
      <c r="V175" s="643"/>
      <c r="W175" s="643"/>
      <c r="X175" s="703">
        <f t="shared" si="20"/>
        <v>56347.87700373197</v>
      </c>
    </row>
    <row r="176" spans="1:24" s="97" customFormat="1" ht="15.6" x14ac:dyDescent="0.25">
      <c r="A176" s="48">
        <v>932.03</v>
      </c>
      <c r="B176" s="97" t="s">
        <v>460</v>
      </c>
      <c r="D176" s="639"/>
      <c r="E176" s="444"/>
      <c r="F176" s="944">
        <f t="shared" si="24"/>
        <v>0</v>
      </c>
      <c r="G176" s="643"/>
      <c r="H176" s="702">
        <f t="shared" si="25"/>
        <v>0</v>
      </c>
      <c r="I176" s="702"/>
      <c r="J176" s="643"/>
      <c r="K176" s="643"/>
      <c r="L176" s="703">
        <f t="shared" si="19"/>
        <v>0</v>
      </c>
      <c r="M176" s="720"/>
      <c r="N176" s="639">
        <f t="shared" si="23"/>
        <v>0</v>
      </c>
      <c r="O176" s="643"/>
      <c r="P176" s="643"/>
      <c r="Q176" s="643"/>
      <c r="R176" s="944">
        <f t="shared" si="21"/>
        <v>0</v>
      </c>
      <c r="S176" s="643"/>
      <c r="T176" s="702">
        <f t="shared" si="22"/>
        <v>0</v>
      </c>
      <c r="U176" s="702"/>
      <c r="V176" s="643"/>
      <c r="W176" s="643"/>
      <c r="X176" s="703">
        <f t="shared" si="20"/>
        <v>0</v>
      </c>
    </row>
    <row r="177" spans="1:26" s="97" customFormat="1" ht="15.6" x14ac:dyDescent="0.25">
      <c r="A177" s="48">
        <v>932.04</v>
      </c>
      <c r="B177" s="97" t="s">
        <v>461</v>
      </c>
      <c r="D177" s="639">
        <v>746.38</v>
      </c>
      <c r="E177" s="444"/>
      <c r="F177" s="944">
        <f t="shared" si="24"/>
        <v>2.4235082127958534E-4</v>
      </c>
      <c r="G177" s="643"/>
      <c r="H177" s="702">
        <f t="shared" si="25"/>
        <v>1377.3405110354015</v>
      </c>
      <c r="I177" s="702"/>
      <c r="J177" s="643"/>
      <c r="K177" s="643"/>
      <c r="L177" s="703">
        <f t="shared" si="19"/>
        <v>1432.0651532171196</v>
      </c>
      <c r="M177" s="720"/>
      <c r="N177" s="639">
        <f t="shared" si="23"/>
        <v>758.24387492382164</v>
      </c>
      <c r="O177" s="643"/>
      <c r="P177" s="643"/>
      <c r="Q177" s="643"/>
      <c r="R177" s="944">
        <f t="shared" si="21"/>
        <v>2.4235082127958539E-4</v>
      </c>
      <c r="S177" s="643"/>
      <c r="T177" s="702">
        <f t="shared" si="22"/>
        <v>1491.3062682925874</v>
      </c>
      <c r="U177" s="702"/>
      <c r="V177" s="643"/>
      <c r="W177" s="643"/>
      <c r="X177" s="703">
        <f t="shared" si="20"/>
        <v>1550.5590102701792</v>
      </c>
    </row>
    <row r="178" spans="1:26" s="97" customFormat="1" ht="15.6" hidden="1" x14ac:dyDescent="0.25">
      <c r="A178" s="48"/>
      <c r="D178" s="639"/>
      <c r="E178" s="444"/>
      <c r="F178" s="944">
        <f t="shared" si="24"/>
        <v>0</v>
      </c>
      <c r="G178" s="643"/>
      <c r="H178" s="702">
        <f t="shared" si="25"/>
        <v>0</v>
      </c>
      <c r="I178" s="702"/>
      <c r="J178" s="643"/>
      <c r="K178" s="643"/>
      <c r="L178" s="703">
        <f t="shared" si="19"/>
        <v>0</v>
      </c>
      <c r="M178" s="720"/>
      <c r="N178" s="639">
        <f t="shared" si="23"/>
        <v>0</v>
      </c>
      <c r="O178" s="643"/>
      <c r="P178" s="643"/>
      <c r="Q178" s="643"/>
      <c r="R178" s="944">
        <f t="shared" si="21"/>
        <v>0</v>
      </c>
      <c r="S178" s="643"/>
      <c r="T178" s="702">
        <f t="shared" si="22"/>
        <v>0</v>
      </c>
      <c r="U178" s="702"/>
      <c r="V178" s="643"/>
      <c r="W178" s="643"/>
      <c r="X178" s="703">
        <f t="shared" si="20"/>
        <v>0</v>
      </c>
    </row>
    <row r="179" spans="1:26" s="97" customFormat="1" ht="15.6" hidden="1" x14ac:dyDescent="0.25">
      <c r="A179" s="48"/>
      <c r="B179" s="48"/>
      <c r="D179" s="639"/>
      <c r="E179" s="444"/>
      <c r="F179" s="944">
        <f t="shared" si="24"/>
        <v>0</v>
      </c>
      <c r="G179" s="643"/>
      <c r="H179" s="702">
        <f t="shared" si="25"/>
        <v>0</v>
      </c>
      <c r="I179" s="702"/>
      <c r="J179" s="643"/>
      <c r="K179" s="643"/>
      <c r="L179" s="703">
        <f t="shared" si="19"/>
        <v>0</v>
      </c>
      <c r="M179" s="720"/>
      <c r="N179" s="639">
        <f t="shared" si="23"/>
        <v>0</v>
      </c>
      <c r="O179" s="643"/>
      <c r="P179" s="643"/>
      <c r="Q179" s="643"/>
      <c r="R179" s="944">
        <f t="shared" si="21"/>
        <v>0</v>
      </c>
      <c r="S179" s="643"/>
      <c r="T179" s="702">
        <f t="shared" si="22"/>
        <v>0</v>
      </c>
      <c r="U179" s="702"/>
      <c r="V179" s="643"/>
      <c r="W179" s="643"/>
      <c r="X179" s="703">
        <f t="shared" si="20"/>
        <v>0</v>
      </c>
    </row>
    <row r="180" spans="1:26" s="97" customFormat="1" ht="15.6" hidden="1" x14ac:dyDescent="0.25">
      <c r="A180" s="48"/>
      <c r="D180" s="639"/>
      <c r="E180" s="444"/>
      <c r="F180" s="944">
        <f t="shared" si="24"/>
        <v>0</v>
      </c>
      <c r="G180" s="643"/>
      <c r="H180" s="702">
        <f t="shared" si="25"/>
        <v>0</v>
      </c>
      <c r="I180" s="702"/>
      <c r="J180" s="643"/>
      <c r="K180" s="643"/>
      <c r="L180" s="703">
        <f t="shared" si="19"/>
        <v>0</v>
      </c>
      <c r="M180" s="720"/>
      <c r="N180" s="639">
        <f t="shared" si="23"/>
        <v>0</v>
      </c>
      <c r="O180" s="643"/>
      <c r="P180" s="643"/>
      <c r="Q180" s="643"/>
      <c r="R180" s="944">
        <f t="shared" si="21"/>
        <v>0</v>
      </c>
      <c r="S180" s="643"/>
      <c r="T180" s="702">
        <f t="shared" si="22"/>
        <v>0</v>
      </c>
      <c r="U180" s="702"/>
      <c r="V180" s="643"/>
      <c r="W180" s="643"/>
      <c r="X180" s="703">
        <f t="shared" si="20"/>
        <v>0</v>
      </c>
    </row>
    <row r="181" spans="1:26" s="97" customFormat="1" ht="15.6" hidden="1" x14ac:dyDescent="0.25">
      <c r="A181" s="48"/>
      <c r="D181" s="639"/>
      <c r="E181" s="444"/>
      <c r="F181" s="944">
        <f t="shared" si="24"/>
        <v>0</v>
      </c>
      <c r="G181" s="643"/>
      <c r="H181" s="702">
        <f t="shared" si="25"/>
        <v>0</v>
      </c>
      <c r="I181" s="702"/>
      <c r="J181" s="643"/>
      <c r="K181" s="643"/>
      <c r="L181" s="703">
        <f t="shared" si="19"/>
        <v>0</v>
      </c>
      <c r="M181" s="720"/>
      <c r="N181" s="639">
        <f t="shared" si="23"/>
        <v>0</v>
      </c>
      <c r="O181" s="643"/>
      <c r="P181" s="643"/>
      <c r="Q181" s="643"/>
      <c r="R181" s="944">
        <f t="shared" si="21"/>
        <v>0</v>
      </c>
      <c r="S181" s="643"/>
      <c r="T181" s="702">
        <f t="shared" si="22"/>
        <v>0</v>
      </c>
      <c r="U181" s="702"/>
      <c r="V181" s="643"/>
      <c r="W181" s="643"/>
      <c r="X181" s="703">
        <f t="shared" si="20"/>
        <v>0</v>
      </c>
    </row>
    <row r="182" spans="1:26" s="97" customFormat="1" ht="15.6" hidden="1" x14ac:dyDescent="0.25">
      <c r="A182" s="48"/>
      <c r="D182" s="639"/>
      <c r="E182" s="444"/>
      <c r="F182" s="944">
        <f t="shared" si="24"/>
        <v>0</v>
      </c>
      <c r="G182" s="643"/>
      <c r="H182" s="702">
        <f t="shared" si="25"/>
        <v>0</v>
      </c>
      <c r="I182" s="702"/>
      <c r="J182" s="643"/>
      <c r="K182" s="643"/>
      <c r="L182" s="703">
        <f t="shared" si="19"/>
        <v>0</v>
      </c>
      <c r="M182" s="720"/>
      <c r="N182" s="639">
        <f t="shared" si="23"/>
        <v>0</v>
      </c>
      <c r="O182" s="643"/>
      <c r="P182" s="643"/>
      <c r="Q182" s="643"/>
      <c r="R182" s="944">
        <f t="shared" si="21"/>
        <v>0</v>
      </c>
      <c r="S182" s="643"/>
      <c r="T182" s="702">
        <f t="shared" si="22"/>
        <v>0</v>
      </c>
      <c r="U182" s="702"/>
      <c r="V182" s="643"/>
      <c r="W182" s="643"/>
      <c r="X182" s="703">
        <f t="shared" si="20"/>
        <v>0</v>
      </c>
    </row>
    <row r="183" spans="1:26" s="97" customFormat="1" ht="15.6" hidden="1" x14ac:dyDescent="0.25">
      <c r="A183" s="48"/>
      <c r="D183" s="639"/>
      <c r="E183" s="444"/>
      <c r="F183" s="944">
        <f t="shared" si="24"/>
        <v>0</v>
      </c>
      <c r="G183" s="643"/>
      <c r="H183" s="702">
        <f t="shared" si="25"/>
        <v>0</v>
      </c>
      <c r="I183" s="702"/>
      <c r="J183" s="643"/>
      <c r="K183" s="643"/>
      <c r="L183" s="703">
        <f t="shared" si="19"/>
        <v>0</v>
      </c>
      <c r="M183" s="720"/>
      <c r="N183" s="639">
        <f t="shared" si="23"/>
        <v>0</v>
      </c>
      <c r="O183" s="643"/>
      <c r="P183" s="643"/>
      <c r="Q183" s="643"/>
      <c r="R183" s="944">
        <f t="shared" si="21"/>
        <v>0</v>
      </c>
      <c r="S183" s="643"/>
      <c r="T183" s="702">
        <f t="shared" si="22"/>
        <v>0</v>
      </c>
      <c r="U183" s="702"/>
      <c r="V183" s="643"/>
      <c r="W183" s="643"/>
      <c r="X183" s="703">
        <f t="shared" si="20"/>
        <v>0</v>
      </c>
    </row>
    <row r="184" spans="1:26" s="97" customFormat="1" ht="15.6" hidden="1" x14ac:dyDescent="0.25">
      <c r="A184" s="48"/>
      <c r="B184" s="48"/>
      <c r="D184" s="639"/>
      <c r="E184" s="444"/>
      <c r="F184" s="944">
        <f t="shared" si="24"/>
        <v>0</v>
      </c>
      <c r="G184" s="643"/>
      <c r="H184" s="702">
        <f t="shared" si="25"/>
        <v>0</v>
      </c>
      <c r="I184" s="702"/>
      <c r="J184" s="643"/>
      <c r="K184" s="643"/>
      <c r="L184" s="703">
        <f t="shared" si="19"/>
        <v>0</v>
      </c>
      <c r="M184" s="720"/>
      <c r="N184" s="639">
        <f t="shared" si="23"/>
        <v>0</v>
      </c>
      <c r="O184" s="643"/>
      <c r="P184" s="643"/>
      <c r="Q184" s="643"/>
      <c r="R184" s="944">
        <f t="shared" si="21"/>
        <v>0</v>
      </c>
      <c r="S184" s="643"/>
      <c r="T184" s="702">
        <f t="shared" si="22"/>
        <v>0</v>
      </c>
      <c r="U184" s="702"/>
      <c r="V184" s="643"/>
      <c r="W184" s="643"/>
      <c r="X184" s="703">
        <f t="shared" si="20"/>
        <v>0</v>
      </c>
    </row>
    <row r="185" spans="1:26" s="97" customFormat="1" ht="15.6" x14ac:dyDescent="0.3">
      <c r="A185" s="48"/>
      <c r="B185" s="48"/>
      <c r="D185" s="639"/>
      <c r="E185" s="444"/>
      <c r="F185" s="944">
        <f t="shared" si="24"/>
        <v>0</v>
      </c>
      <c r="G185" s="643"/>
      <c r="H185" s="702">
        <f t="shared" si="25"/>
        <v>0</v>
      </c>
      <c r="I185" s="702"/>
      <c r="J185" s="645" t="s">
        <v>340</v>
      </c>
      <c r="K185" s="643"/>
      <c r="L185" s="703">
        <f t="shared" si="19"/>
        <v>0</v>
      </c>
      <c r="M185" s="720"/>
      <c r="N185" s="639">
        <f t="shared" si="23"/>
        <v>0</v>
      </c>
      <c r="O185" s="643"/>
      <c r="P185" s="643"/>
      <c r="Q185" s="643"/>
      <c r="R185" s="944">
        <f t="shared" si="21"/>
        <v>0</v>
      </c>
      <c r="S185" s="643"/>
      <c r="T185" s="702">
        <f t="shared" si="22"/>
        <v>0</v>
      </c>
      <c r="U185" s="702"/>
      <c r="V185" s="645" t="str">
        <f>+J185</f>
        <v>A&amp;G</v>
      </c>
      <c r="W185" s="643"/>
      <c r="X185" s="703">
        <f t="shared" si="20"/>
        <v>0</v>
      </c>
    </row>
    <row r="186" spans="1:26" s="97" customFormat="1" ht="15.6" x14ac:dyDescent="0.3">
      <c r="A186" s="48"/>
      <c r="B186" s="48"/>
      <c r="D186" s="639"/>
      <c r="E186" s="444"/>
      <c r="F186" s="944">
        <f t="shared" si="24"/>
        <v>0</v>
      </c>
      <c r="G186" s="643"/>
      <c r="H186" s="702">
        <f t="shared" si="25"/>
        <v>0</v>
      </c>
      <c r="I186" s="702"/>
      <c r="J186" s="645">
        <f>+SUM(L149:L190)+L135+L65</f>
        <v>1331137.4844819263</v>
      </c>
      <c r="K186" s="643"/>
      <c r="L186" s="703">
        <f t="shared" si="19"/>
        <v>0</v>
      </c>
      <c r="M186" s="720"/>
      <c r="N186" s="639">
        <f t="shared" si="23"/>
        <v>0</v>
      </c>
      <c r="O186" s="643"/>
      <c r="P186" s="643"/>
      <c r="Q186" s="643"/>
      <c r="R186" s="944">
        <f t="shared" si="21"/>
        <v>0</v>
      </c>
      <c r="S186" s="643"/>
      <c r="T186" s="702">
        <f t="shared" si="22"/>
        <v>0</v>
      </c>
      <c r="U186" s="702"/>
      <c r="V186" s="645">
        <f>+SUM(X149:X190)+X135+X65</f>
        <v>1441280.2489014282</v>
      </c>
      <c r="W186" s="643"/>
      <c r="X186" s="703">
        <f t="shared" si="20"/>
        <v>0</v>
      </c>
    </row>
    <row r="187" spans="1:26" s="97" customFormat="1" ht="15.6" hidden="1" x14ac:dyDescent="0.3">
      <c r="A187" s="48">
        <v>932.2</v>
      </c>
      <c r="B187" s="48"/>
      <c r="D187" s="639"/>
      <c r="E187" s="444"/>
      <c r="F187" s="944">
        <f>+D187/($D$193-$H$197+$H$204)</f>
        <v>0</v>
      </c>
      <c r="G187" s="643"/>
      <c r="H187" s="702">
        <f>+(F187*$H$200)+D187</f>
        <v>0</v>
      </c>
      <c r="I187" s="702"/>
      <c r="J187" s="540"/>
      <c r="K187" s="643"/>
      <c r="L187" s="703">
        <f t="shared" si="19"/>
        <v>0</v>
      </c>
      <c r="M187" s="720"/>
      <c r="N187" s="639">
        <f t="shared" si="23"/>
        <v>0</v>
      </c>
      <c r="O187" s="643"/>
      <c r="P187" s="643"/>
      <c r="Q187" s="643"/>
      <c r="R187" s="944">
        <f t="shared" si="21"/>
        <v>0</v>
      </c>
      <c r="S187" s="643"/>
      <c r="T187" s="702">
        <f t="shared" si="22"/>
        <v>0</v>
      </c>
      <c r="U187" s="702"/>
      <c r="V187" s="540"/>
      <c r="W187" s="643"/>
      <c r="X187" s="703">
        <f t="shared" si="20"/>
        <v>0</v>
      </c>
    </row>
    <row r="188" spans="1:26" s="97" customFormat="1" ht="15.6" hidden="1" x14ac:dyDescent="0.25">
      <c r="A188" s="48">
        <v>932.5</v>
      </c>
      <c r="B188" s="48"/>
      <c r="D188" s="639"/>
      <c r="E188" s="444"/>
      <c r="F188" s="944">
        <f t="shared" si="24"/>
        <v>0</v>
      </c>
      <c r="G188" s="643"/>
      <c r="H188" s="702">
        <f t="shared" si="25"/>
        <v>0</v>
      </c>
      <c r="I188" s="702"/>
      <c r="J188" s="944"/>
      <c r="K188" s="643"/>
      <c r="L188" s="703">
        <f t="shared" si="19"/>
        <v>0</v>
      </c>
      <c r="M188" s="720"/>
      <c r="N188" s="639">
        <f t="shared" si="23"/>
        <v>0</v>
      </c>
      <c r="O188" s="643"/>
      <c r="P188" s="643"/>
      <c r="Q188" s="643"/>
      <c r="R188" s="944">
        <f t="shared" si="21"/>
        <v>0</v>
      </c>
      <c r="S188" s="643"/>
      <c r="T188" s="702">
        <f t="shared" si="22"/>
        <v>0</v>
      </c>
      <c r="U188" s="702"/>
      <c r="V188" s="944"/>
      <c r="W188" s="643"/>
      <c r="X188" s="703">
        <f t="shared" si="20"/>
        <v>0</v>
      </c>
    </row>
    <row r="189" spans="1:26" s="97" customFormat="1" ht="15.6" x14ac:dyDescent="0.3">
      <c r="A189" s="48"/>
      <c r="B189" s="48"/>
      <c r="D189" s="639"/>
      <c r="E189" s="444"/>
      <c r="F189" s="944">
        <f t="shared" si="24"/>
        <v>0</v>
      </c>
      <c r="G189" s="643"/>
      <c r="H189" s="702">
        <f t="shared" si="25"/>
        <v>0</v>
      </c>
      <c r="I189" s="702"/>
      <c r="J189" s="540" t="s">
        <v>113</v>
      </c>
      <c r="K189" s="643"/>
      <c r="L189" s="703">
        <f t="shared" si="19"/>
        <v>0</v>
      </c>
      <c r="M189" s="723"/>
      <c r="N189" s="639">
        <f t="shared" si="23"/>
        <v>0</v>
      </c>
      <c r="O189" s="643"/>
      <c r="P189" s="643"/>
      <c r="Q189" s="643"/>
      <c r="R189" s="944">
        <f t="shared" si="21"/>
        <v>0</v>
      </c>
      <c r="S189" s="643"/>
      <c r="T189" s="702">
        <f t="shared" si="22"/>
        <v>0</v>
      </c>
      <c r="U189" s="702"/>
      <c r="V189" s="540" t="s">
        <v>113</v>
      </c>
      <c r="W189" s="643"/>
      <c r="X189" s="703">
        <f t="shared" si="20"/>
        <v>0</v>
      </c>
      <c r="Z189" s="540"/>
    </row>
    <row r="190" spans="1:26" s="97" customFormat="1" ht="15.6" x14ac:dyDescent="0.3">
      <c r="A190" s="48"/>
      <c r="D190" s="802"/>
      <c r="E190" s="444"/>
      <c r="F190" s="944">
        <f t="shared" si="24"/>
        <v>0</v>
      </c>
      <c r="G190" s="945"/>
      <c r="H190" s="946">
        <f t="shared" si="25"/>
        <v>0</v>
      </c>
      <c r="I190" s="702"/>
      <c r="J190" s="540" t="s">
        <v>217</v>
      </c>
      <c r="K190" s="643"/>
      <c r="L190" s="947">
        <f t="shared" ref="L190" si="26">+H190+((H190/($H$27+$H$191))*$H$52)</f>
        <v>0</v>
      </c>
      <c r="M190" s="723"/>
      <c r="N190" s="802">
        <f t="shared" si="23"/>
        <v>0</v>
      </c>
      <c r="O190" s="643"/>
      <c r="P190" s="643"/>
      <c r="Q190" s="643"/>
      <c r="R190" s="944">
        <f t="shared" si="21"/>
        <v>0</v>
      </c>
      <c r="S190" s="945"/>
      <c r="T190" s="946">
        <f t="shared" si="22"/>
        <v>0</v>
      </c>
      <c r="U190" s="702"/>
      <c r="V190" s="540" t="s">
        <v>217</v>
      </c>
      <c r="W190" s="643"/>
      <c r="X190" s="947">
        <f t="shared" ref="X190" si="27">+T190+((T190/($T$27+$T$191))*$T$52)</f>
        <v>0</v>
      </c>
      <c r="Z190" s="540"/>
    </row>
    <row r="191" spans="1:26" ht="15.6" x14ac:dyDescent="0.3">
      <c r="A191" s="48" t="s">
        <v>170</v>
      </c>
      <c r="D191" s="639">
        <f>SUM(D62:D190)</f>
        <v>2469016.92</v>
      </c>
      <c r="E191" s="594"/>
      <c r="F191" s="167"/>
      <c r="G191" s="167"/>
      <c r="H191" s="938">
        <f>SUM(H62:H190)</f>
        <v>4556227.4261741387</v>
      </c>
      <c r="I191" s="169"/>
      <c r="J191" s="952">
        <f>+H191/(H191+H27)</f>
        <v>0.83354686818939228</v>
      </c>
      <c r="K191" s="167"/>
      <c r="L191" s="703">
        <f>SUM(L62:L190)</f>
        <v>4737255.947152202</v>
      </c>
      <c r="M191" s="724"/>
      <c r="N191" s="639">
        <f>SUM(N62:N190)</f>
        <v>2508262.4891788084</v>
      </c>
      <c r="O191" s="167"/>
      <c r="P191" s="938">
        <f>SUM(P62:P190)</f>
        <v>0</v>
      </c>
      <c r="Q191" s="167"/>
      <c r="R191" s="167"/>
      <c r="S191" s="167"/>
      <c r="T191" s="702">
        <f>SUM(T62:T190)</f>
        <v>4933224.911327282</v>
      </c>
      <c r="U191" s="169"/>
      <c r="V191" s="952">
        <f>+T191/(T191+T27)</f>
        <v>0.83354686818939228</v>
      </c>
      <c r="W191" s="167"/>
      <c r="X191" s="703">
        <f>SUM(X62:X190)</f>
        <v>5129232.3371680984</v>
      </c>
      <c r="Z191" s="541"/>
    </row>
    <row r="192" spans="1:26" ht="15.6" x14ac:dyDescent="0.25">
      <c r="A192" s="48"/>
      <c r="D192" s="168"/>
      <c r="E192" s="594"/>
      <c r="F192" s="167"/>
      <c r="G192" s="167"/>
      <c r="H192" s="169"/>
      <c r="I192" s="169"/>
      <c r="J192" s="167"/>
      <c r="K192" s="167"/>
      <c r="L192" s="170"/>
      <c r="M192" s="233"/>
      <c r="N192" s="168"/>
      <c r="O192" s="167"/>
      <c r="P192" s="167"/>
      <c r="Q192" s="167"/>
      <c r="R192" s="167"/>
      <c r="S192" s="167"/>
      <c r="T192" s="169"/>
      <c r="U192" s="169"/>
      <c r="V192" s="167"/>
      <c r="W192" s="167"/>
      <c r="X192" s="170"/>
    </row>
    <row r="193" spans="2:24" s="97" customFormat="1" ht="15.6" x14ac:dyDescent="0.3">
      <c r="B193" s="296" t="s">
        <v>218</v>
      </c>
      <c r="D193" s="803">
        <f>+D27+D52+D60+D191</f>
        <v>3820696.84</v>
      </c>
      <c r="E193" s="444"/>
      <c r="F193" s="944">
        <f>SUM(F12:F190)</f>
        <v>1</v>
      </c>
      <c r="G193" s="945"/>
      <c r="H193" s="702">
        <f>+H27+H52+H60+H191</f>
        <v>5683250.8500000015</v>
      </c>
      <c r="I193" s="702"/>
      <c r="J193" s="944">
        <f>+J191+J27</f>
        <v>1</v>
      </c>
      <c r="K193" s="643"/>
      <c r="L193" s="703">
        <f>+L27+L60+L191</f>
        <v>5683250.8500000006</v>
      </c>
      <c r="M193" s="720"/>
      <c r="N193" s="639">
        <f>+N27+N52+N60+N191</f>
        <v>3881427.66</v>
      </c>
      <c r="O193" s="643"/>
      <c r="P193" s="702">
        <f>+P27+P52+P60+P191</f>
        <v>0</v>
      </c>
      <c r="Q193" s="643"/>
      <c r="R193" s="944">
        <f>SUM(R12:R190)</f>
        <v>1</v>
      </c>
      <c r="S193" s="945"/>
      <c r="T193" s="702">
        <f>+T27+T52+T60+T191</f>
        <v>6153502.0199999996</v>
      </c>
      <c r="U193" s="702"/>
      <c r="V193" s="944">
        <f>+V191+V27</f>
        <v>1</v>
      </c>
      <c r="W193" s="643"/>
      <c r="X193" s="703">
        <f>+X27+X60+X191</f>
        <v>6153502.0199999996</v>
      </c>
    </row>
    <row r="194" spans="2:24" s="97" customFormat="1" ht="15.6" x14ac:dyDescent="0.3">
      <c r="B194" s="296"/>
      <c r="D194" s="516"/>
      <c r="E194" s="444"/>
      <c r="F194" s="945"/>
      <c r="G194" s="945"/>
      <c r="H194" s="702"/>
      <c r="I194" s="702"/>
      <c r="J194" s="643"/>
      <c r="K194" s="643"/>
      <c r="L194" s="703"/>
      <c r="M194" s="720"/>
      <c r="N194" s="638">
        <f>+'S6C Total Payroll &amp; Benefits'!E14-P222</f>
        <v>3881427.66</v>
      </c>
      <c r="O194" s="756"/>
      <c r="P194" s="938"/>
      <c r="Q194" s="756"/>
      <c r="R194" s="938" t="s">
        <v>337</v>
      </c>
      <c r="S194" s="638"/>
      <c r="T194" s="638"/>
      <c r="U194" s="702"/>
      <c r="V194" s="643"/>
      <c r="W194" s="643"/>
      <c r="X194" s="703"/>
    </row>
    <row r="195" spans="2:24" s="97" customFormat="1" ht="15.6" x14ac:dyDescent="0.3">
      <c r="B195" s="313" t="s">
        <v>219</v>
      </c>
      <c r="D195" s="516"/>
      <c r="E195" s="444"/>
      <c r="F195" s="945"/>
      <c r="G195" s="945"/>
      <c r="H195" s="702"/>
      <c r="I195" s="702"/>
      <c r="J195" s="643"/>
      <c r="K195" s="643"/>
      <c r="L195" s="703"/>
      <c r="M195" s="720"/>
      <c r="N195" s="638"/>
      <c r="O195" s="756"/>
      <c r="P195" s="756"/>
      <c r="Q195" s="756"/>
      <c r="R195" s="954"/>
      <c r="S195" s="954"/>
      <c r="T195" s="938"/>
      <c r="U195" s="702"/>
      <c r="V195" s="643"/>
      <c r="W195" s="643"/>
      <c r="X195" s="703"/>
    </row>
    <row r="196" spans="2:24" s="97" customFormat="1" ht="15.6" x14ac:dyDescent="0.3">
      <c r="B196" s="296" t="s">
        <v>220</v>
      </c>
      <c r="D196" s="516"/>
      <c r="E196" s="444"/>
      <c r="F196" s="945"/>
      <c r="G196" s="945"/>
      <c r="H196" s="938">
        <f>+'S6C Total Payroll &amp; Benefits'!B28</f>
        <v>296878.17000000004</v>
      </c>
      <c r="I196" s="702"/>
      <c r="J196" s="643"/>
      <c r="K196" s="643"/>
      <c r="L196" s="703"/>
      <c r="M196" s="720"/>
      <c r="N196" s="638"/>
      <c r="O196" s="756"/>
      <c r="P196" s="756"/>
      <c r="Q196" s="756"/>
      <c r="R196" s="756"/>
      <c r="S196" s="756"/>
      <c r="T196" s="938">
        <f>+'S6C Total Payroll &amp; Benefits'!E28</f>
        <v>294592.28000000003</v>
      </c>
      <c r="U196" s="702"/>
      <c r="V196" s="643"/>
      <c r="W196" s="643"/>
      <c r="X196" s="703"/>
    </row>
    <row r="197" spans="2:24" s="97" customFormat="1" ht="15.6" x14ac:dyDescent="0.3">
      <c r="B197" s="296" t="s">
        <v>683</v>
      </c>
      <c r="D197" s="516"/>
      <c r="E197" s="444"/>
      <c r="F197" s="945"/>
      <c r="G197" s="945"/>
      <c r="H197" s="938">
        <f>SUM(D56:D59)</f>
        <v>740946.6</v>
      </c>
      <c r="I197" s="702"/>
      <c r="J197" s="643"/>
      <c r="K197" s="643"/>
      <c r="L197" s="703"/>
      <c r="M197" s="720"/>
      <c r="N197" s="638"/>
      <c r="O197" s="756"/>
      <c r="P197" s="756"/>
      <c r="Q197" s="756"/>
      <c r="R197" s="756"/>
      <c r="S197" s="756"/>
      <c r="T197" s="938">
        <f>SUM(N56:N59)+SUM(P56:P59)</f>
        <v>752724.10983095854</v>
      </c>
      <c r="U197" s="702"/>
      <c r="V197" s="643"/>
      <c r="W197" s="643"/>
      <c r="X197" s="703"/>
    </row>
    <row r="198" spans="2:24" s="97" customFormat="1" ht="15.6" x14ac:dyDescent="0.3">
      <c r="B198" s="296" t="s">
        <v>115</v>
      </c>
      <c r="D198" s="516"/>
      <c r="E198" s="444"/>
      <c r="F198" s="953"/>
      <c r="G198" s="945"/>
      <c r="H198" s="938">
        <f>+'S6C Total Payroll &amp; Benefits'!B24</f>
        <v>1461925.84</v>
      </c>
      <c r="I198" s="702"/>
      <c r="J198" s="953">
        <f>SUM(J62:J186)</f>
        <v>4737255.947152202</v>
      </c>
      <c r="K198" s="643"/>
      <c r="L198" s="703"/>
      <c r="M198" s="720"/>
      <c r="N198" s="638"/>
      <c r="O198" s="756"/>
      <c r="P198" s="756"/>
      <c r="Q198" s="756"/>
      <c r="R198" s="756"/>
      <c r="S198" s="756"/>
      <c r="T198" s="938">
        <f>+'S6C Total Payroll &amp; Benefits'!E24</f>
        <v>1864954.0799999998</v>
      </c>
      <c r="U198" s="702"/>
      <c r="V198" s="953">
        <f>SUM(V62:V186)</f>
        <v>5129232.3371680994</v>
      </c>
      <c r="W198" s="643" t="s">
        <v>858</v>
      </c>
      <c r="X198" s="703"/>
    </row>
    <row r="199" spans="2:24" s="97" customFormat="1" ht="15.6" x14ac:dyDescent="0.3">
      <c r="B199" s="296" t="s">
        <v>219</v>
      </c>
      <c r="D199" s="516"/>
      <c r="E199" s="444"/>
      <c r="F199" s="445"/>
      <c r="G199" s="445"/>
      <c r="H199" s="938">
        <f>+'S6C Total Payroll &amp; Benefits'!B29-H196</f>
        <v>103750</v>
      </c>
      <c r="I199" s="434"/>
      <c r="J199" s="444"/>
      <c r="K199" s="444"/>
      <c r="L199" s="554"/>
      <c r="M199" s="720"/>
      <c r="N199" s="638"/>
      <c r="O199" s="756"/>
      <c r="P199" s="756"/>
      <c r="Q199" s="756"/>
      <c r="R199" s="756"/>
      <c r="S199" s="756"/>
      <c r="T199" s="938">
        <f>+'S6C Total Payroll &amp; Benefits'!E29-T196</f>
        <v>112528</v>
      </c>
      <c r="U199" s="702"/>
      <c r="V199" s="643" t="s">
        <v>1337</v>
      </c>
      <c r="W199" s="643"/>
      <c r="X199" s="703"/>
    </row>
    <row r="200" spans="2:24" s="97" customFormat="1" ht="15.6" x14ac:dyDescent="0.3">
      <c r="B200" s="313" t="s">
        <v>221</v>
      </c>
      <c r="D200" s="516"/>
      <c r="E200" s="444"/>
      <c r="F200" s="445"/>
      <c r="G200" s="445"/>
      <c r="H200" s="702">
        <f>SUM(H196:H199)</f>
        <v>2603500.6100000003</v>
      </c>
      <c r="I200" s="434"/>
      <c r="J200" s="444"/>
      <c r="K200" s="444"/>
      <c r="L200" s="554"/>
      <c r="M200" s="720"/>
      <c r="N200" s="639"/>
      <c r="O200" s="643"/>
      <c r="P200" s="643"/>
      <c r="Q200" s="643"/>
      <c r="R200" s="643"/>
      <c r="S200" s="643"/>
      <c r="T200" s="702">
        <f>SUM(T196:T199)</f>
        <v>3024798.4698309582</v>
      </c>
      <c r="U200" s="702"/>
      <c r="V200" s="702" t="s">
        <v>1505</v>
      </c>
      <c r="W200" s="643"/>
      <c r="X200" s="703"/>
    </row>
    <row r="201" spans="2:24" s="97" customFormat="1" ht="15.6" x14ac:dyDescent="0.3">
      <c r="B201" s="296"/>
      <c r="D201" s="516"/>
      <c r="E201" s="444"/>
      <c r="F201" s="445"/>
      <c r="G201" s="445"/>
      <c r="H201" s="434"/>
      <c r="I201" s="434"/>
      <c r="J201" s="444"/>
      <c r="K201" s="444"/>
      <c r="L201" s="554"/>
      <c r="M201" s="720"/>
      <c r="N201" s="639"/>
      <c r="O201" s="643"/>
      <c r="P201" s="643"/>
      <c r="Q201" s="643"/>
      <c r="R201" s="643"/>
      <c r="S201" s="643"/>
      <c r="T201" s="702"/>
      <c r="U201" s="702"/>
      <c r="V201" s="643"/>
      <c r="W201" s="643"/>
      <c r="X201" s="703"/>
    </row>
    <row r="202" spans="2:24" s="97" customFormat="1" ht="15.6" x14ac:dyDescent="0.3">
      <c r="B202" s="313" t="s">
        <v>222</v>
      </c>
      <c r="D202" s="516"/>
      <c r="E202" s="444"/>
      <c r="F202" s="445"/>
      <c r="G202" s="445"/>
      <c r="H202" s="702">
        <f>+D193+H200-H197</f>
        <v>5683250.8500000006</v>
      </c>
      <c r="I202" s="434"/>
      <c r="J202" s="444"/>
      <c r="K202" s="444"/>
      <c r="L202" s="554"/>
      <c r="M202" s="720"/>
      <c r="N202" s="639"/>
      <c r="O202" s="643"/>
      <c r="P202" s="643"/>
      <c r="Q202" s="643"/>
      <c r="R202" s="643"/>
      <c r="S202" s="643"/>
      <c r="T202" s="702">
        <f>N193+P193+T200-T197</f>
        <v>6153502.0199999996</v>
      </c>
      <c r="U202" s="702"/>
      <c r="V202" s="959"/>
      <c r="W202" s="643"/>
      <c r="X202" s="703"/>
    </row>
    <row r="203" spans="2:24" s="97" customFormat="1" ht="15.6" hidden="1" x14ac:dyDescent="0.3">
      <c r="B203" s="296"/>
      <c r="D203" s="516"/>
      <c r="E203" s="444"/>
      <c r="F203" s="445"/>
      <c r="G203" s="445"/>
      <c r="H203" s="434"/>
      <c r="I203" s="434"/>
      <c r="J203" s="444"/>
      <c r="K203" s="444"/>
      <c r="L203" s="554"/>
      <c r="M203" s="720"/>
      <c r="N203" s="639"/>
      <c r="O203" s="643"/>
      <c r="P203" s="643"/>
      <c r="Q203" s="643"/>
      <c r="R203" s="945"/>
      <c r="S203" s="945"/>
      <c r="T203" s="702"/>
      <c r="U203" s="702"/>
      <c r="V203" s="643"/>
      <c r="W203" s="643"/>
      <c r="X203" s="703"/>
    </row>
    <row r="204" spans="2:24" s="97" customFormat="1" ht="15.6" hidden="1" x14ac:dyDescent="0.3">
      <c r="B204" s="455" t="s">
        <v>1169</v>
      </c>
      <c r="D204" s="516"/>
      <c r="E204" s="444"/>
      <c r="F204" s="445"/>
      <c r="G204" s="445"/>
      <c r="H204" s="596">
        <f>-D55</f>
        <v>0</v>
      </c>
      <c r="I204" s="434"/>
      <c r="J204" s="444"/>
      <c r="K204" s="444"/>
      <c r="L204" s="554"/>
      <c r="M204" s="720"/>
      <c r="N204" s="639"/>
      <c r="O204" s="643"/>
      <c r="P204" s="643"/>
      <c r="Q204" s="643"/>
      <c r="R204" s="945"/>
      <c r="S204" s="945"/>
      <c r="T204" s="702">
        <f>-N55</f>
        <v>0</v>
      </c>
      <c r="U204" s="702"/>
      <c r="V204" s="643"/>
      <c r="W204" s="643"/>
      <c r="X204" s="703"/>
    </row>
    <row r="205" spans="2:24" s="97" customFormat="1" ht="15.6" hidden="1" x14ac:dyDescent="0.3">
      <c r="B205" s="296"/>
      <c r="D205" s="516"/>
      <c r="E205" s="444"/>
      <c r="F205" s="445"/>
      <c r="G205" s="445"/>
      <c r="H205" s="434"/>
      <c r="I205" s="434"/>
      <c r="J205" s="444"/>
      <c r="K205" s="444"/>
      <c r="L205" s="554"/>
      <c r="M205" s="720"/>
      <c r="N205" s="639"/>
      <c r="O205" s="643"/>
      <c r="P205" s="643"/>
      <c r="Q205" s="643"/>
      <c r="R205" s="945"/>
      <c r="S205" s="945"/>
      <c r="T205" s="702"/>
      <c r="U205" s="702"/>
      <c r="V205" s="643"/>
      <c r="W205" s="643"/>
      <c r="X205" s="703"/>
    </row>
    <row r="206" spans="2:24" s="97" customFormat="1" ht="15.6" hidden="1" x14ac:dyDescent="0.3">
      <c r="B206" s="313" t="s">
        <v>223</v>
      </c>
      <c r="D206" s="516"/>
      <c r="E206" s="444"/>
      <c r="F206" s="445"/>
      <c r="G206" s="445"/>
      <c r="H206" s="434">
        <f>SUM(H202:H204)</f>
        <v>5683250.8500000006</v>
      </c>
      <c r="I206" s="434"/>
      <c r="J206" s="444"/>
      <c r="K206" s="444"/>
      <c r="L206" s="554"/>
      <c r="M206" s="720"/>
      <c r="N206" s="639"/>
      <c r="O206" s="643"/>
      <c r="P206" s="643"/>
      <c r="Q206" s="643"/>
      <c r="R206" s="945"/>
      <c r="S206" s="945"/>
      <c r="T206" s="702">
        <f>SUM(T202:T204)</f>
        <v>6153502.0199999996</v>
      </c>
      <c r="U206" s="702"/>
      <c r="V206" s="643"/>
      <c r="W206" s="643"/>
      <c r="X206" s="703"/>
    </row>
    <row r="207" spans="2:24" ht="15.6" thickBot="1" x14ac:dyDescent="0.3">
      <c r="D207" s="597"/>
      <c r="E207" s="386"/>
      <c r="F207" s="386"/>
      <c r="G207" s="386"/>
      <c r="H207" s="385"/>
      <c r="I207" s="385"/>
      <c r="J207" s="386"/>
      <c r="K207" s="386"/>
      <c r="L207" s="598"/>
      <c r="M207" s="233"/>
      <c r="N207" s="955"/>
      <c r="O207" s="956"/>
      <c r="P207" s="956"/>
      <c r="Q207" s="956"/>
      <c r="R207" s="956"/>
      <c r="S207" s="956"/>
      <c r="T207" s="957"/>
      <c r="U207" s="957"/>
      <c r="V207" s="956"/>
      <c r="W207" s="956"/>
      <c r="X207" s="958"/>
    </row>
    <row r="208" spans="2:24" hidden="1" x14ac:dyDescent="0.25"/>
    <row r="209" spans="2:16" hidden="1" x14ac:dyDescent="0.25">
      <c r="P209" s="314">
        <v>2009</v>
      </c>
    </row>
    <row r="210" spans="2:16" hidden="1" x14ac:dyDescent="0.25">
      <c r="B210" s="315" t="s">
        <v>323</v>
      </c>
      <c r="D210" s="119">
        <f>2550975.91-D193</f>
        <v>-1269720.9299999997</v>
      </c>
      <c r="P210" s="316" t="s">
        <v>313</v>
      </c>
    </row>
    <row r="211" spans="2:16" hidden="1" x14ac:dyDescent="0.25"/>
    <row r="212" spans="2:16" hidden="1" x14ac:dyDescent="0.25">
      <c r="B212" s="317" t="s">
        <v>314</v>
      </c>
      <c r="P212" s="318">
        <v>0</v>
      </c>
    </row>
    <row r="213" spans="2:16" hidden="1" x14ac:dyDescent="0.25"/>
    <row r="214" spans="2:16" hidden="1" x14ac:dyDescent="0.25">
      <c r="B214" s="317" t="s">
        <v>315</v>
      </c>
      <c r="P214" s="318">
        <v>0</v>
      </c>
    </row>
    <row r="215" spans="2:16" hidden="1" x14ac:dyDescent="0.25">
      <c r="B215" s="317" t="s">
        <v>315</v>
      </c>
      <c r="P215" s="318">
        <v>0</v>
      </c>
    </row>
    <row r="216" spans="2:16" hidden="1" x14ac:dyDescent="0.25">
      <c r="B216" s="317" t="s">
        <v>316</v>
      </c>
      <c r="P216" s="318">
        <v>0</v>
      </c>
    </row>
    <row r="217" spans="2:16" hidden="1" x14ac:dyDescent="0.25">
      <c r="B217" s="317" t="s">
        <v>317</v>
      </c>
      <c r="P217" s="318">
        <v>0</v>
      </c>
    </row>
    <row r="218" spans="2:16" hidden="1" x14ac:dyDescent="0.25">
      <c r="B218" s="317" t="s">
        <v>318</v>
      </c>
      <c r="P218" s="318">
        <v>0</v>
      </c>
    </row>
    <row r="219" spans="2:16" hidden="1" x14ac:dyDescent="0.25">
      <c r="B219" s="317" t="s">
        <v>319</v>
      </c>
      <c r="P219" s="318">
        <v>0</v>
      </c>
    </row>
    <row r="220" spans="2:16" hidden="1" x14ac:dyDescent="0.25">
      <c r="B220" s="317" t="s">
        <v>320</v>
      </c>
      <c r="P220" s="318">
        <f>SUM(P214:P219)</f>
        <v>0</v>
      </c>
    </row>
    <row r="221" spans="2:16" hidden="1" x14ac:dyDescent="0.25"/>
    <row r="222" spans="2:16" hidden="1" x14ac:dyDescent="0.25">
      <c r="B222" s="319" t="s">
        <v>321</v>
      </c>
      <c r="P222" s="318">
        <f>+P212+P220</f>
        <v>0</v>
      </c>
    </row>
    <row r="223" spans="2:16" hidden="1" x14ac:dyDescent="0.25"/>
  </sheetData>
  <mergeCells count="2">
    <mergeCell ref="D6:L6"/>
    <mergeCell ref="N6:X6"/>
  </mergeCells>
  <phoneticPr fontId="12" type="noConversion"/>
  <pageMargins left="0.75" right="0.75" top="1.1399999999999999" bottom="0.67" header="0.76" footer="0.24"/>
  <pageSetup scale="51" fitToHeight="3" orientation="landscape" r:id="rId1"/>
  <headerFooter alignWithMargins="0">
    <oddHeader>&amp;C&amp;A&amp;RPage  &amp;P of &amp;N</oddHeader>
    <oddFooter>&amp;L&amp;Z&amp;F&amp;R&amp;D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W73"/>
  <sheetViews>
    <sheetView workbookViewId="0">
      <selection activeCell="E13" sqref="E13"/>
    </sheetView>
  </sheetViews>
  <sheetFormatPr defaultColWidth="8.90625" defaultRowHeight="13.2" x14ac:dyDescent="0.25"/>
  <cols>
    <col min="1" max="1" width="31.54296875" style="79" customWidth="1"/>
    <col min="2" max="2" width="14.08984375" style="79" bestFit="1" customWidth="1"/>
    <col min="3" max="3" width="14" style="79" bestFit="1" customWidth="1"/>
    <col min="4" max="4" width="2.1796875" style="79" customWidth="1"/>
    <col min="5" max="5" width="14" style="79" bestFit="1" customWidth="1"/>
    <col min="6" max="16384" width="8.90625" style="79"/>
  </cols>
  <sheetData>
    <row r="1" spans="1:23" x14ac:dyDescent="0.25">
      <c r="A1" s="62" t="s">
        <v>747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3" x14ac:dyDescent="0.25">
      <c r="A2" s="27" t="s">
        <v>116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23" x14ac:dyDescent="0.25">
      <c r="A3" s="33" t="s">
        <v>716</v>
      </c>
      <c r="B3" s="29"/>
      <c r="C3" s="27"/>
      <c r="D3" s="28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x14ac:dyDescent="0.25">
      <c r="A4" s="28"/>
      <c r="B4" s="29"/>
      <c r="C4" s="27"/>
      <c r="D4" s="28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x14ac:dyDescent="0.25">
      <c r="A5" s="44"/>
      <c r="B5" s="44"/>
      <c r="C5" s="175"/>
      <c r="D5" s="44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  <c r="T5" s="175"/>
      <c r="U5" s="175"/>
      <c r="V5" s="175"/>
      <c r="W5" s="175"/>
    </row>
    <row r="6" spans="1:23" x14ac:dyDescent="0.25">
      <c r="A6" s="44"/>
      <c r="B6" s="44"/>
      <c r="C6" s="175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7" spans="1:23" x14ac:dyDescent="0.25">
      <c r="A7" s="110"/>
      <c r="B7" s="117" t="s">
        <v>114</v>
      </c>
      <c r="C7" s="117" t="s">
        <v>342</v>
      </c>
      <c r="D7" s="110"/>
      <c r="E7" s="117" t="str">
        <f>+'S1-Revenue Requirement'!E6</f>
        <v>11/1/22-10/31/23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</row>
    <row r="8" spans="1:23" x14ac:dyDescent="0.25">
      <c r="A8" s="110"/>
      <c r="B8" s="117" t="str">
        <f>+'S1-Revenue Requirement'!C6</f>
        <v>7/1/21 - 6/30/22</v>
      </c>
      <c r="C8" s="115" t="s">
        <v>343</v>
      </c>
      <c r="D8" s="110"/>
      <c r="E8" s="116" t="s">
        <v>1226</v>
      </c>
      <c r="F8" s="44"/>
      <c r="G8" s="44"/>
      <c r="H8" s="164"/>
      <c r="I8" s="164"/>
      <c r="J8" s="44"/>
      <c r="K8" s="44"/>
      <c r="L8" s="44"/>
      <c r="M8" s="44"/>
      <c r="N8" s="44"/>
      <c r="O8" s="44"/>
      <c r="P8" s="44"/>
      <c r="Q8" s="44"/>
      <c r="R8" s="44"/>
      <c r="S8" s="44"/>
    </row>
    <row r="9" spans="1:23" x14ac:dyDescent="0.25">
      <c r="A9" s="47" t="s">
        <v>879</v>
      </c>
      <c r="B9" s="609">
        <f>3261278.94+8849.76+11372+504.64</f>
        <v>3282005.34</v>
      </c>
      <c r="C9" s="941">
        <f t="shared" ref="C9:C14" si="0">SUM(E9-B9)</f>
        <v>330423.89999999991</v>
      </c>
      <c r="D9" s="234"/>
      <c r="E9" s="797">
        <f>3607105.76+5323.48</f>
        <v>3612429.2399999998</v>
      </c>
      <c r="F9" s="44"/>
      <c r="G9" s="309"/>
      <c r="H9" s="609"/>
      <c r="I9" s="609"/>
      <c r="J9" s="164"/>
      <c r="K9" s="164"/>
      <c r="L9" s="44"/>
      <c r="M9" s="44"/>
      <c r="N9" s="44"/>
      <c r="O9" s="44"/>
      <c r="P9" s="44"/>
      <c r="Q9" s="44"/>
      <c r="R9" s="44"/>
      <c r="S9" s="44"/>
    </row>
    <row r="10" spans="1:23" x14ac:dyDescent="0.25">
      <c r="A10" s="47" t="s">
        <v>262</v>
      </c>
      <c r="B10" s="609">
        <v>342634.47</v>
      </c>
      <c r="C10" s="827">
        <f t="shared" si="0"/>
        <v>-1943.5</v>
      </c>
      <c r="D10" s="234"/>
      <c r="E10" s="797">
        <v>340690.97</v>
      </c>
      <c r="F10" s="44"/>
      <c r="G10" s="309"/>
      <c r="H10" s="609"/>
      <c r="I10" s="609"/>
      <c r="J10" s="164"/>
      <c r="K10" s="164"/>
      <c r="L10" s="44"/>
      <c r="M10" s="44"/>
      <c r="N10" s="44"/>
      <c r="O10" s="44"/>
      <c r="P10" s="44"/>
      <c r="Q10" s="44"/>
      <c r="R10" s="44"/>
      <c r="S10" s="44"/>
    </row>
    <row r="11" spans="1:23" x14ac:dyDescent="0.25">
      <c r="A11" s="47" t="s">
        <v>617</v>
      </c>
      <c r="B11" s="796">
        <f>55423.23+5610+1450.91+2746.4</f>
        <v>65230.540000000008</v>
      </c>
      <c r="C11" s="827">
        <f t="shared" si="0"/>
        <v>-3599.6900000000096</v>
      </c>
      <c r="D11" s="234"/>
      <c r="E11" s="609">
        <f>55938.85+5692</f>
        <v>61630.85</v>
      </c>
      <c r="F11" s="164"/>
      <c r="G11" s="309"/>
      <c r="H11" s="609"/>
      <c r="I11" s="609"/>
      <c r="J11" s="164"/>
      <c r="K11" s="164"/>
      <c r="L11" s="44"/>
      <c r="M11" s="44"/>
      <c r="N11" s="44"/>
      <c r="O11" s="44"/>
      <c r="P11" s="44"/>
      <c r="Q11" s="44"/>
      <c r="R11" s="44"/>
      <c r="S11" s="44"/>
    </row>
    <row r="12" spans="1:23" x14ac:dyDescent="0.25">
      <c r="A12" s="293" t="s">
        <v>269</v>
      </c>
      <c r="B12" s="609">
        <f>SUM(B9:B11)</f>
        <v>3689870.3499999996</v>
      </c>
      <c r="C12" s="827">
        <f t="shared" si="0"/>
        <v>324880.71000000043</v>
      </c>
      <c r="D12" s="234"/>
      <c r="E12" s="111">
        <f>SUM(E9:E11)</f>
        <v>4014751.06</v>
      </c>
      <c r="F12" s="44"/>
      <c r="G12" s="44"/>
      <c r="H12" s="610"/>
      <c r="I12" s="610"/>
      <c r="J12" s="44"/>
      <c r="K12" s="44"/>
      <c r="L12" s="44"/>
      <c r="M12" s="44"/>
      <c r="N12" s="44"/>
      <c r="O12" s="44"/>
      <c r="P12" s="44"/>
      <c r="Q12" s="44"/>
      <c r="R12" s="44"/>
      <c r="S12" s="44"/>
    </row>
    <row r="13" spans="1:23" x14ac:dyDescent="0.25">
      <c r="A13" s="47" t="s">
        <v>1222</v>
      </c>
      <c r="B13" s="609">
        <f>58788.97-192622.63</f>
        <v>-133833.66</v>
      </c>
      <c r="C13" s="914">
        <f t="shared" si="0"/>
        <v>510.26000000000931</v>
      </c>
      <c r="D13" s="237"/>
      <c r="E13" s="914">
        <v>-133323.4</v>
      </c>
      <c r="F13" s="309"/>
      <c r="G13" s="309"/>
      <c r="H13" s="609"/>
      <c r="I13" s="609"/>
      <c r="J13" s="545"/>
      <c r="K13" s="44"/>
      <c r="L13" s="44"/>
      <c r="M13" s="44"/>
      <c r="N13" s="44"/>
      <c r="O13" s="44"/>
      <c r="P13" s="44"/>
      <c r="Q13" s="44"/>
      <c r="R13" s="44"/>
      <c r="S13" s="44"/>
    </row>
    <row r="14" spans="1:23" x14ac:dyDescent="0.25">
      <c r="A14" s="294" t="s">
        <v>270</v>
      </c>
      <c r="B14" s="798">
        <f>SUM(B12:B13)</f>
        <v>3556036.6899999995</v>
      </c>
      <c r="C14" s="942">
        <f t="shared" si="0"/>
        <v>325390.97000000067</v>
      </c>
      <c r="D14" s="236"/>
      <c r="E14" s="798">
        <f>SUM(E12:E13)</f>
        <v>3881427.66</v>
      </c>
      <c r="F14" s="164"/>
      <c r="G14" s="164"/>
      <c r="H14" s="610"/>
      <c r="I14" s="610"/>
      <c r="J14" s="164"/>
      <c r="K14" s="176"/>
      <c r="L14" s="176"/>
      <c r="M14" s="164"/>
      <c r="N14" s="176"/>
      <c r="O14" s="164"/>
      <c r="P14" s="164"/>
      <c r="Q14" s="164"/>
      <c r="R14" s="164"/>
      <c r="S14" s="164"/>
      <c r="T14" s="29"/>
    </row>
    <row r="15" spans="1:23" x14ac:dyDescent="0.25">
      <c r="A15" s="228"/>
      <c r="B15" s="228"/>
      <c r="C15" s="185"/>
      <c r="D15" s="228"/>
      <c r="E15" s="228"/>
      <c r="F15" s="164"/>
      <c r="G15" s="309"/>
      <c r="H15" s="309"/>
      <c r="I15" s="309"/>
      <c r="J15" s="164"/>
      <c r="K15" s="176"/>
      <c r="L15" s="176"/>
      <c r="M15" s="164"/>
      <c r="N15" s="176"/>
      <c r="O15" s="164"/>
      <c r="P15" s="164"/>
      <c r="Q15" s="164"/>
      <c r="R15" s="164"/>
      <c r="S15" s="164"/>
      <c r="T15" s="29"/>
    </row>
    <row r="16" spans="1:23" x14ac:dyDescent="0.25">
      <c r="A16" s="234"/>
      <c r="B16" s="235"/>
      <c r="C16" s="941"/>
      <c r="D16" s="235"/>
      <c r="E16" s="235"/>
      <c r="F16" s="164"/>
      <c r="G16" s="164"/>
      <c r="H16" s="610"/>
      <c r="I16" s="610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29"/>
    </row>
    <row r="17" spans="1:20" x14ac:dyDescent="0.25">
      <c r="A17" s="47" t="s">
        <v>263</v>
      </c>
      <c r="B17" s="609">
        <f>785279.28-130627.52</f>
        <v>654651.76</v>
      </c>
      <c r="C17" s="827">
        <f t="shared" ref="C17:C23" si="1">SUM(E17-B17)</f>
        <v>179868.17999999993</v>
      </c>
      <c r="D17" s="235"/>
      <c r="E17" s="797">
        <v>834519.94</v>
      </c>
      <c r="F17" s="164"/>
      <c r="G17" s="309"/>
      <c r="H17" s="609"/>
      <c r="I17" s="609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29"/>
    </row>
    <row r="18" spans="1:20" x14ac:dyDescent="0.25">
      <c r="A18" s="47" t="s">
        <v>1188</v>
      </c>
      <c r="B18" s="609">
        <f>11432.48+57898.38+76269.27</f>
        <v>145600.13</v>
      </c>
      <c r="C18" s="941">
        <f t="shared" si="1"/>
        <v>22041.669999999984</v>
      </c>
      <c r="D18" s="235"/>
      <c r="E18" s="797">
        <f>156625.8+11016</f>
        <v>167641.79999999999</v>
      </c>
      <c r="F18" s="309"/>
      <c r="G18" s="309"/>
      <c r="H18" s="609"/>
      <c r="I18" s="609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29"/>
    </row>
    <row r="19" spans="1:20" x14ac:dyDescent="0.25">
      <c r="A19" s="47" t="s">
        <v>264</v>
      </c>
      <c r="B19" s="609">
        <f>348719.88+116717.06</f>
        <v>465436.94</v>
      </c>
      <c r="C19" s="827">
        <f t="shared" si="1"/>
        <v>181934.40999999997</v>
      </c>
      <c r="D19" s="235"/>
      <c r="E19" s="797">
        <v>647371.35</v>
      </c>
      <c r="F19" s="164"/>
      <c r="G19" s="309"/>
      <c r="H19" s="609"/>
      <c r="I19" s="609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29"/>
    </row>
    <row r="20" spans="1:20" x14ac:dyDescent="0.25">
      <c r="A20" s="47" t="s">
        <v>1086</v>
      </c>
      <c r="B20" s="609">
        <v>130344</v>
      </c>
      <c r="C20" s="941">
        <f t="shared" si="1"/>
        <v>0</v>
      </c>
      <c r="D20" s="235"/>
      <c r="E20" s="797">
        <v>130344</v>
      </c>
      <c r="F20" s="164"/>
      <c r="G20" s="309"/>
      <c r="H20" s="609"/>
      <c r="I20" s="609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29"/>
    </row>
    <row r="21" spans="1:20" x14ac:dyDescent="0.25">
      <c r="A21" s="47" t="s">
        <v>1225</v>
      </c>
      <c r="B21" s="609">
        <v>16437.37</v>
      </c>
      <c r="C21" s="635">
        <f t="shared" si="1"/>
        <v>3852.0400000000009</v>
      </c>
      <c r="D21" s="237"/>
      <c r="E21" s="797">
        <v>20289.41</v>
      </c>
      <c r="F21" s="164"/>
      <c r="G21" s="164"/>
      <c r="H21" s="609"/>
      <c r="I21" s="609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29"/>
    </row>
    <row r="22" spans="1:20" x14ac:dyDescent="0.25">
      <c r="A22" s="47" t="s">
        <v>1105</v>
      </c>
      <c r="B22" s="609">
        <f>47599.24+1532.4+324</f>
        <v>49455.64</v>
      </c>
      <c r="C22" s="827">
        <f t="shared" si="1"/>
        <v>15331.940000000002</v>
      </c>
      <c r="D22" s="235"/>
      <c r="E22" s="797">
        <f>62933.58+324+1530</f>
        <v>64787.58</v>
      </c>
      <c r="F22" s="309"/>
      <c r="G22" s="164"/>
      <c r="H22" s="609"/>
      <c r="I22" s="609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29"/>
    </row>
    <row r="23" spans="1:20" hidden="1" x14ac:dyDescent="0.25">
      <c r="A23" s="47" t="s">
        <v>103</v>
      </c>
      <c r="B23" s="237">
        <v>0</v>
      </c>
      <c r="C23" s="941">
        <f t="shared" si="1"/>
        <v>0</v>
      </c>
      <c r="D23" s="235"/>
      <c r="E23" s="111">
        <v>0</v>
      </c>
      <c r="F23" s="164"/>
      <c r="G23" s="164"/>
      <c r="H23" s="610"/>
      <c r="I23" s="610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29"/>
    </row>
    <row r="24" spans="1:20" x14ac:dyDescent="0.25">
      <c r="A24" s="294" t="s">
        <v>265</v>
      </c>
      <c r="B24" s="939">
        <f>SUM(B17:B23)</f>
        <v>1461925.84</v>
      </c>
      <c r="C24" s="799">
        <f>SUM(C17:C23)</f>
        <v>403028.23999999987</v>
      </c>
      <c r="D24" s="236"/>
      <c r="E24" s="799">
        <f>SUM(E17:E23)</f>
        <v>1864954.0799999998</v>
      </c>
      <c r="F24" s="164"/>
      <c r="G24" s="164"/>
      <c r="H24" s="635"/>
      <c r="I24" s="635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29"/>
    </row>
    <row r="25" spans="1:20" x14ac:dyDescent="0.25">
      <c r="A25" s="47"/>
      <c r="B25" s="234"/>
      <c r="C25" s="941"/>
      <c r="D25" s="234"/>
      <c r="E25" s="234"/>
      <c r="F25" s="164"/>
      <c r="G25" s="164"/>
      <c r="H25" s="306"/>
      <c r="I25" s="306"/>
      <c r="J25" s="164"/>
      <c r="K25" s="164"/>
      <c r="L25" s="164"/>
      <c r="M25" s="164"/>
      <c r="N25" s="164"/>
      <c r="O25" s="164"/>
      <c r="P25" s="164"/>
      <c r="Q25" s="164"/>
      <c r="R25" s="164"/>
      <c r="S25" s="164"/>
      <c r="T25" s="29"/>
    </row>
    <row r="26" spans="1:20" x14ac:dyDescent="0.25">
      <c r="A26" s="47" t="s">
        <v>266</v>
      </c>
      <c r="B26" s="609">
        <f>4670+99080</f>
        <v>103750</v>
      </c>
      <c r="C26" s="827">
        <f>SUM(E26-B26)</f>
        <v>8778</v>
      </c>
      <c r="D26" s="235"/>
      <c r="E26" s="609">
        <v>112528</v>
      </c>
      <c r="F26" s="309"/>
      <c r="G26" s="309"/>
      <c r="H26" s="609"/>
      <c r="I26" s="609"/>
      <c r="J26" s="164"/>
      <c r="K26" s="164"/>
      <c r="L26" s="164"/>
      <c r="M26" s="164"/>
      <c r="N26" s="164"/>
      <c r="O26" s="164"/>
      <c r="P26" s="164"/>
      <c r="Q26" s="164"/>
      <c r="R26" s="164"/>
      <c r="S26" s="164"/>
      <c r="T26" s="29"/>
    </row>
    <row r="27" spans="1:20" hidden="1" x14ac:dyDescent="0.25">
      <c r="A27" s="47" t="s">
        <v>271</v>
      </c>
      <c r="B27" s="237">
        <f>+'S7 - Insurance'!B9</f>
        <v>0</v>
      </c>
      <c r="C27" s="827">
        <f>SUM(E27-B27)</f>
        <v>0</v>
      </c>
      <c r="D27" s="235"/>
      <c r="E27" s="609">
        <f>+'S7 - Insurance'!F9</f>
        <v>0</v>
      </c>
      <c r="F27" s="164"/>
      <c r="G27" s="309"/>
      <c r="H27" s="609"/>
      <c r="I27" s="609"/>
      <c r="J27" s="164"/>
      <c r="K27" s="164"/>
      <c r="L27" s="164"/>
      <c r="M27" s="164"/>
      <c r="N27" s="164"/>
      <c r="O27" s="164"/>
      <c r="P27" s="164"/>
      <c r="Q27" s="164"/>
      <c r="R27" s="164"/>
      <c r="S27" s="164"/>
      <c r="T27" s="29"/>
    </row>
    <row r="28" spans="1:20" x14ac:dyDescent="0.25">
      <c r="A28" s="47" t="s">
        <v>637</v>
      </c>
      <c r="B28" s="609">
        <f>2173.45+232834.12+55825.52+6045.08</f>
        <v>296878.17000000004</v>
      </c>
      <c r="C28" s="827">
        <f>SUM(E28-B28)</f>
        <v>-2285.890000000014</v>
      </c>
      <c r="D28" s="235"/>
      <c r="E28" s="797">
        <f>290432.28+2480+1680</f>
        <v>294592.28000000003</v>
      </c>
      <c r="F28" s="164"/>
      <c r="G28" s="309"/>
      <c r="H28" s="609"/>
      <c r="I28" s="609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29"/>
    </row>
    <row r="29" spans="1:20" x14ac:dyDescent="0.25">
      <c r="A29" s="310" t="s">
        <v>272</v>
      </c>
      <c r="B29" s="940">
        <f>SUM(B26:B28)</f>
        <v>400628.17000000004</v>
      </c>
      <c r="C29" s="943">
        <f>SUM(E29-B29)</f>
        <v>6492.109999999986</v>
      </c>
      <c r="D29" s="238"/>
      <c r="E29" s="301">
        <f>SUM(E26:E28)</f>
        <v>407120.28</v>
      </c>
      <c r="F29" s="164"/>
      <c r="G29" s="164"/>
      <c r="H29" s="610"/>
      <c r="I29" s="610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29"/>
    </row>
    <row r="30" spans="1:20" x14ac:dyDescent="0.25">
      <c r="A30" s="47"/>
      <c r="B30" s="111"/>
      <c r="C30" s="827"/>
      <c r="D30" s="235"/>
      <c r="E30" s="111"/>
      <c r="F30" s="164"/>
      <c r="G30" s="164"/>
      <c r="H30" s="610"/>
      <c r="I30" s="610"/>
      <c r="J30" s="164"/>
      <c r="K30" s="164"/>
      <c r="L30" s="164"/>
      <c r="M30" s="164"/>
      <c r="N30" s="164"/>
      <c r="O30" s="164"/>
      <c r="P30" s="164"/>
      <c r="Q30" s="164"/>
      <c r="R30" s="164"/>
      <c r="S30" s="164"/>
      <c r="T30" s="29"/>
    </row>
    <row r="31" spans="1:20" x14ac:dyDescent="0.25">
      <c r="A31" s="311" t="s">
        <v>273</v>
      </c>
      <c r="B31" s="798">
        <f>SUM(B14+B24+B29)</f>
        <v>5418590.6999999993</v>
      </c>
      <c r="C31" s="942">
        <f>SUM(E31-B31)</f>
        <v>734911.32000000123</v>
      </c>
      <c r="D31" s="236"/>
      <c r="E31" s="798">
        <f>SUM(E14+E24+E29)</f>
        <v>6153502.0200000005</v>
      </c>
      <c r="F31" s="164"/>
      <c r="G31" s="164"/>
      <c r="H31" s="610"/>
      <c r="I31" s="610"/>
      <c r="J31" s="164"/>
      <c r="K31" s="164"/>
      <c r="L31" s="164"/>
      <c r="M31" s="164"/>
      <c r="N31" s="164"/>
      <c r="O31" s="164"/>
      <c r="P31" s="164"/>
      <c r="Q31" s="164"/>
      <c r="R31" s="164"/>
      <c r="S31" s="164"/>
      <c r="T31" s="29"/>
    </row>
    <row r="32" spans="1:20" x14ac:dyDescent="0.25">
      <c r="A32" s="47"/>
      <c r="B32" s="235"/>
      <c r="C32" s="234"/>
      <c r="D32" s="234"/>
      <c r="E32" s="23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4"/>
      <c r="T32" s="29"/>
    </row>
    <row r="33" spans="1:19" hidden="1" x14ac:dyDescent="0.25">
      <c r="A33" s="47"/>
      <c r="B33" s="235"/>
      <c r="C33" s="234"/>
      <c r="D33" s="234"/>
      <c r="E33" s="47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</row>
    <row r="34" spans="1:19" hidden="1" x14ac:dyDescent="0.25">
      <c r="A34" s="47" t="s">
        <v>274</v>
      </c>
      <c r="B34" s="235"/>
      <c r="C34" s="234"/>
      <c r="D34" s="234"/>
      <c r="E34" s="47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</row>
    <row r="35" spans="1:19" hidden="1" x14ac:dyDescent="0.25">
      <c r="A35" s="112" t="s">
        <v>267</v>
      </c>
      <c r="B35" s="235">
        <v>0</v>
      </c>
      <c r="C35" s="237">
        <f>SUM(E35-B35)</f>
        <v>0</v>
      </c>
      <c r="D35" s="234"/>
      <c r="E35" s="111">
        <v>0</v>
      </c>
      <c r="F35" s="44"/>
      <c r="G35" s="309"/>
      <c r="H35" s="164"/>
      <c r="I35" s="164"/>
      <c r="J35" s="164"/>
      <c r="K35" s="44"/>
      <c r="L35" s="44"/>
      <c r="M35" s="44"/>
      <c r="N35" s="44"/>
      <c r="O35" s="44"/>
      <c r="P35" s="44"/>
      <c r="Q35" s="44"/>
      <c r="R35" s="44"/>
      <c r="S35" s="44"/>
    </row>
    <row r="36" spans="1:19" hidden="1" x14ac:dyDescent="0.25">
      <c r="A36" s="112" t="s">
        <v>268</v>
      </c>
      <c r="B36" s="235">
        <v>0</v>
      </c>
      <c r="C36" s="237">
        <f>SUM(E36-B36)</f>
        <v>0</v>
      </c>
      <c r="D36" s="234"/>
      <c r="E36" s="111">
        <v>0</v>
      </c>
      <c r="F36" s="44"/>
      <c r="G36" s="309"/>
      <c r="H36" s="164"/>
      <c r="I36" s="164"/>
      <c r="J36" s="164"/>
      <c r="K36" s="44"/>
      <c r="L36" s="44"/>
      <c r="M36" s="44"/>
      <c r="N36" s="44"/>
      <c r="O36" s="44"/>
      <c r="P36" s="44"/>
      <c r="Q36" s="44"/>
      <c r="R36" s="44"/>
      <c r="S36" s="44"/>
    </row>
    <row r="37" spans="1:19" hidden="1" x14ac:dyDescent="0.25">
      <c r="A37" s="312" t="s">
        <v>275</v>
      </c>
      <c r="B37" s="388">
        <f>SUM(B35:B36)</f>
        <v>0</v>
      </c>
      <c r="C37" s="388">
        <f>SUM(C35:C36)</f>
        <v>0</v>
      </c>
      <c r="D37" s="238"/>
      <c r="E37" s="301">
        <f>SUM(E35:E36)</f>
        <v>0</v>
      </c>
      <c r="F37" s="44"/>
      <c r="G37" s="164"/>
      <c r="H37" s="164"/>
      <c r="I37" s="164"/>
      <c r="J37" s="164"/>
      <c r="K37" s="44"/>
      <c r="L37" s="44"/>
      <c r="M37" s="44"/>
      <c r="N37" s="44"/>
      <c r="O37" s="44"/>
      <c r="P37" s="44"/>
      <c r="Q37" s="44"/>
      <c r="R37" s="44"/>
      <c r="S37" s="44"/>
    </row>
    <row r="38" spans="1:19" hidden="1" x14ac:dyDescent="0.25">
      <c r="A38" s="47"/>
      <c r="B38" s="235"/>
      <c r="C38" s="235"/>
      <c r="D38" s="234"/>
      <c r="E38" s="47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</row>
    <row r="39" spans="1:19" x14ac:dyDescent="0.25">
      <c r="A39" s="47"/>
      <c r="B39" s="235"/>
      <c r="C39" s="235"/>
      <c r="D39" s="234"/>
      <c r="E39" s="585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</row>
    <row r="40" spans="1:19" x14ac:dyDescent="0.25">
      <c r="A40" s="112"/>
      <c r="B40" s="49"/>
      <c r="C40" s="49"/>
      <c r="D40" s="49"/>
      <c r="E40" s="114"/>
      <c r="F40" s="44"/>
      <c r="G40" s="175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</row>
    <row r="41" spans="1:19" x14ac:dyDescent="0.25">
      <c r="A41" s="112"/>
      <c r="B41" s="49"/>
      <c r="C41" s="49"/>
      <c r="D41" s="49"/>
      <c r="E41" s="11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</row>
    <row r="42" spans="1:19" x14ac:dyDescent="0.25">
      <c r="A42" s="47"/>
      <c r="B42" s="49"/>
      <c r="C42" s="49"/>
      <c r="D42" s="49"/>
      <c r="E42" s="49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</row>
    <row r="43" spans="1:19" x14ac:dyDescent="0.25">
      <c r="A43" s="47"/>
      <c r="B43" s="44"/>
      <c r="C43" s="111"/>
      <c r="D43" s="44"/>
      <c r="E43" s="468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</row>
    <row r="44" spans="1:19" x14ac:dyDescent="0.25">
      <c r="A44" s="44"/>
      <c r="B44" s="44"/>
      <c r="C44" s="111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</row>
    <row r="45" spans="1:19" x14ac:dyDescent="0.25">
      <c r="A45" s="44"/>
      <c r="B45" s="44"/>
      <c r="C45" s="175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</row>
    <row r="46" spans="1:19" x14ac:dyDescent="0.25">
      <c r="A46" s="44"/>
      <c r="B46" s="44"/>
      <c r="C46" s="175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</row>
    <row r="47" spans="1:19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</row>
    <row r="48" spans="1:19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</row>
    <row r="49" spans="1:19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</row>
    <row r="50" spans="1:19" x14ac:dyDescent="0.2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</row>
    <row r="51" spans="1:19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</row>
    <row r="52" spans="1:19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</row>
    <row r="53" spans="1:19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</row>
    <row r="54" spans="1:19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</row>
    <row r="55" spans="1:19" x14ac:dyDescent="0.25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</row>
    <row r="56" spans="1:19" x14ac:dyDescent="0.25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</row>
    <row r="57" spans="1:19" x14ac:dyDescent="0.25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</row>
    <row r="58" spans="1:19" x14ac:dyDescent="0.25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</row>
    <row r="59" spans="1:19" x14ac:dyDescent="0.25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</row>
    <row r="60" spans="1:19" x14ac:dyDescent="0.25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</row>
    <row r="61" spans="1:19" x14ac:dyDescent="0.25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</row>
    <row r="62" spans="1:19" x14ac:dyDescent="0.25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</row>
    <row r="63" spans="1:19" x14ac:dyDescent="0.25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</row>
    <row r="64" spans="1:19" x14ac:dyDescent="0.25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</row>
    <row r="65" spans="1:19" x14ac:dyDescent="0.25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</row>
    <row r="66" spans="1:19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</row>
    <row r="67" spans="1:19" x14ac:dyDescent="0.25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</row>
    <row r="68" spans="1:19" x14ac:dyDescent="0.25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</row>
    <row r="69" spans="1:19" x14ac:dyDescent="0.25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</row>
    <row r="70" spans="1:19" x14ac:dyDescent="0.25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</row>
    <row r="71" spans="1:19" x14ac:dyDescent="0.25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</row>
    <row r="72" spans="1:19" x14ac:dyDescent="0.25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</row>
    <row r="73" spans="1:19" x14ac:dyDescent="0.25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</row>
  </sheetData>
  <phoneticPr fontId="12" type="noConversion"/>
  <pageMargins left="0.75" right="0.75" top="1" bottom="1" header="0.5" footer="0.5"/>
  <pageSetup scale="79" orientation="portrait" r:id="rId1"/>
  <headerFooter alignWithMargins="0">
    <oddHeader>&amp;RS6-C</oddHeader>
    <oddFooter>&amp;L&amp;Z&amp;F&amp;R&amp;D&amp;T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U82"/>
  <sheetViews>
    <sheetView workbookViewId="0">
      <selection activeCell="B12" sqref="B12"/>
    </sheetView>
  </sheetViews>
  <sheetFormatPr defaultRowHeight="15" x14ac:dyDescent="0.25"/>
  <cols>
    <col min="1" max="1" width="31.54296875" customWidth="1"/>
    <col min="2" max="2" width="14.6328125" customWidth="1"/>
    <col min="3" max="3" width="2.08984375" customWidth="1"/>
    <col min="4" max="4" width="14" bestFit="1" customWidth="1"/>
    <col min="5" max="5" width="2.1796875" customWidth="1"/>
    <col min="6" max="6" width="14" bestFit="1" customWidth="1"/>
    <col min="7" max="7" width="10" bestFit="1" customWidth="1"/>
  </cols>
  <sheetData>
    <row r="1" spans="1:21" x14ac:dyDescent="0.25">
      <c r="A1" s="62" t="s">
        <v>747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1" x14ac:dyDescent="0.25">
      <c r="A2" s="27" t="s">
        <v>117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1" x14ac:dyDescent="0.25">
      <c r="A3" s="33" t="s">
        <v>745</v>
      </c>
      <c r="B3" s="45"/>
      <c r="C3" s="45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x14ac:dyDescent="0.25">
      <c r="A4" s="28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</row>
    <row r="5" spans="1:21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</row>
    <row r="6" spans="1:21" x14ac:dyDescent="0.25">
      <c r="A6" s="110"/>
      <c r="B6" s="117" t="s">
        <v>114</v>
      </c>
      <c r="C6" s="755"/>
      <c r="D6" s="117" t="s">
        <v>342</v>
      </c>
      <c r="E6" s="117"/>
      <c r="F6" s="117" t="str">
        <f>+'S1-Revenue Requirement'!E6</f>
        <v>11/1/22-10/31/23</v>
      </c>
      <c r="G6" s="23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1" x14ac:dyDescent="0.25">
      <c r="A7" s="110"/>
      <c r="B7" s="115" t="str">
        <f>+'S1-Revenue Requirement'!C6</f>
        <v>7/1/21 - 6/30/22</v>
      </c>
      <c r="C7" s="116"/>
      <c r="D7" s="115" t="s">
        <v>343</v>
      </c>
      <c r="E7" s="115"/>
      <c r="F7" s="116" t="s">
        <v>1226</v>
      </c>
      <c r="G7" s="23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</row>
    <row r="8" spans="1:21" hidden="1" x14ac:dyDescent="0.25">
      <c r="A8" s="47" t="s">
        <v>279</v>
      </c>
      <c r="B8" s="111"/>
      <c r="C8" s="47"/>
      <c r="D8" s="111"/>
      <c r="E8" s="47"/>
      <c r="F8" s="111"/>
      <c r="G8" s="233"/>
      <c r="H8" s="23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</row>
    <row r="9" spans="1:21" hidden="1" x14ac:dyDescent="0.25">
      <c r="A9" s="359" t="s">
        <v>276</v>
      </c>
      <c r="B9" s="236">
        <v>0</v>
      </c>
      <c r="C9" s="236"/>
      <c r="D9" s="388">
        <f>SUM(F9-B9)</f>
        <v>0</v>
      </c>
      <c r="E9" s="388"/>
      <c r="F9" s="236">
        <v>0</v>
      </c>
      <c r="G9" s="233"/>
      <c r="H9" s="23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</row>
    <row r="10" spans="1:21" x14ac:dyDescent="0.25">
      <c r="A10" s="234"/>
      <c r="B10" s="235"/>
      <c r="C10" s="234"/>
      <c r="D10" s="235"/>
      <c r="E10" s="234"/>
      <c r="F10" s="235"/>
      <c r="G10" s="233"/>
      <c r="H10" s="23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</row>
    <row r="11" spans="1:21" x14ac:dyDescent="0.25">
      <c r="A11" s="47" t="s">
        <v>278</v>
      </c>
      <c r="B11" s="240"/>
      <c r="C11" s="233"/>
      <c r="D11" s="233"/>
      <c r="E11" s="233"/>
      <c r="F11" s="233"/>
      <c r="G11" s="233"/>
      <c r="H11" s="23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</row>
    <row r="12" spans="1:21" x14ac:dyDescent="0.25">
      <c r="A12" s="112" t="s">
        <v>629</v>
      </c>
      <c r="B12" s="610">
        <f>18121.07+1049+12662.5+5170.97+1255.5+2520.83+21518.94+1050+12974.52+5191.08+1298.52+4607.22</f>
        <v>87420.150000000009</v>
      </c>
      <c r="C12" s="234"/>
      <c r="D12" s="826">
        <f>SUM(F12-B12)</f>
        <v>6278.0799999999872</v>
      </c>
      <c r="E12" s="47"/>
      <c r="F12" s="610">
        <f>43037.65+2100+25949+10382.11+2597+9632.47</f>
        <v>93698.23</v>
      </c>
      <c r="G12" s="1157"/>
      <c r="H12" s="1158"/>
      <c r="I12" s="1159"/>
      <c r="J12" s="1159"/>
      <c r="K12" s="43"/>
      <c r="L12" s="43"/>
      <c r="M12" s="43"/>
      <c r="N12" s="43"/>
      <c r="O12" s="43"/>
      <c r="P12" s="43"/>
      <c r="Q12" s="43"/>
      <c r="R12" s="43"/>
      <c r="S12" s="43"/>
      <c r="T12" s="43"/>
    </row>
    <row r="13" spans="1:21" x14ac:dyDescent="0.25">
      <c r="A13" s="112" t="s">
        <v>1088</v>
      </c>
      <c r="B13" s="610">
        <f>11720.48+4451.02+12499.5+4603.02</f>
        <v>33274.020000000004</v>
      </c>
      <c r="C13" s="234"/>
      <c r="D13" s="827">
        <f>SUM(F13-B13)</f>
        <v>930.97999999999593</v>
      </c>
      <c r="E13" s="47"/>
      <c r="F13" s="610">
        <f>24999+9206</f>
        <v>34205</v>
      </c>
      <c r="G13" s="1158"/>
      <c r="H13" s="1158"/>
      <c r="I13" s="1159"/>
      <c r="J13" s="1159"/>
      <c r="K13" s="43"/>
      <c r="L13" s="43"/>
      <c r="M13" s="43"/>
      <c r="N13" s="43"/>
      <c r="O13" s="43"/>
      <c r="P13" s="43"/>
      <c r="Q13" s="43"/>
      <c r="R13" s="43"/>
      <c r="S13" s="43"/>
      <c r="T13" s="43"/>
    </row>
    <row r="14" spans="1:21" x14ac:dyDescent="0.25">
      <c r="A14" s="112" t="s">
        <v>277</v>
      </c>
      <c r="B14" s="610">
        <f>10230.52+5674.02</f>
        <v>15904.54</v>
      </c>
      <c r="C14" s="235"/>
      <c r="D14" s="111">
        <f>SUM(F14-B14)</f>
        <v>-4556.5400000000009</v>
      </c>
      <c r="E14" s="111"/>
      <c r="F14" s="610">
        <v>11348</v>
      </c>
      <c r="G14" s="1158"/>
      <c r="H14" s="1158"/>
      <c r="I14" s="1159"/>
      <c r="J14" s="1159"/>
      <c r="K14" s="43"/>
      <c r="L14" s="43"/>
      <c r="M14" s="43"/>
      <c r="N14" s="43"/>
      <c r="O14" s="43"/>
      <c r="P14" s="43"/>
      <c r="Q14" s="43"/>
      <c r="R14" s="43"/>
      <c r="S14" s="43"/>
      <c r="T14" s="43"/>
    </row>
    <row r="15" spans="1:21" x14ac:dyDescent="0.25">
      <c r="A15" s="294" t="s">
        <v>281</v>
      </c>
      <c r="B15" s="798">
        <f>SUM(B12:B14)</f>
        <v>136598.71000000002</v>
      </c>
      <c r="C15" s="389"/>
      <c r="D15" s="828">
        <f>SUM(F15-B15)</f>
        <v>2652.5199999999604</v>
      </c>
      <c r="E15" s="798"/>
      <c r="F15" s="798">
        <f>SUM(F12:F14)</f>
        <v>139251.22999999998</v>
      </c>
      <c r="G15" s="233"/>
      <c r="H15" s="233"/>
      <c r="I15" s="43"/>
      <c r="J15" s="45"/>
      <c r="K15" s="45"/>
      <c r="L15" s="113"/>
      <c r="M15" s="113"/>
      <c r="N15" s="45"/>
      <c r="O15" s="113"/>
      <c r="P15" s="45"/>
      <c r="Q15" s="45"/>
      <c r="R15" s="45"/>
      <c r="S15" s="45"/>
      <c r="T15" s="45"/>
      <c r="U15" s="17"/>
    </row>
    <row r="16" spans="1:21" x14ac:dyDescent="0.25">
      <c r="A16" s="240"/>
      <c r="B16" s="240"/>
      <c r="C16" s="240"/>
      <c r="D16" s="240"/>
      <c r="E16" s="240"/>
      <c r="F16" s="240"/>
      <c r="G16" s="240"/>
      <c r="H16" s="240"/>
      <c r="I16" s="45"/>
      <c r="J16" s="45"/>
      <c r="K16" s="45"/>
      <c r="L16" s="113"/>
      <c r="M16" s="113"/>
      <c r="N16" s="45"/>
      <c r="O16" s="113"/>
      <c r="P16" s="45"/>
      <c r="Q16" s="45"/>
      <c r="R16" s="45"/>
      <c r="S16" s="45"/>
      <c r="T16" s="45"/>
      <c r="U16" s="17"/>
    </row>
    <row r="17" spans="1:21" x14ac:dyDescent="0.25">
      <c r="A17" s="240"/>
      <c r="B17" s="240"/>
      <c r="C17" s="240"/>
      <c r="D17" s="240"/>
      <c r="E17" s="240"/>
      <c r="F17" s="240"/>
      <c r="G17" s="240"/>
      <c r="H17" s="240"/>
      <c r="I17" s="45"/>
      <c r="J17" s="45"/>
      <c r="K17" s="45"/>
      <c r="L17" s="113"/>
      <c r="M17" s="113"/>
      <c r="N17" s="45"/>
      <c r="O17" s="113"/>
      <c r="P17" s="45"/>
      <c r="Q17" s="45"/>
      <c r="R17" s="45"/>
      <c r="S17" s="45"/>
      <c r="T17" s="45"/>
      <c r="U17" s="17"/>
    </row>
    <row r="18" spans="1:21" x14ac:dyDescent="0.25">
      <c r="A18" s="240"/>
      <c r="B18" s="240"/>
      <c r="C18" s="240"/>
      <c r="D18" s="240"/>
      <c r="E18" s="240"/>
      <c r="F18" s="240"/>
      <c r="G18" s="240"/>
      <c r="H18" s="240"/>
      <c r="I18" s="45"/>
      <c r="J18" s="45"/>
      <c r="K18" s="45"/>
      <c r="L18" s="113"/>
      <c r="M18" s="113"/>
      <c r="N18" s="45"/>
      <c r="O18" s="113"/>
      <c r="P18" s="45"/>
      <c r="Q18" s="45"/>
      <c r="R18" s="45"/>
      <c r="S18" s="45"/>
      <c r="T18" s="45"/>
      <c r="U18" s="17"/>
    </row>
    <row r="19" spans="1:21" ht="15.6" x14ac:dyDescent="0.25">
      <c r="A19" s="240"/>
      <c r="B19" s="756" t="s">
        <v>282</v>
      </c>
      <c r="C19" s="155"/>
      <c r="D19" s="120"/>
      <c r="E19" s="155"/>
      <c r="F19" s="155"/>
      <c r="G19" s="155"/>
      <c r="H19" s="240"/>
      <c r="I19" s="45"/>
      <c r="J19" s="45"/>
      <c r="K19" s="45"/>
      <c r="L19" s="113"/>
      <c r="M19" s="113"/>
      <c r="N19" s="45"/>
      <c r="O19" s="113"/>
      <c r="P19" s="45"/>
      <c r="Q19" s="45"/>
      <c r="R19" s="45"/>
      <c r="S19" s="45"/>
      <c r="T19" s="45"/>
      <c r="U19" s="17"/>
    </row>
    <row r="20" spans="1:21" x14ac:dyDescent="0.25">
      <c r="A20" s="242"/>
      <c r="B20" s="117" t="s">
        <v>114</v>
      </c>
      <c r="C20" s="755"/>
      <c r="D20" s="117" t="s">
        <v>342</v>
      </c>
      <c r="E20" s="117"/>
      <c r="F20" s="117" t="str">
        <f>+F6</f>
        <v>11/1/22-10/31/23</v>
      </c>
      <c r="G20" s="117"/>
      <c r="H20" s="240"/>
      <c r="I20" s="45"/>
      <c r="J20" s="45"/>
      <c r="K20" s="45"/>
      <c r="L20" s="113"/>
      <c r="M20" s="113"/>
      <c r="N20" s="45"/>
      <c r="O20" s="113"/>
      <c r="P20" s="45"/>
      <c r="Q20" s="45"/>
      <c r="R20" s="45"/>
      <c r="S20" s="45"/>
      <c r="T20" s="45"/>
      <c r="U20" s="17"/>
    </row>
    <row r="21" spans="1:21" x14ac:dyDescent="0.25">
      <c r="A21" s="115" t="s">
        <v>140</v>
      </c>
      <c r="B21" s="115" t="str">
        <f>+B7</f>
        <v>7/1/21 - 6/30/22</v>
      </c>
      <c r="C21" s="116"/>
      <c r="D21" s="115" t="s">
        <v>343</v>
      </c>
      <c r="E21" s="115"/>
      <c r="F21" s="116" t="str">
        <f>+F7</f>
        <v>Adjusted Rate Year</v>
      </c>
      <c r="G21" s="115" t="s">
        <v>280</v>
      </c>
      <c r="H21" s="240"/>
      <c r="I21" s="45"/>
      <c r="J21" s="45"/>
      <c r="K21" s="45"/>
      <c r="L21" s="113"/>
      <c r="M21" s="113"/>
      <c r="N21" s="45"/>
      <c r="O21" s="113"/>
      <c r="P21" s="45"/>
      <c r="Q21" s="45"/>
      <c r="R21" s="45"/>
      <c r="S21" s="45"/>
      <c r="T21" s="45"/>
      <c r="U21" s="17"/>
    </row>
    <row r="22" spans="1:21" x14ac:dyDescent="0.25">
      <c r="A22" s="304" t="s">
        <v>118</v>
      </c>
      <c r="B22" s="727"/>
      <c r="C22" s="630"/>
      <c r="D22" s="728"/>
      <c r="E22" s="729"/>
      <c r="F22" s="728"/>
      <c r="G22" s="730"/>
      <c r="H22" s="240"/>
      <c r="I22" s="45"/>
      <c r="J22" s="45"/>
      <c r="K22" s="45"/>
      <c r="L22" s="113"/>
      <c r="M22" s="113"/>
      <c r="N22" s="45"/>
      <c r="O22" s="113"/>
      <c r="P22" s="45"/>
      <c r="Q22" s="45"/>
      <c r="R22" s="45"/>
      <c r="S22" s="45"/>
      <c r="T22" s="45"/>
      <c r="U22" s="17"/>
    </row>
    <row r="23" spans="1:21" x14ac:dyDescent="0.25">
      <c r="A23" s="304">
        <v>107.04</v>
      </c>
      <c r="B23" s="824">
        <f t="shared" ref="B23:B28" si="0">+$B$15*G23</f>
        <v>18321.916672945004</v>
      </c>
      <c r="C23" s="630"/>
      <c r="D23" s="829">
        <f t="shared" ref="D23:D28" si="1">+F23-B23</f>
        <v>355.78118133999305</v>
      </c>
      <c r="E23" s="830"/>
      <c r="F23" s="829">
        <f t="shared" ref="F23:F28" si="2">+$F$15*G23</f>
        <v>18677.697854284997</v>
      </c>
      <c r="G23" s="1095">
        <v>0.13412950000000001</v>
      </c>
      <c r="H23" s="240"/>
      <c r="I23" s="45"/>
      <c r="J23" s="45"/>
      <c r="K23" s="45"/>
      <c r="L23" s="113"/>
      <c r="M23" s="113"/>
      <c r="N23" s="45"/>
      <c r="O23" s="113"/>
      <c r="P23" s="45"/>
      <c r="Q23" s="45"/>
      <c r="R23" s="45"/>
      <c r="S23" s="45"/>
      <c r="T23" s="45"/>
      <c r="U23" s="17"/>
    </row>
    <row r="24" spans="1:21" x14ac:dyDescent="0.25">
      <c r="A24" s="304">
        <v>163.01</v>
      </c>
      <c r="B24" s="824">
        <f t="shared" si="0"/>
        <v>0</v>
      </c>
      <c r="C24" s="630"/>
      <c r="D24" s="829">
        <f t="shared" si="1"/>
        <v>0</v>
      </c>
      <c r="E24" s="830"/>
      <c r="F24" s="829">
        <f t="shared" si="2"/>
        <v>0</v>
      </c>
      <c r="G24" s="1095">
        <v>0</v>
      </c>
      <c r="H24" s="240"/>
      <c r="I24" s="45"/>
      <c r="J24" s="45"/>
      <c r="K24" s="45"/>
      <c r="L24" s="113"/>
      <c r="M24" s="113"/>
      <c r="N24" s="45"/>
      <c r="O24" s="113"/>
      <c r="P24" s="45"/>
      <c r="Q24" s="45"/>
      <c r="R24" s="45"/>
      <c r="S24" s="45"/>
      <c r="T24" s="45"/>
      <c r="U24" s="17"/>
    </row>
    <row r="25" spans="1:21" x14ac:dyDescent="0.25">
      <c r="A25" s="304">
        <v>184.01</v>
      </c>
      <c r="B25" s="824">
        <f>+$B$15*G25</f>
        <v>29288.416268391004</v>
      </c>
      <c r="C25" s="630"/>
      <c r="D25" s="829">
        <f t="shared" si="1"/>
        <v>568.73238349199164</v>
      </c>
      <c r="E25" s="830"/>
      <c r="F25" s="829">
        <f t="shared" si="2"/>
        <v>29857.148651882995</v>
      </c>
      <c r="G25" s="1095">
        <v>0.21441209999999999</v>
      </c>
      <c r="H25" s="240"/>
      <c r="I25" s="45"/>
      <c r="J25" s="45"/>
      <c r="K25" s="45"/>
      <c r="L25" s="113"/>
      <c r="M25" s="113"/>
      <c r="N25" s="45"/>
      <c r="O25" s="113"/>
      <c r="P25" s="45"/>
      <c r="Q25" s="45"/>
      <c r="R25" s="45"/>
      <c r="S25" s="45"/>
      <c r="T25" s="45"/>
      <c r="U25" s="17"/>
    </row>
    <row r="26" spans="1:21" hidden="1" x14ac:dyDescent="0.25">
      <c r="A26" s="304">
        <v>184.02</v>
      </c>
      <c r="B26" s="824">
        <f t="shared" si="0"/>
        <v>0</v>
      </c>
      <c r="C26" s="630"/>
      <c r="D26" s="829">
        <f t="shared" si="1"/>
        <v>0</v>
      </c>
      <c r="E26" s="830"/>
      <c r="F26" s="829">
        <f t="shared" si="2"/>
        <v>0</v>
      </c>
      <c r="G26" s="1095">
        <v>0</v>
      </c>
      <c r="H26" s="240"/>
      <c r="I26" s="45"/>
      <c r="J26" s="45"/>
      <c r="K26" s="45"/>
      <c r="L26" s="113"/>
      <c r="M26" s="113"/>
      <c r="N26" s="45"/>
      <c r="O26" s="113"/>
      <c r="P26" s="45"/>
      <c r="Q26" s="45"/>
      <c r="R26" s="45"/>
      <c r="S26" s="45"/>
      <c r="T26" s="45"/>
      <c r="U26" s="17"/>
    </row>
    <row r="27" spans="1:21" hidden="1" x14ac:dyDescent="0.25">
      <c r="A27" s="304">
        <v>184.03</v>
      </c>
      <c r="B27" s="824">
        <f t="shared" si="0"/>
        <v>0</v>
      </c>
      <c r="C27" s="630"/>
      <c r="D27" s="829">
        <f t="shared" si="1"/>
        <v>0</v>
      </c>
      <c r="E27" s="830"/>
      <c r="F27" s="829">
        <f t="shared" si="2"/>
        <v>0</v>
      </c>
      <c r="G27" s="1095">
        <v>0</v>
      </c>
      <c r="H27" s="240"/>
      <c r="I27" s="45"/>
      <c r="J27" s="45"/>
      <c r="K27" s="45"/>
      <c r="L27" s="113"/>
      <c r="M27" s="113"/>
      <c r="N27" s="45"/>
      <c r="O27" s="113"/>
      <c r="P27" s="45"/>
      <c r="Q27" s="45"/>
      <c r="R27" s="45"/>
      <c r="S27" s="45"/>
      <c r="T27" s="45"/>
      <c r="U27" s="17"/>
    </row>
    <row r="28" spans="1:21" ht="18.600000000000001" x14ac:dyDescent="0.55000000000000004">
      <c r="A28" s="304">
        <v>184.14</v>
      </c>
      <c r="B28" s="825">
        <f t="shared" si="0"/>
        <v>0</v>
      </c>
      <c r="C28" s="390"/>
      <c r="D28" s="825">
        <f t="shared" si="1"/>
        <v>0</v>
      </c>
      <c r="E28" s="831"/>
      <c r="F28" s="825">
        <f t="shared" si="2"/>
        <v>0</v>
      </c>
      <c r="G28" s="1096">
        <v>0</v>
      </c>
      <c r="H28" s="240"/>
      <c r="I28" s="45"/>
      <c r="J28" s="45"/>
      <c r="K28" s="45"/>
      <c r="L28" s="113"/>
      <c r="M28" s="113"/>
      <c r="N28" s="45"/>
      <c r="O28" s="113"/>
      <c r="P28" s="45"/>
      <c r="Q28" s="45"/>
      <c r="R28" s="45"/>
      <c r="S28" s="45"/>
      <c r="T28" s="45"/>
      <c r="U28" s="17"/>
    </row>
    <row r="29" spans="1:21" x14ac:dyDescent="0.25">
      <c r="A29" s="304" t="s">
        <v>119</v>
      </c>
      <c r="B29" s="824">
        <f>SUM(B23:B28)</f>
        <v>47610.332941336004</v>
      </c>
      <c r="C29" s="630"/>
      <c r="D29" s="824">
        <f>SUM(D23:D28)</f>
        <v>924.5135648319847</v>
      </c>
      <c r="E29" s="830"/>
      <c r="F29" s="824">
        <f>SUM(F23:F28)</f>
        <v>48534.846506167989</v>
      </c>
      <c r="G29" s="832"/>
      <c r="H29" s="240"/>
      <c r="I29" s="45"/>
      <c r="J29" s="45"/>
      <c r="K29" s="45"/>
      <c r="L29" s="113"/>
      <c r="M29" s="113"/>
      <c r="N29" s="45"/>
      <c r="O29" s="113"/>
      <c r="P29" s="45"/>
      <c r="Q29" s="45"/>
      <c r="R29" s="45"/>
      <c r="S29" s="45"/>
      <c r="T29" s="45"/>
      <c r="U29" s="17"/>
    </row>
    <row r="30" spans="1:21" x14ac:dyDescent="0.25">
      <c r="A30" s="304"/>
      <c r="B30" s="824"/>
      <c r="C30" s="630"/>
      <c r="D30" s="824"/>
      <c r="E30" s="830"/>
      <c r="F30" s="824"/>
      <c r="G30" s="832"/>
      <c r="H30" s="240"/>
      <c r="I30" s="45"/>
      <c r="J30" s="45"/>
      <c r="K30" s="45"/>
      <c r="L30" s="113"/>
      <c r="M30" s="113"/>
      <c r="N30" s="45"/>
      <c r="O30" s="113"/>
      <c r="P30" s="45"/>
      <c r="Q30" s="45"/>
      <c r="R30" s="45"/>
      <c r="S30" s="45"/>
      <c r="T30" s="45"/>
      <c r="U30" s="17"/>
    </row>
    <row r="31" spans="1:21" x14ac:dyDescent="0.25">
      <c r="A31" s="304" t="s">
        <v>120</v>
      </c>
      <c r="B31" s="824"/>
      <c r="C31" s="630"/>
      <c r="D31" s="829"/>
      <c r="E31" s="830"/>
      <c r="F31" s="833"/>
      <c r="G31" s="832"/>
      <c r="H31" s="240"/>
      <c r="I31" s="45"/>
      <c r="J31" s="45"/>
      <c r="K31" s="45"/>
      <c r="L31" s="113"/>
      <c r="M31" s="113"/>
      <c r="N31" s="45"/>
      <c r="O31" s="113"/>
      <c r="P31" s="45"/>
      <c r="Q31" s="45"/>
      <c r="R31" s="45"/>
      <c r="S31" s="45"/>
      <c r="T31" s="45"/>
      <c r="U31" s="17"/>
    </row>
    <row r="32" spans="1:21" x14ac:dyDescent="0.25">
      <c r="A32" s="304">
        <v>588.01</v>
      </c>
      <c r="B32" s="824">
        <f t="shared" ref="B32:B36" si="3">+$B$15*G32</f>
        <v>18321.916672945004</v>
      </c>
      <c r="C32" s="390"/>
      <c r="D32" s="829">
        <f t="shared" ref="D32:D38" si="4">+F32-B32</f>
        <v>355.78118133999305</v>
      </c>
      <c r="E32" s="834"/>
      <c r="F32" s="833">
        <f t="shared" ref="F32:F37" si="5">+$F$15*G32</f>
        <v>18677.697854284997</v>
      </c>
      <c r="G32" s="1095">
        <v>0.13412950000000001</v>
      </c>
      <c r="H32" s="240"/>
      <c r="I32" s="45"/>
      <c r="J32" s="45"/>
      <c r="K32" s="45"/>
      <c r="L32" s="113"/>
      <c r="M32" s="113"/>
      <c r="N32" s="45"/>
      <c r="O32" s="113"/>
      <c r="P32" s="45"/>
      <c r="Q32" s="45"/>
      <c r="R32" s="45"/>
      <c r="S32" s="45"/>
      <c r="T32" s="45"/>
      <c r="U32" s="17"/>
    </row>
    <row r="33" spans="1:21" x14ac:dyDescent="0.25">
      <c r="A33" s="304">
        <v>593</v>
      </c>
      <c r="B33" s="824">
        <f t="shared" si="3"/>
        <v>18321.916672945004</v>
      </c>
      <c r="C33" s="390"/>
      <c r="D33" s="829">
        <f t="shared" si="4"/>
        <v>355.78118133999305</v>
      </c>
      <c r="E33" s="834"/>
      <c r="F33" s="833">
        <f t="shared" si="5"/>
        <v>18677.697854284997</v>
      </c>
      <c r="G33" s="1095">
        <v>0.13412950000000001</v>
      </c>
      <c r="H33" s="240"/>
      <c r="I33" s="45"/>
      <c r="J33" s="45"/>
      <c r="K33" s="45"/>
      <c r="L33" s="113"/>
      <c r="M33" s="113"/>
      <c r="N33" s="45"/>
      <c r="O33" s="113"/>
      <c r="P33" s="45"/>
      <c r="Q33" s="45"/>
      <c r="R33" s="45"/>
      <c r="S33" s="45"/>
      <c r="T33" s="45"/>
      <c r="U33" s="17"/>
    </row>
    <row r="34" spans="1:21" x14ac:dyDescent="0.25">
      <c r="A34" s="304">
        <v>903</v>
      </c>
      <c r="B34" s="824">
        <f t="shared" si="3"/>
        <v>18321.916672945004</v>
      </c>
      <c r="C34" s="390"/>
      <c r="D34" s="829">
        <f t="shared" si="4"/>
        <v>355.78118133999305</v>
      </c>
      <c r="E34" s="831"/>
      <c r="F34" s="833">
        <f t="shared" si="5"/>
        <v>18677.697854284997</v>
      </c>
      <c r="G34" s="1095">
        <v>0.13412950000000001</v>
      </c>
      <c r="H34" s="240"/>
      <c r="I34" s="45"/>
      <c r="J34" s="45"/>
      <c r="K34" s="45"/>
      <c r="L34" s="113"/>
      <c r="M34" s="113"/>
      <c r="N34" s="45"/>
      <c r="O34" s="113"/>
      <c r="P34" s="45"/>
      <c r="Q34" s="45"/>
      <c r="R34" s="45"/>
      <c r="S34" s="45"/>
      <c r="T34" s="45"/>
      <c r="U34" s="17"/>
    </row>
    <row r="35" spans="1:21" x14ac:dyDescent="0.25">
      <c r="A35" s="304">
        <v>908.21</v>
      </c>
      <c r="B35" s="824">
        <f t="shared" si="3"/>
        <v>924.77326670000014</v>
      </c>
      <c r="C35" s="631"/>
      <c r="D35" s="829">
        <f t="shared" si="4"/>
        <v>17.957560399999693</v>
      </c>
      <c r="E35" s="834"/>
      <c r="F35" s="833">
        <f t="shared" si="5"/>
        <v>942.73082709999983</v>
      </c>
      <c r="G35" s="1095">
        <v>6.77E-3</v>
      </c>
      <c r="H35" s="240"/>
      <c r="I35" s="45"/>
      <c r="J35" s="45"/>
      <c r="K35" s="45"/>
      <c r="L35" s="113"/>
      <c r="M35" s="113"/>
      <c r="N35" s="45"/>
      <c r="O35" s="113"/>
      <c r="P35" s="45"/>
      <c r="Q35" s="45"/>
      <c r="R35" s="45"/>
      <c r="S35" s="45"/>
      <c r="T35" s="45"/>
      <c r="U35" s="17"/>
    </row>
    <row r="36" spans="1:21" x14ac:dyDescent="0.25">
      <c r="A36" s="304">
        <v>920</v>
      </c>
      <c r="B36" s="824">
        <f t="shared" si="3"/>
        <v>18321.916672945004</v>
      </c>
      <c r="C36" s="631"/>
      <c r="D36" s="829">
        <f t="shared" si="4"/>
        <v>355.78118133999305</v>
      </c>
      <c r="E36" s="834"/>
      <c r="F36" s="833">
        <f t="shared" si="5"/>
        <v>18677.697854284997</v>
      </c>
      <c r="G36" s="1095">
        <v>0.13412950000000001</v>
      </c>
      <c r="H36" s="240"/>
      <c r="I36" s="45"/>
      <c r="J36" s="45"/>
      <c r="K36" s="45"/>
      <c r="L36" s="113"/>
      <c r="M36" s="113"/>
      <c r="N36" s="45"/>
      <c r="O36" s="113"/>
      <c r="P36" s="45"/>
      <c r="Q36" s="45"/>
      <c r="R36" s="45"/>
      <c r="S36" s="45"/>
      <c r="T36" s="45"/>
      <c r="U36" s="17"/>
    </row>
    <row r="37" spans="1:21" ht="18.600000000000001" x14ac:dyDescent="0.55000000000000004">
      <c r="A37" s="304">
        <v>925.01</v>
      </c>
      <c r="B37" s="825">
        <f>+$B$15*G37</f>
        <v>14775.199467150002</v>
      </c>
      <c r="C37" s="390"/>
      <c r="D37" s="825">
        <f t="shared" si="4"/>
        <v>286.90982579999582</v>
      </c>
      <c r="E37" s="831"/>
      <c r="F37" s="825">
        <f t="shared" si="5"/>
        <v>15062.109292949997</v>
      </c>
      <c r="G37" s="1096">
        <v>0.108165</v>
      </c>
      <c r="H37" s="240"/>
      <c r="I37" s="45"/>
      <c r="J37" s="45"/>
      <c r="K37" s="45"/>
      <c r="L37" s="113"/>
      <c r="M37" s="113"/>
      <c r="N37" s="45"/>
      <c r="O37" s="113"/>
      <c r="P37" s="45"/>
      <c r="Q37" s="45"/>
      <c r="R37" s="45"/>
      <c r="S37" s="45"/>
      <c r="T37" s="45"/>
      <c r="U37" s="17"/>
    </row>
    <row r="38" spans="1:21" ht="18.600000000000001" x14ac:dyDescent="0.55000000000000004">
      <c r="A38" s="304" t="s">
        <v>121</v>
      </c>
      <c r="B38" s="825">
        <f>SUM(B32:B37)</f>
        <v>88987.639425630012</v>
      </c>
      <c r="C38" s="390"/>
      <c r="D38" s="825">
        <f t="shared" si="4"/>
        <v>1727.9921115599718</v>
      </c>
      <c r="E38" s="831"/>
      <c r="F38" s="825">
        <f>SUM(F32:F37)</f>
        <v>90715.631537189984</v>
      </c>
      <c r="G38" s="835"/>
      <c r="H38" s="240"/>
      <c r="I38" s="45"/>
      <c r="J38" s="45"/>
      <c r="K38" s="45"/>
      <c r="L38" s="113"/>
      <c r="M38" s="113"/>
      <c r="N38" s="45"/>
      <c r="O38" s="113"/>
      <c r="P38" s="45"/>
      <c r="Q38" s="45"/>
      <c r="R38" s="45"/>
      <c r="S38" s="45"/>
      <c r="T38" s="45"/>
      <c r="U38" s="17"/>
    </row>
    <row r="39" spans="1:21" ht="18.600000000000001" x14ac:dyDescent="0.55000000000000004">
      <c r="A39" s="304"/>
      <c r="B39" s="731"/>
      <c r="C39" s="390"/>
      <c r="D39" s="825"/>
      <c r="E39" s="831"/>
      <c r="F39" s="825"/>
      <c r="G39" s="836"/>
      <c r="H39" s="240"/>
      <c r="I39" s="45"/>
      <c r="J39" s="45"/>
      <c r="K39" s="45"/>
      <c r="L39" s="113"/>
      <c r="M39" s="113"/>
      <c r="N39" s="45"/>
      <c r="O39" s="113"/>
      <c r="P39" s="45"/>
      <c r="Q39" s="45"/>
      <c r="R39" s="45"/>
      <c r="S39" s="45"/>
      <c r="T39" s="45"/>
      <c r="U39" s="17"/>
    </row>
    <row r="40" spans="1:21" x14ac:dyDescent="0.25">
      <c r="A40" s="834" t="s">
        <v>122</v>
      </c>
      <c r="B40" s="1120">
        <f>+B29+B38</f>
        <v>136597.97236696602</v>
      </c>
      <c r="C40" s="390"/>
      <c r="D40" s="1121">
        <f>+F40-B40</f>
        <v>2652.505676391942</v>
      </c>
      <c r="E40" s="834"/>
      <c r="F40" s="1121">
        <f>+F38+F29</f>
        <v>139250.47804335796</v>
      </c>
      <c r="G40" s="1122">
        <f>SUM(G23:G39)</f>
        <v>0.99999460000000007</v>
      </c>
      <c r="H40" s="240"/>
      <c r="I40" s="45"/>
      <c r="J40" s="45"/>
      <c r="K40" s="45"/>
      <c r="L40" s="113"/>
      <c r="M40" s="113"/>
      <c r="N40" s="45"/>
      <c r="O40" s="113"/>
      <c r="P40" s="45"/>
      <c r="Q40" s="45"/>
      <c r="R40" s="45"/>
      <c r="S40" s="45"/>
      <c r="T40" s="45"/>
      <c r="U40" s="17"/>
    </row>
    <row r="41" spans="1:21" x14ac:dyDescent="0.25">
      <c r="A41" s="306"/>
      <c r="B41" s="391"/>
      <c r="C41" s="390"/>
      <c r="D41" s="831"/>
      <c r="E41" s="831"/>
      <c r="F41" s="831"/>
      <c r="G41" s="155"/>
      <c r="H41" s="240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17"/>
    </row>
    <row r="42" spans="1:21" x14ac:dyDescent="0.25">
      <c r="A42" s="243"/>
      <c r="B42" s="237"/>
      <c r="C42" s="243"/>
      <c r="D42" s="243"/>
      <c r="E42" s="243"/>
      <c r="F42" s="243"/>
      <c r="G42" s="240"/>
      <c r="H42" s="240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17"/>
    </row>
    <row r="43" spans="1:21" x14ac:dyDescent="0.25">
      <c r="A43" s="243"/>
      <c r="B43" s="237"/>
      <c r="C43" s="243"/>
      <c r="D43" s="243"/>
      <c r="E43" s="243"/>
      <c r="F43" s="243"/>
      <c r="G43" s="233"/>
      <c r="H43" s="23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</row>
    <row r="44" spans="1:21" x14ac:dyDescent="0.25">
      <c r="A44" s="243"/>
      <c r="B44" s="237"/>
      <c r="C44" s="243"/>
      <c r="D44" s="243"/>
      <c r="E44" s="243"/>
      <c r="F44" s="243"/>
      <c r="G44" s="233"/>
      <c r="H44" s="23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</row>
    <row r="45" spans="1:21" x14ac:dyDescent="0.25">
      <c r="A45" s="239"/>
      <c r="B45" s="235"/>
      <c r="C45" s="234"/>
      <c r="D45" s="235"/>
      <c r="E45" s="234"/>
      <c r="F45" s="237"/>
      <c r="G45" s="233"/>
      <c r="H45" s="244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</row>
    <row r="46" spans="1:21" x14ac:dyDescent="0.25">
      <c r="A46" s="239"/>
      <c r="B46" s="235"/>
      <c r="C46" s="234"/>
      <c r="D46" s="235"/>
      <c r="E46" s="234"/>
      <c r="F46" s="237"/>
      <c r="G46" s="233"/>
      <c r="H46" s="23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</row>
    <row r="47" spans="1:21" x14ac:dyDescent="0.25">
      <c r="A47" s="234"/>
      <c r="B47" s="235"/>
      <c r="C47" s="234"/>
      <c r="D47" s="235"/>
      <c r="E47" s="234"/>
      <c r="F47" s="234"/>
      <c r="G47" s="233"/>
      <c r="H47" s="23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</row>
    <row r="48" spans="1:21" x14ac:dyDescent="0.25">
      <c r="A48" s="234"/>
      <c r="B48" s="235"/>
      <c r="C48" s="234"/>
      <c r="D48" s="235"/>
      <c r="E48" s="234"/>
      <c r="F48" s="234"/>
      <c r="G48" s="233"/>
      <c r="H48" s="23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</row>
    <row r="49" spans="1:20" x14ac:dyDescent="0.25">
      <c r="A49" s="239"/>
      <c r="B49" s="245"/>
      <c r="C49" s="245"/>
      <c r="D49" s="245"/>
      <c r="E49" s="245"/>
      <c r="F49" s="246"/>
      <c r="G49" s="233"/>
      <c r="H49" s="23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</row>
    <row r="50" spans="1:20" x14ac:dyDescent="0.25">
      <c r="A50" s="239"/>
      <c r="B50" s="245"/>
      <c r="C50" s="245"/>
      <c r="D50" s="245"/>
      <c r="E50" s="245"/>
      <c r="F50" s="246"/>
      <c r="G50" s="233"/>
      <c r="H50" s="23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</row>
    <row r="51" spans="1:20" x14ac:dyDescent="0.25">
      <c r="A51" s="47"/>
      <c r="B51" s="245"/>
      <c r="C51" s="245"/>
      <c r="D51" s="245"/>
      <c r="E51" s="245"/>
      <c r="F51" s="245"/>
      <c r="G51" s="23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</row>
    <row r="52" spans="1:20" x14ac:dyDescent="0.25">
      <c r="A52" s="47"/>
      <c r="B52" s="233"/>
      <c r="C52" s="233"/>
      <c r="D52" s="235"/>
      <c r="E52" s="233"/>
      <c r="F52" s="233"/>
      <c r="G52" s="23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</row>
    <row r="53" spans="1:20" x14ac:dyDescent="0.25">
      <c r="A53" s="43"/>
      <c r="B53" s="233"/>
      <c r="C53" s="233"/>
      <c r="D53" s="235"/>
      <c r="E53" s="233"/>
      <c r="F53" s="233"/>
      <c r="G53" s="23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</row>
    <row r="54" spans="1:20" x14ac:dyDescent="0.25">
      <c r="A54" s="43"/>
      <c r="B54" s="233"/>
      <c r="C54" s="233"/>
      <c r="D54" s="732"/>
      <c r="E54" s="233"/>
      <c r="F54" s="233"/>
      <c r="G54" s="23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</row>
    <row r="55" spans="1:20" x14ac:dyDescent="0.25">
      <c r="A55" s="43"/>
      <c r="B55" s="233"/>
      <c r="C55" s="233"/>
      <c r="D55" s="732"/>
      <c r="E55" s="233"/>
      <c r="F55" s="233"/>
      <c r="G55" s="23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</row>
    <row r="56" spans="1:20" x14ac:dyDescent="0.25">
      <c r="A56" s="43"/>
      <c r="B56" s="233"/>
      <c r="C56" s="233"/>
      <c r="D56" s="233"/>
      <c r="E56" s="233"/>
      <c r="F56" s="233"/>
      <c r="G56" s="23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</row>
    <row r="57" spans="1:20" x14ac:dyDescent="0.25">
      <c r="A57" s="43"/>
      <c r="B57" s="233"/>
      <c r="C57" s="233"/>
      <c r="D57" s="233"/>
      <c r="E57" s="233"/>
      <c r="F57" s="233"/>
      <c r="G57" s="23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</row>
    <row r="58" spans="1:20" x14ac:dyDescent="0.25">
      <c r="A58" s="43"/>
      <c r="B58" s="233"/>
      <c r="C58" s="233"/>
      <c r="D58" s="233"/>
      <c r="E58" s="233"/>
      <c r="F58" s="233"/>
      <c r="G58" s="23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</row>
    <row r="59" spans="1:20" x14ac:dyDescent="0.25">
      <c r="A59" s="43"/>
      <c r="B59" s="233"/>
      <c r="C59" s="233"/>
      <c r="D59" s="233"/>
      <c r="E59" s="233"/>
      <c r="F59" s="233"/>
      <c r="G59" s="23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</row>
    <row r="60" spans="1:20" x14ac:dyDescent="0.25">
      <c r="A60" s="43"/>
      <c r="B60" s="233"/>
      <c r="C60" s="233"/>
      <c r="D60" s="233"/>
      <c r="E60" s="233"/>
      <c r="F60" s="233"/>
      <c r="G60" s="23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</row>
    <row r="61" spans="1:20" x14ac:dyDescent="0.25">
      <c r="A61" s="43"/>
      <c r="B61" s="233"/>
      <c r="C61" s="233"/>
      <c r="D61" s="233"/>
      <c r="E61" s="233"/>
      <c r="F61" s="233"/>
      <c r="G61" s="23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</row>
    <row r="62" spans="1:20" x14ac:dyDescent="0.25">
      <c r="A62" s="43"/>
      <c r="B62" s="233"/>
      <c r="C62" s="233"/>
      <c r="D62" s="233"/>
      <c r="E62" s="233"/>
      <c r="F62" s="233"/>
      <c r="G62" s="23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</row>
    <row r="63" spans="1:20" x14ac:dyDescent="0.25">
      <c r="A63" s="43"/>
      <c r="B63" s="233"/>
      <c r="C63" s="233"/>
      <c r="D63" s="233"/>
      <c r="E63" s="233"/>
      <c r="F63" s="233"/>
      <c r="G63" s="23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</row>
    <row r="64" spans="1:20" x14ac:dyDescent="0.25">
      <c r="A64" s="43"/>
      <c r="B64" s="233"/>
      <c r="C64" s="233"/>
      <c r="D64" s="233"/>
      <c r="E64" s="233"/>
      <c r="F64" s="233"/>
      <c r="G64" s="23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</row>
    <row r="65" spans="1:20" x14ac:dyDescent="0.25">
      <c r="A65" s="43"/>
      <c r="B65" s="233"/>
      <c r="C65" s="233"/>
      <c r="D65" s="233"/>
      <c r="E65" s="233"/>
      <c r="F65" s="233"/>
      <c r="G65" s="23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</row>
    <row r="66" spans="1:20" x14ac:dyDescent="0.25">
      <c r="A66" s="43"/>
      <c r="B66" s="233"/>
      <c r="C66" s="233"/>
      <c r="D66" s="233"/>
      <c r="E66" s="233"/>
      <c r="F66" s="233"/>
      <c r="G66" s="23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</row>
    <row r="67" spans="1:20" x14ac:dyDescent="0.25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</row>
    <row r="68" spans="1:20" x14ac:dyDescent="0.25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</row>
    <row r="69" spans="1:20" x14ac:dyDescent="0.25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</row>
    <row r="70" spans="1:20" x14ac:dyDescent="0.25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</row>
    <row r="71" spans="1:20" x14ac:dyDescent="0.25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</row>
    <row r="72" spans="1:20" x14ac:dyDescent="0.25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</row>
    <row r="73" spans="1:20" x14ac:dyDescent="0.25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</row>
    <row r="74" spans="1:20" x14ac:dyDescent="0.25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</row>
    <row r="75" spans="1:20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</row>
    <row r="76" spans="1:20" x14ac:dyDescent="0.25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</row>
    <row r="77" spans="1:20" x14ac:dyDescent="0.25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</row>
    <row r="78" spans="1:20" x14ac:dyDescent="0.25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</row>
    <row r="79" spans="1:20" x14ac:dyDescent="0.25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</row>
    <row r="80" spans="1:20" x14ac:dyDescent="0.25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</row>
    <row r="81" spans="1:20" x14ac:dyDescent="0.25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</row>
    <row r="82" spans="1:20" x14ac:dyDescent="0.25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</row>
  </sheetData>
  <phoneticPr fontId="12" type="noConversion"/>
  <pageMargins left="0.75" right="0.75" top="1" bottom="1" header="0.5" footer="0.5"/>
  <pageSetup scale="84" orientation="portrait" r:id="rId1"/>
  <headerFooter alignWithMargins="0">
    <oddHeader>&amp;RS7</oddHeader>
    <oddFooter>&amp;L&amp;Z&amp;F&amp;R&amp;D&amp;T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R55"/>
  <sheetViews>
    <sheetView showGridLines="0" zoomScaleNormal="100" workbookViewId="0">
      <selection activeCell="F14" sqref="F14"/>
    </sheetView>
  </sheetViews>
  <sheetFormatPr defaultColWidth="8" defaultRowHeight="13.2" x14ac:dyDescent="0.25"/>
  <cols>
    <col min="1" max="1" width="19.54296875" style="5" customWidth="1"/>
    <col min="2" max="2" width="30.90625" style="5" customWidth="1"/>
    <col min="3" max="3" width="15" style="5" customWidth="1"/>
    <col min="4" max="4" width="12.453125" style="5" customWidth="1"/>
    <col min="5" max="5" width="14" style="5" bestFit="1" customWidth="1"/>
    <col min="6" max="6" width="11.08984375" style="5" customWidth="1"/>
    <col min="7" max="7" width="12" style="5" customWidth="1"/>
    <col min="8" max="8" width="16.90625" style="5" customWidth="1"/>
    <col min="9" max="9" width="15" style="5" customWidth="1"/>
    <col min="10" max="10" width="10.453125" style="5" bestFit="1" customWidth="1"/>
    <col min="11" max="16384" width="8" style="5"/>
  </cols>
  <sheetData>
    <row r="1" spans="1:11" x14ac:dyDescent="0.25">
      <c r="A1" s="62" t="s">
        <v>747</v>
      </c>
      <c r="B1" s="28"/>
      <c r="C1" s="28"/>
      <c r="D1" s="28"/>
      <c r="E1" s="28"/>
      <c r="F1" s="28"/>
      <c r="G1" s="28"/>
      <c r="H1" s="28"/>
      <c r="I1" s="29"/>
      <c r="J1" s="28"/>
      <c r="K1" s="177"/>
    </row>
    <row r="2" spans="1:11" x14ac:dyDescent="0.25">
      <c r="A2" s="27" t="s">
        <v>98</v>
      </c>
      <c r="B2" s="28"/>
      <c r="C2" s="28"/>
      <c r="D2" s="28"/>
      <c r="E2" s="28"/>
      <c r="F2" s="28"/>
      <c r="G2" s="28"/>
      <c r="H2" s="29"/>
      <c r="I2" s="29"/>
      <c r="J2" s="29"/>
      <c r="K2" s="177"/>
    </row>
    <row r="3" spans="1:11" x14ac:dyDescent="0.25">
      <c r="A3" s="33" t="s">
        <v>746</v>
      </c>
      <c r="B3" s="27"/>
      <c r="C3" s="28"/>
      <c r="D3" s="28"/>
      <c r="E3" s="28"/>
      <c r="F3" s="28"/>
      <c r="G3" s="28"/>
      <c r="H3" s="28"/>
      <c r="I3" s="29"/>
      <c r="J3" s="29"/>
      <c r="K3" s="177"/>
    </row>
    <row r="4" spans="1:11" x14ac:dyDescent="0.25">
      <c r="A4" s="28"/>
      <c r="B4" s="28"/>
      <c r="C4" s="28"/>
      <c r="D4" s="28"/>
      <c r="E4" s="28"/>
      <c r="F4" s="28"/>
      <c r="G4" s="28"/>
      <c r="H4" s="28"/>
      <c r="I4" s="29"/>
      <c r="J4" s="29"/>
      <c r="K4" s="17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9"/>
      <c r="J5" s="29"/>
      <c r="K5" s="177"/>
    </row>
    <row r="6" spans="1:11" x14ac:dyDescent="0.25">
      <c r="A6" s="30" t="s">
        <v>7</v>
      </c>
      <c r="B6" s="29"/>
      <c r="C6" s="29"/>
      <c r="D6" s="118"/>
      <c r="E6" s="29"/>
      <c r="F6" s="29"/>
      <c r="G6" s="29"/>
      <c r="H6" s="29"/>
      <c r="I6" s="29"/>
      <c r="J6" s="29"/>
      <c r="K6" s="177"/>
    </row>
    <row r="7" spans="1:11" x14ac:dyDescent="0.25">
      <c r="A7" s="30"/>
      <c r="B7" s="28"/>
      <c r="C7" s="60" t="s">
        <v>114</v>
      </c>
      <c r="D7" s="60" t="s">
        <v>342</v>
      </c>
      <c r="E7" s="60" t="str">
        <f>+'S1-Revenue Requirement'!E6</f>
        <v>11/1/22-10/31/23</v>
      </c>
      <c r="F7" s="725"/>
      <c r="G7" s="725"/>
      <c r="H7" s="29"/>
      <c r="I7" s="29"/>
      <c r="J7" s="29"/>
      <c r="K7" s="177"/>
    </row>
    <row r="8" spans="1:11" x14ac:dyDescent="0.25">
      <c r="A8" s="30"/>
      <c r="B8" s="59" t="s">
        <v>74</v>
      </c>
      <c r="C8" s="61" t="str">
        <f>+'S1-Revenue Requirement'!C6</f>
        <v>7/1/21 - 6/30/22</v>
      </c>
      <c r="D8" s="61" t="s">
        <v>343</v>
      </c>
      <c r="E8" s="61" t="s">
        <v>614</v>
      </c>
      <c r="F8" s="757" t="s">
        <v>216</v>
      </c>
      <c r="G8" s="725"/>
      <c r="H8" s="29"/>
      <c r="I8" s="29"/>
      <c r="J8" s="29"/>
      <c r="K8" s="177"/>
    </row>
    <row r="9" spans="1:11" x14ac:dyDescent="0.25">
      <c r="A9" s="209"/>
      <c r="B9" s="36" t="s">
        <v>74</v>
      </c>
      <c r="C9" s="295">
        <f>+'S1-Revenue Requirement'!C17</f>
        <v>2444574.46</v>
      </c>
      <c r="D9" s="295">
        <f>+E9-C9</f>
        <v>1895.7800000002608</v>
      </c>
      <c r="E9" s="295">
        <f>+E13</f>
        <v>2446470.2400000002</v>
      </c>
      <c r="F9" s="913" t="s">
        <v>1274</v>
      </c>
      <c r="G9" s="913"/>
      <c r="H9" s="538"/>
      <c r="I9" s="207"/>
      <c r="J9" s="207"/>
      <c r="K9" s="517"/>
    </row>
    <row r="10" spans="1:11" x14ac:dyDescent="0.25">
      <c r="A10" s="209"/>
      <c r="B10" s="207"/>
      <c r="C10" s="220"/>
      <c r="D10" s="220"/>
      <c r="E10" s="220"/>
      <c r="F10" s="207"/>
      <c r="G10" s="207"/>
      <c r="H10" s="207"/>
      <c r="I10" s="207"/>
      <c r="J10" s="207"/>
      <c r="K10" s="517"/>
    </row>
    <row r="11" spans="1:11" x14ac:dyDescent="0.25">
      <c r="A11" s="209"/>
      <c r="B11" s="207"/>
      <c r="C11" s="220"/>
      <c r="D11" s="220"/>
      <c r="E11" s="220"/>
      <c r="F11" s="207"/>
      <c r="G11" s="207"/>
      <c r="H11" s="207"/>
      <c r="I11" s="207"/>
      <c r="J11" s="207"/>
      <c r="K11" s="517"/>
    </row>
    <row r="12" spans="1:11" x14ac:dyDescent="0.25">
      <c r="A12" s="47" t="s">
        <v>355</v>
      </c>
      <c r="B12" s="33"/>
      <c r="C12" s="207"/>
      <c r="D12" s="1046" t="s">
        <v>8</v>
      </c>
      <c r="E12" s="300" t="s">
        <v>9</v>
      </c>
      <c r="F12" s="757" t="s">
        <v>216</v>
      </c>
      <c r="G12" s="913"/>
      <c r="H12" s="913"/>
      <c r="I12" s="207"/>
      <c r="J12" s="207"/>
      <c r="K12" s="517"/>
    </row>
    <row r="13" spans="1:11" x14ac:dyDescent="0.25">
      <c r="A13" s="309" t="s">
        <v>1423</v>
      </c>
      <c r="B13" s="205"/>
      <c r="C13" s="205"/>
      <c r="D13" s="323">
        <f>231169.73-27297.21</f>
        <v>203872.52000000002</v>
      </c>
      <c r="E13" s="323">
        <f>+D13*12</f>
        <v>2446470.2400000002</v>
      </c>
      <c r="F13" s="913" t="s">
        <v>1484</v>
      </c>
      <c r="G13" s="913"/>
      <c r="H13" s="913"/>
      <c r="I13" s="207"/>
      <c r="J13" s="207"/>
      <c r="K13" s="517"/>
    </row>
    <row r="14" spans="1:11" x14ac:dyDescent="0.25">
      <c r="A14" s="64" t="s">
        <v>1104</v>
      </c>
      <c r="B14" s="33"/>
      <c r="C14" s="216"/>
      <c r="D14" s="323"/>
      <c r="E14" s="323">
        <f>+C9</f>
        <v>2444574.46</v>
      </c>
      <c r="F14" s="295"/>
      <c r="G14" s="295"/>
      <c r="H14" s="913"/>
      <c r="I14" s="207"/>
      <c r="J14" s="207"/>
      <c r="K14" s="517"/>
    </row>
    <row r="15" spans="1:11" hidden="1" x14ac:dyDescent="0.25">
      <c r="A15" s="64"/>
      <c r="B15" s="33"/>
      <c r="C15" s="216"/>
      <c r="D15" s="323"/>
      <c r="E15" s="323"/>
      <c r="F15" s="295"/>
      <c r="G15" s="295"/>
      <c r="H15" s="913"/>
      <c r="I15" s="207"/>
      <c r="J15" s="207"/>
      <c r="K15" s="517"/>
    </row>
    <row r="16" spans="1:11" hidden="1" x14ac:dyDescent="0.25">
      <c r="A16" s="64"/>
      <c r="B16" s="33"/>
      <c r="C16" s="216"/>
      <c r="D16" s="323"/>
      <c r="E16" s="323"/>
      <c r="F16" s="295"/>
      <c r="G16" s="295"/>
      <c r="H16" s="913"/>
      <c r="I16" s="207"/>
      <c r="J16" s="207"/>
      <c r="K16" s="517"/>
    </row>
    <row r="17" spans="1:18" x14ac:dyDescent="0.25">
      <c r="A17" s="228"/>
      <c r="B17" s="205"/>
      <c r="C17" s="216"/>
      <c r="D17" s="323"/>
      <c r="E17" s="323"/>
      <c r="F17" s="295"/>
      <c r="G17" s="295"/>
      <c r="H17" s="913"/>
      <c r="I17" s="207"/>
      <c r="J17" s="207"/>
      <c r="K17" s="517"/>
    </row>
    <row r="18" spans="1:18" ht="15.75" customHeight="1" thickBot="1" x14ac:dyDescent="0.3">
      <c r="A18" s="64" t="s">
        <v>1227</v>
      </c>
      <c r="B18" s="205"/>
      <c r="C18" s="216"/>
      <c r="D18" s="323"/>
      <c r="E18" s="933">
        <f>+E13-E14</f>
        <v>1895.7800000002608</v>
      </c>
      <c r="F18" s="913" t="s">
        <v>73</v>
      </c>
      <c r="G18" s="295"/>
      <c r="H18" s="913"/>
      <c r="I18" s="207"/>
      <c r="J18" s="207"/>
      <c r="K18" s="517"/>
    </row>
    <row r="19" spans="1:18" ht="13.8" thickTop="1" x14ac:dyDescent="0.25">
      <c r="E19" s="384"/>
      <c r="F19" s="384"/>
      <c r="G19" s="384"/>
      <c r="H19" s="384"/>
      <c r="I19" s="384"/>
      <c r="J19" s="384"/>
      <c r="K19" s="384"/>
      <c r="L19" s="178"/>
    </row>
    <row r="20" spans="1:18" x14ac:dyDescent="0.25">
      <c r="E20" s="384"/>
      <c r="F20" s="384"/>
      <c r="G20" s="384"/>
      <c r="H20" s="384"/>
      <c r="I20" s="384"/>
      <c r="J20" s="384"/>
      <c r="K20" s="384"/>
      <c r="L20" s="178"/>
    </row>
    <row r="21" spans="1:18" x14ac:dyDescent="0.25">
      <c r="E21" s="384"/>
      <c r="F21" s="384"/>
      <c r="G21" s="384"/>
      <c r="H21" s="384"/>
      <c r="I21" s="384"/>
      <c r="J21" s="384"/>
      <c r="K21" s="384"/>
      <c r="L21" s="178"/>
    </row>
    <row r="22" spans="1:18" x14ac:dyDescent="0.25">
      <c r="E22" s="384"/>
      <c r="F22" s="384"/>
      <c r="G22" s="384"/>
      <c r="H22" s="384"/>
      <c r="I22" s="384"/>
      <c r="J22" s="384"/>
      <c r="K22" s="384"/>
      <c r="L22" s="178"/>
    </row>
    <row r="23" spans="1:18" ht="15" customHeight="1" x14ac:dyDescent="0.25">
      <c r="E23" s="384"/>
      <c r="F23" s="384"/>
      <c r="G23" s="384"/>
      <c r="H23" s="384"/>
      <c r="I23" s="384"/>
      <c r="J23" s="384"/>
      <c r="K23" s="384"/>
      <c r="L23" s="178"/>
    </row>
    <row r="24" spans="1:18" x14ac:dyDescent="0.25">
      <c r="E24" s="384"/>
      <c r="F24" s="384"/>
      <c r="G24" s="384"/>
      <c r="H24" s="384"/>
      <c r="I24" s="384"/>
      <c r="J24" s="384"/>
      <c r="K24" s="384"/>
      <c r="L24" s="178"/>
    </row>
    <row r="25" spans="1:18" x14ac:dyDescent="0.25">
      <c r="E25" s="384"/>
      <c r="F25" s="384"/>
      <c r="G25" s="384"/>
      <c r="H25" s="384"/>
      <c r="I25" s="384"/>
      <c r="J25" s="384"/>
      <c r="K25" s="384"/>
      <c r="L25" s="178"/>
    </row>
    <row r="26" spans="1:18" x14ac:dyDescent="0.25">
      <c r="E26" s="384"/>
      <c r="F26" s="384"/>
      <c r="G26" s="384"/>
      <c r="H26" s="384"/>
      <c r="I26" s="384"/>
      <c r="J26" s="384"/>
      <c r="K26" s="384"/>
      <c r="L26" s="178"/>
    </row>
    <row r="27" spans="1:18" x14ac:dyDescent="0.25">
      <c r="E27" s="384"/>
      <c r="F27" s="384"/>
      <c r="G27" s="384"/>
      <c r="H27" s="384"/>
      <c r="I27" s="384"/>
      <c r="J27" s="384"/>
      <c r="K27" s="384"/>
      <c r="L27" s="178"/>
    </row>
    <row r="28" spans="1:18" ht="15.75" customHeight="1" x14ac:dyDescent="0.25">
      <c r="E28" s="384"/>
      <c r="F28" s="384"/>
      <c r="G28" s="384"/>
      <c r="H28" s="384"/>
      <c r="I28" s="384"/>
      <c r="J28" s="384"/>
      <c r="K28" s="384"/>
      <c r="L28" s="178"/>
    </row>
    <row r="30" spans="1:18" x14ac:dyDescent="0.25">
      <c r="M30" s="179"/>
      <c r="N30" s="179"/>
      <c r="O30" s="179"/>
      <c r="P30" s="179"/>
      <c r="Q30" s="179"/>
      <c r="R30" s="179"/>
    </row>
    <row r="34" spans="12:18" x14ac:dyDescent="0.25">
      <c r="M34" s="179"/>
      <c r="N34" s="179"/>
      <c r="O34" s="179"/>
      <c r="P34" s="179"/>
      <c r="Q34" s="179"/>
      <c r="R34" s="179"/>
    </row>
    <row r="35" spans="12:18" x14ac:dyDescent="0.25">
      <c r="M35" s="179"/>
      <c r="N35" s="179"/>
      <c r="O35" s="179"/>
      <c r="P35" s="179"/>
      <c r="Q35" s="179"/>
      <c r="R35" s="179"/>
    </row>
    <row r="36" spans="12:18" x14ac:dyDescent="0.25">
      <c r="M36" s="179"/>
      <c r="N36" s="179"/>
      <c r="O36" s="179"/>
      <c r="P36" s="179"/>
      <c r="Q36" s="179"/>
      <c r="R36" s="179"/>
    </row>
    <row r="37" spans="12:18" x14ac:dyDescent="0.25">
      <c r="M37" s="179"/>
      <c r="N37" s="179"/>
      <c r="O37" s="179"/>
      <c r="P37" s="179"/>
      <c r="Q37" s="179"/>
      <c r="R37" s="179"/>
    </row>
    <row r="39" spans="12:18" x14ac:dyDescent="0.25">
      <c r="M39" s="179"/>
      <c r="N39" s="179"/>
      <c r="O39" s="179"/>
      <c r="P39" s="179"/>
      <c r="Q39" s="179"/>
      <c r="R39" s="179"/>
    </row>
    <row r="40" spans="12:18" x14ac:dyDescent="0.25">
      <c r="M40" s="179"/>
      <c r="N40" s="179"/>
      <c r="O40" s="179"/>
      <c r="P40" s="179"/>
      <c r="Q40" s="179"/>
      <c r="R40" s="179"/>
    </row>
    <row r="41" spans="12:18" x14ac:dyDescent="0.25">
      <c r="L41" s="179"/>
    </row>
    <row r="51" spans="2:4" x14ac:dyDescent="0.25">
      <c r="B51" s="1"/>
      <c r="C51" s="14"/>
    </row>
    <row r="52" spans="2:4" x14ac:dyDescent="0.25">
      <c r="C52" s="14"/>
    </row>
    <row r="53" spans="2:4" x14ac:dyDescent="0.25">
      <c r="D53" s="180"/>
    </row>
    <row r="54" spans="2:4" x14ac:dyDescent="0.25">
      <c r="D54" s="14"/>
    </row>
    <row r="55" spans="2:4" x14ac:dyDescent="0.25">
      <c r="D55" s="14"/>
    </row>
  </sheetData>
  <phoneticPr fontId="12" type="noConversion"/>
  <pageMargins left="0.25" right="0.26" top="0.83" bottom="0.87" header="0.36" footer="0.5"/>
  <pageSetup scale="54" orientation="portrait" r:id="rId1"/>
  <headerFooter alignWithMargins="0">
    <oddHeader>&amp;C&amp;"Arial,Bold"&amp;8 &amp;R&amp;A</oddHeader>
    <oddFooter>&amp;L&amp;8&amp;Z&amp;F&amp;A&amp;R&amp;8&amp;T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C73"/>
  <sheetViews>
    <sheetView zoomScaleNormal="100" workbookViewId="0">
      <selection activeCell="C16" sqref="C16"/>
    </sheetView>
  </sheetViews>
  <sheetFormatPr defaultColWidth="8.90625" defaultRowHeight="13.2" x14ac:dyDescent="0.25"/>
  <cols>
    <col min="1" max="1" width="8.90625" style="1047"/>
    <col min="2" max="2" width="35.453125" style="1047" customWidth="1"/>
    <col min="3" max="3" width="14.6328125" style="1047" customWidth="1"/>
    <col min="4" max="4" width="8.453125" style="1047" customWidth="1"/>
    <col min="5" max="5" width="9.81640625" style="1047" bestFit="1" customWidth="1"/>
    <col min="6" max="6" width="9.453125" style="1047" hidden="1" customWidth="1"/>
    <col min="7" max="7" width="8.90625" style="1047"/>
    <col min="8" max="8" width="10" style="1047" bestFit="1" customWidth="1"/>
    <col min="9" max="9" width="12.54296875" style="1047" customWidth="1"/>
    <col min="10" max="10" width="10.1796875" style="1047" hidden="1" customWidth="1"/>
    <col min="11" max="12" width="10.1796875" style="1047" customWidth="1"/>
    <col min="13" max="13" width="9.453125" style="1047" bestFit="1" customWidth="1"/>
    <col min="14" max="14" width="10.1796875" style="1047" hidden="1" customWidth="1"/>
    <col min="15" max="15" width="10.1796875" style="1047" customWidth="1"/>
    <col min="16" max="16" width="3.08984375" style="1047" customWidth="1"/>
    <col min="17" max="16384" width="8.90625" style="1047"/>
  </cols>
  <sheetData>
    <row r="1" spans="1:29" x14ac:dyDescent="0.25">
      <c r="A1" s="1049" t="s">
        <v>747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1050"/>
      <c r="N1" s="1051"/>
      <c r="O1" s="1051"/>
      <c r="P1" s="1051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</row>
    <row r="2" spans="1:29" x14ac:dyDescent="0.25">
      <c r="A2" s="1049" t="s">
        <v>360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1050"/>
      <c r="N2" s="1051"/>
      <c r="O2" s="1051"/>
      <c r="P2" s="1051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</row>
    <row r="3" spans="1:29" x14ac:dyDescent="0.25">
      <c r="A3" s="373" t="s">
        <v>740</v>
      </c>
      <c r="B3" s="1049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1050"/>
      <c r="N3" s="1051"/>
      <c r="O3" s="1051"/>
      <c r="P3" s="1051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</row>
    <row r="4" spans="1:29" x14ac:dyDescent="0.25">
      <c r="A4" s="373"/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1050"/>
      <c r="N4" s="1051"/>
      <c r="O4" s="1051"/>
      <c r="P4" s="1051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</row>
    <row r="5" spans="1:29" x14ac:dyDescent="0.25">
      <c r="A5" s="373"/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1050"/>
      <c r="N5" s="1051"/>
      <c r="O5" s="1051"/>
      <c r="P5" s="1051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</row>
    <row r="6" spans="1:29" x14ac:dyDescent="0.25">
      <c r="A6" s="1050" t="s">
        <v>361</v>
      </c>
      <c r="B6" s="373"/>
      <c r="C6" s="373"/>
      <c r="D6" s="1048"/>
      <c r="E6" s="373"/>
      <c r="F6" s="373"/>
      <c r="G6" s="373"/>
      <c r="H6" s="373"/>
      <c r="I6" s="373"/>
      <c r="J6" s="373"/>
      <c r="K6" s="373"/>
      <c r="L6" s="373"/>
      <c r="M6" s="1050"/>
      <c r="N6" s="1051"/>
      <c r="O6" s="1051"/>
      <c r="P6" s="1051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</row>
    <row r="7" spans="1:29" x14ac:dyDescent="0.25">
      <c r="A7" s="373"/>
      <c r="B7" s="373"/>
      <c r="C7" s="1052"/>
      <c r="D7" s="1052"/>
      <c r="E7" s="1052"/>
      <c r="F7" s="1053"/>
      <c r="G7" s="1053"/>
      <c r="H7" s="1054"/>
      <c r="I7" s="1054"/>
      <c r="J7" s="1054"/>
      <c r="K7" s="1054"/>
      <c r="L7" s="1054"/>
      <c r="M7" s="1051"/>
      <c r="N7" s="1051"/>
      <c r="O7" s="1051"/>
      <c r="P7" s="1051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</row>
    <row r="8" spans="1:29" x14ac:dyDescent="0.25">
      <c r="A8" s="1054"/>
      <c r="B8" s="228"/>
      <c r="C8" s="47"/>
      <c r="D8" s="234"/>
      <c r="E8" s="234"/>
      <c r="F8" s="733"/>
      <c r="G8" s="733"/>
      <c r="H8" s="1055" t="s">
        <v>39</v>
      </c>
      <c r="I8" s="1056" t="s">
        <v>39</v>
      </c>
      <c r="J8" s="1055"/>
      <c r="K8" s="1055"/>
      <c r="L8" s="1055" t="s">
        <v>39</v>
      </c>
      <c r="M8" s="1056" t="s">
        <v>39</v>
      </c>
      <c r="N8" s="1055"/>
      <c r="O8" s="885">
        <v>44927</v>
      </c>
      <c r="P8" s="1051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29" x14ac:dyDescent="0.25">
      <c r="A9" s="228"/>
      <c r="B9" s="228"/>
      <c r="C9" s="885">
        <v>44377</v>
      </c>
      <c r="D9" s="1297" t="s">
        <v>1428</v>
      </c>
      <c r="E9" s="1297"/>
      <c r="F9" s="1057" t="s">
        <v>343</v>
      </c>
      <c r="G9" s="885">
        <v>44742</v>
      </c>
      <c r="H9" s="372" t="s">
        <v>677</v>
      </c>
      <c r="I9" s="885" t="s">
        <v>310</v>
      </c>
      <c r="J9" s="372">
        <v>2018</v>
      </c>
      <c r="K9" s="889">
        <v>44926</v>
      </c>
      <c r="L9" s="372" t="s">
        <v>677</v>
      </c>
      <c r="M9" s="885" t="s">
        <v>310</v>
      </c>
      <c r="N9" s="372">
        <v>2019</v>
      </c>
      <c r="O9" s="889">
        <v>45291</v>
      </c>
      <c r="P9" s="1050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</row>
    <row r="10" spans="1:29" x14ac:dyDescent="0.25">
      <c r="A10" s="374" t="s">
        <v>307</v>
      </c>
      <c r="B10" s="369" t="s">
        <v>308</v>
      </c>
      <c r="C10" s="886" t="s">
        <v>309</v>
      </c>
      <c r="D10" s="886" t="s">
        <v>677</v>
      </c>
      <c r="E10" s="886" t="s">
        <v>310</v>
      </c>
      <c r="F10" s="886" t="s">
        <v>40</v>
      </c>
      <c r="G10" s="886" t="s">
        <v>309</v>
      </c>
      <c r="H10" s="1085">
        <v>2022</v>
      </c>
      <c r="I10" s="888" t="s">
        <v>1429</v>
      </c>
      <c r="J10" s="1058" t="s">
        <v>1427</v>
      </c>
      <c r="K10" s="1058" t="s">
        <v>309</v>
      </c>
      <c r="L10" s="888" t="s">
        <v>1430</v>
      </c>
      <c r="M10" s="888" t="s">
        <v>1430</v>
      </c>
      <c r="N10" s="1058" t="s">
        <v>1427</v>
      </c>
      <c r="O10" s="1058" t="s">
        <v>1427</v>
      </c>
      <c r="P10" s="1059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</row>
    <row r="11" spans="1:29" x14ac:dyDescent="0.25">
      <c r="A11" s="247"/>
      <c r="B11" s="1060"/>
      <c r="C11" s="887"/>
      <c r="D11" s="249"/>
      <c r="E11" s="249"/>
      <c r="F11" s="249"/>
      <c r="G11" s="249"/>
      <c r="H11" s="887"/>
      <c r="I11" s="249"/>
      <c r="J11" s="249"/>
      <c r="K11" s="249"/>
      <c r="L11" s="249"/>
      <c r="M11" s="1061"/>
      <c r="N11" s="249"/>
      <c r="O11" s="249"/>
      <c r="P11" s="1061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</row>
    <row r="12" spans="1:29" x14ac:dyDescent="0.25">
      <c r="A12" s="1062"/>
      <c r="B12" s="228"/>
      <c r="C12" s="1063"/>
      <c r="D12" s="1064"/>
      <c r="E12" s="1064"/>
      <c r="F12" s="1064"/>
      <c r="G12" s="1064"/>
      <c r="H12" s="1063"/>
      <c r="I12" s="1064"/>
      <c r="J12" s="1064"/>
      <c r="K12" s="1064"/>
      <c r="L12" s="1064"/>
      <c r="M12" s="1051"/>
      <c r="N12" s="1064"/>
      <c r="O12" s="1064"/>
      <c r="P12" s="1051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</row>
    <row r="13" spans="1:29" x14ac:dyDescent="0.25">
      <c r="A13" s="373" t="s">
        <v>676</v>
      </c>
      <c r="B13" s="228"/>
      <c r="C13" s="1063"/>
      <c r="D13" s="1064"/>
      <c r="E13" s="1064"/>
      <c r="F13" s="1064"/>
      <c r="G13" s="1064"/>
      <c r="H13" s="1063"/>
      <c r="I13" s="1064"/>
      <c r="J13" s="1064"/>
      <c r="K13" s="1064"/>
      <c r="L13" s="1064"/>
      <c r="M13" s="1051"/>
      <c r="N13" s="1064"/>
      <c r="O13" s="1064"/>
      <c r="P13" s="1051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</row>
    <row r="14" spans="1:29" x14ac:dyDescent="0.25">
      <c r="A14" s="1065">
        <v>181.03</v>
      </c>
      <c r="B14" s="64" t="s">
        <v>645</v>
      </c>
      <c r="C14" s="1063">
        <v>33254.26</v>
      </c>
      <c r="D14" s="1063">
        <v>0</v>
      </c>
      <c r="E14" s="1063">
        <v>7844.64</v>
      </c>
      <c r="F14" s="1063">
        <v>0</v>
      </c>
      <c r="G14" s="1063">
        <f>+C14+D14-E14+F14</f>
        <v>25409.620000000003</v>
      </c>
      <c r="H14" s="1063">
        <v>0</v>
      </c>
      <c r="I14" s="1063">
        <f>+E14/12*4</f>
        <v>2614.88</v>
      </c>
      <c r="J14" s="1063">
        <v>0</v>
      </c>
      <c r="K14" s="1063">
        <f>+G14+H14-I14</f>
        <v>22794.74</v>
      </c>
      <c r="L14" s="1063">
        <v>0</v>
      </c>
      <c r="M14" s="1066">
        <f>+E14</f>
        <v>7844.64</v>
      </c>
      <c r="N14" s="1064">
        <v>0</v>
      </c>
      <c r="O14" s="1063">
        <f>+M14-E14</f>
        <v>0</v>
      </c>
      <c r="P14" s="1066" t="s">
        <v>1107</v>
      </c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</row>
    <row r="15" spans="1:29" s="1271" customFormat="1" x14ac:dyDescent="0.25">
      <c r="A15" s="1065">
        <v>183.1</v>
      </c>
      <c r="B15" s="64" t="s">
        <v>1482</v>
      </c>
      <c r="C15" s="1063">
        <v>18514</v>
      </c>
      <c r="D15" s="1063">
        <v>58096.76</v>
      </c>
      <c r="E15" s="1063">
        <v>0</v>
      </c>
      <c r="F15" s="1063">
        <v>0</v>
      </c>
      <c r="G15" s="1063">
        <f t="shared" ref="G15:G22" si="0">+C15+D15-E15+F15</f>
        <v>76610.760000000009</v>
      </c>
      <c r="H15" s="1063">
        <v>0</v>
      </c>
      <c r="I15" s="1063">
        <v>0</v>
      </c>
      <c r="J15" s="1063">
        <v>0</v>
      </c>
      <c r="K15" s="1063">
        <f>+G15+H15-I15</f>
        <v>76610.760000000009</v>
      </c>
      <c r="L15" s="1063">
        <v>0</v>
      </c>
      <c r="M15" s="1066">
        <v>0</v>
      </c>
      <c r="N15" s="1063">
        <v>0</v>
      </c>
      <c r="O15" s="1063">
        <f>+M15-E15</f>
        <v>0</v>
      </c>
      <c r="P15" s="1066" t="s">
        <v>1108</v>
      </c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</row>
    <row r="16" spans="1:29" x14ac:dyDescent="0.25">
      <c r="A16" s="1065">
        <v>186.11</v>
      </c>
      <c r="B16" s="64" t="s">
        <v>646</v>
      </c>
      <c r="C16" s="1063">
        <v>0</v>
      </c>
      <c r="D16" s="1063">
        <v>0</v>
      </c>
      <c r="E16" s="1063">
        <v>0</v>
      </c>
      <c r="F16" s="1063">
        <v>0</v>
      </c>
      <c r="G16" s="1063">
        <f t="shared" si="0"/>
        <v>0</v>
      </c>
      <c r="H16" s="1063">
        <v>0</v>
      </c>
      <c r="I16" s="1063">
        <v>0</v>
      </c>
      <c r="J16" s="1063">
        <v>0</v>
      </c>
      <c r="K16" s="1063">
        <f t="shared" ref="K16:K17" si="1">+G16+H16-I16</f>
        <v>0</v>
      </c>
      <c r="L16" s="1063">
        <v>0</v>
      </c>
      <c r="M16" s="1067">
        <v>0</v>
      </c>
      <c r="N16" s="1063">
        <v>0</v>
      </c>
      <c r="O16" s="1063">
        <f>+M16-E16</f>
        <v>0</v>
      </c>
      <c r="P16" s="1068" t="s">
        <v>11</v>
      </c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</row>
    <row r="17" spans="1:29" s="373" customFormat="1" x14ac:dyDescent="0.25">
      <c r="A17" s="1065">
        <v>186.29</v>
      </c>
      <c r="B17" s="64" t="s">
        <v>1106</v>
      </c>
      <c r="C17" s="1063">
        <v>586530</v>
      </c>
      <c r="D17" s="1063">
        <v>0</v>
      </c>
      <c r="E17" s="1063">
        <v>130344</v>
      </c>
      <c r="F17" s="1063">
        <v>0</v>
      </c>
      <c r="G17" s="1063">
        <f t="shared" si="0"/>
        <v>456186</v>
      </c>
      <c r="H17" s="1063">
        <v>0</v>
      </c>
      <c r="I17" s="1063">
        <f>+E17/12*4</f>
        <v>43448</v>
      </c>
      <c r="J17" s="1063">
        <v>0</v>
      </c>
      <c r="K17" s="1063">
        <f t="shared" si="1"/>
        <v>412738</v>
      </c>
      <c r="L17" s="1063">
        <v>0</v>
      </c>
      <c r="M17" s="1067">
        <f>+E17</f>
        <v>130344</v>
      </c>
      <c r="N17" s="1064">
        <v>0</v>
      </c>
      <c r="O17" s="1063">
        <f>+M17-E17</f>
        <v>0</v>
      </c>
      <c r="P17" s="1068" t="s">
        <v>12</v>
      </c>
      <c r="Q17" s="38"/>
      <c r="R17" s="38"/>
      <c r="S17" s="38"/>
      <c r="T17" s="38"/>
      <c r="U17" s="38"/>
      <c r="V17" s="38"/>
      <c r="W17" s="38"/>
    </row>
    <row r="18" spans="1:29" s="373" customFormat="1" x14ac:dyDescent="0.25">
      <c r="A18" s="1065"/>
      <c r="B18" s="47" t="s">
        <v>1292</v>
      </c>
      <c r="C18" s="1069">
        <f>SUM(C14:C17)</f>
        <v>638298.26</v>
      </c>
      <c r="D18" s="1069">
        <f t="shared" ref="D18:O18" si="2">SUM(D14:D17)</f>
        <v>58096.76</v>
      </c>
      <c r="E18" s="1069">
        <f t="shared" si="2"/>
        <v>138188.64000000001</v>
      </c>
      <c r="F18" s="1069">
        <f t="shared" si="2"/>
        <v>0</v>
      </c>
      <c r="G18" s="1069">
        <f t="shared" si="2"/>
        <v>558206.38</v>
      </c>
      <c r="H18" s="1069">
        <f t="shared" si="2"/>
        <v>0</v>
      </c>
      <c r="I18" s="1069">
        <f t="shared" si="2"/>
        <v>46062.879999999997</v>
      </c>
      <c r="J18" s="1069">
        <f t="shared" si="2"/>
        <v>0</v>
      </c>
      <c r="K18" s="1069">
        <f t="shared" si="2"/>
        <v>512143.5</v>
      </c>
      <c r="L18" s="1069">
        <f t="shared" si="2"/>
        <v>0</v>
      </c>
      <c r="M18" s="1069">
        <f t="shared" si="2"/>
        <v>138188.64000000001</v>
      </c>
      <c r="N18" s="1069">
        <f t="shared" si="2"/>
        <v>0</v>
      </c>
      <c r="O18" s="1069">
        <f t="shared" si="2"/>
        <v>0</v>
      </c>
      <c r="P18" s="1070"/>
      <c r="Q18" s="38"/>
      <c r="R18" s="38"/>
      <c r="S18" s="38"/>
      <c r="T18" s="38"/>
      <c r="U18" s="38"/>
      <c r="V18" s="38"/>
      <c r="W18" s="38"/>
    </row>
    <row r="19" spans="1:29" s="373" customFormat="1" x14ac:dyDescent="0.25">
      <c r="A19" s="1065"/>
      <c r="B19" s="64"/>
      <c r="C19" s="1063"/>
      <c r="D19" s="1064"/>
      <c r="E19" s="1064"/>
      <c r="F19" s="1064"/>
      <c r="G19" s="1064"/>
      <c r="H19" s="1063"/>
      <c r="I19" s="1064"/>
      <c r="J19" s="1064"/>
      <c r="K19" s="1064"/>
      <c r="L19" s="1064"/>
      <c r="M19" s="1070"/>
      <c r="N19" s="1064"/>
      <c r="O19" s="1064"/>
      <c r="P19" s="1070"/>
      <c r="Q19" s="38"/>
      <c r="R19" s="38"/>
      <c r="S19" s="38"/>
      <c r="T19" s="38"/>
      <c r="U19" s="38"/>
      <c r="V19" s="38"/>
      <c r="W19" s="38"/>
    </row>
    <row r="20" spans="1:29" s="373" customFormat="1" hidden="1" x14ac:dyDescent="0.25">
      <c r="A20" s="1065" t="s">
        <v>1294</v>
      </c>
      <c r="B20" s="64"/>
      <c r="C20" s="1064"/>
      <c r="D20" s="1064"/>
      <c r="E20" s="1064"/>
      <c r="F20" s="1064"/>
      <c r="G20" s="1064"/>
      <c r="H20" s="1064"/>
      <c r="I20" s="1064"/>
      <c r="J20" s="1064"/>
      <c r="K20" s="1064"/>
      <c r="L20" s="1064"/>
      <c r="M20" s="1070"/>
      <c r="N20" s="1064"/>
      <c r="O20" s="1064"/>
      <c r="P20" s="1070"/>
      <c r="Q20" s="38"/>
      <c r="R20" s="38"/>
      <c r="S20" s="38"/>
      <c r="T20" s="38"/>
      <c r="U20" s="38"/>
      <c r="V20" s="38"/>
      <c r="W20" s="38"/>
    </row>
    <row r="21" spans="1:29" s="373" customFormat="1" hidden="1" x14ac:dyDescent="0.25">
      <c r="A21" s="1065">
        <v>254.01</v>
      </c>
      <c r="B21" s="64" t="s">
        <v>1266</v>
      </c>
      <c r="C21" s="1064">
        <v>0</v>
      </c>
      <c r="D21" s="1064">
        <v>0</v>
      </c>
      <c r="E21" s="1064">
        <v>0</v>
      </c>
      <c r="F21" s="1064"/>
      <c r="G21" s="1064">
        <f t="shared" si="0"/>
        <v>0</v>
      </c>
      <c r="H21" s="1064">
        <v>0</v>
      </c>
      <c r="I21" s="1064">
        <v>0</v>
      </c>
      <c r="J21" s="1064">
        <v>0</v>
      </c>
      <c r="K21" s="1064">
        <f>+G21+H21+I21+J21</f>
        <v>0</v>
      </c>
      <c r="L21" s="1064">
        <v>0</v>
      </c>
      <c r="M21" s="1064">
        <v>0</v>
      </c>
      <c r="N21" s="1064">
        <f>+M21-I21</f>
        <v>0</v>
      </c>
      <c r="O21" s="1064">
        <f>+M21-E21</f>
        <v>0</v>
      </c>
      <c r="P21" s="1066"/>
      <c r="Q21" s="38"/>
      <c r="R21" s="38"/>
      <c r="S21" s="38"/>
      <c r="T21" s="38"/>
      <c r="U21" s="38"/>
      <c r="V21" s="38"/>
      <c r="W21" s="38"/>
    </row>
    <row r="22" spans="1:29" s="373" customFormat="1" hidden="1" x14ac:dyDescent="0.25">
      <c r="A22" s="1065">
        <v>254.03</v>
      </c>
      <c r="B22" s="64" t="s">
        <v>1267</v>
      </c>
      <c r="C22" s="1071">
        <v>0</v>
      </c>
      <c r="D22" s="1064">
        <v>0</v>
      </c>
      <c r="E22" s="1064">
        <v>0</v>
      </c>
      <c r="F22" s="1064"/>
      <c r="G22" s="1071">
        <f t="shared" si="0"/>
        <v>0</v>
      </c>
      <c r="H22" s="1064">
        <v>0</v>
      </c>
      <c r="I22" s="1071">
        <f>-H22-G22</f>
        <v>0</v>
      </c>
      <c r="J22" s="1071">
        <v>0</v>
      </c>
      <c r="K22" s="1064">
        <f>+G22+H22+I22+J22</f>
        <v>0</v>
      </c>
      <c r="L22" s="1064">
        <v>0</v>
      </c>
      <c r="M22" s="1064">
        <v>0</v>
      </c>
      <c r="N22" s="1064">
        <f>+M22-I22</f>
        <v>0</v>
      </c>
      <c r="O22" s="1064">
        <f>+M22-E22</f>
        <v>0</v>
      </c>
      <c r="P22" s="1072"/>
      <c r="Q22" s="38"/>
      <c r="R22" s="38"/>
      <c r="S22" s="38"/>
      <c r="T22" s="38"/>
      <c r="U22" s="38"/>
      <c r="V22" s="38"/>
      <c r="W22" s="38"/>
    </row>
    <row r="23" spans="1:29" s="373" customFormat="1" hidden="1" x14ac:dyDescent="0.25">
      <c r="A23" s="1065"/>
      <c r="B23" s="47" t="s">
        <v>1293</v>
      </c>
      <c r="C23" s="1073">
        <f>SUM(C21:C22)</f>
        <v>0</v>
      </c>
      <c r="D23" s="1073">
        <f t="shared" ref="D23:M23" si="3">SUM(D21:D22)</f>
        <v>0</v>
      </c>
      <c r="E23" s="1073">
        <f t="shared" si="3"/>
        <v>0</v>
      </c>
      <c r="F23" s="1073">
        <f t="shared" si="3"/>
        <v>0</v>
      </c>
      <c r="G23" s="1073">
        <f t="shared" si="3"/>
        <v>0</v>
      </c>
      <c r="H23" s="1073">
        <f t="shared" si="3"/>
        <v>0</v>
      </c>
      <c r="I23" s="1073">
        <f t="shared" si="3"/>
        <v>0</v>
      </c>
      <c r="J23" s="1073">
        <f t="shared" si="3"/>
        <v>0</v>
      </c>
      <c r="K23" s="1073">
        <f t="shared" si="3"/>
        <v>0</v>
      </c>
      <c r="L23" s="1073">
        <f t="shared" si="3"/>
        <v>0</v>
      </c>
      <c r="M23" s="1073">
        <f t="shared" si="3"/>
        <v>0</v>
      </c>
      <c r="N23" s="1073">
        <f>SUM(N21:N22)</f>
        <v>0</v>
      </c>
      <c r="O23" s="1064"/>
      <c r="P23" s="1074"/>
      <c r="Q23" s="38"/>
      <c r="R23" s="38"/>
      <c r="S23" s="38"/>
      <c r="T23" s="38"/>
      <c r="U23" s="38"/>
      <c r="V23" s="38"/>
      <c r="W23" s="38"/>
    </row>
    <row r="24" spans="1:29" x14ac:dyDescent="0.25">
      <c r="A24" s="1065"/>
      <c r="B24" s="64"/>
      <c r="C24" s="1075"/>
      <c r="D24" s="1075"/>
      <c r="E24" s="1075"/>
      <c r="F24" s="1075"/>
      <c r="G24" s="1064"/>
      <c r="H24" s="1064"/>
      <c r="I24" s="1064"/>
      <c r="J24" s="1064"/>
      <c r="K24" s="1064"/>
      <c r="L24" s="1064"/>
      <c r="M24" s="1076"/>
      <c r="N24" s="1075"/>
      <c r="O24" s="1075"/>
      <c r="P24" s="1076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</row>
    <row r="25" spans="1:29" x14ac:dyDescent="0.25">
      <c r="A25" s="373"/>
      <c r="B25" s="228"/>
      <c r="C25" s="1064"/>
      <c r="D25" s="1064"/>
      <c r="E25" s="1064"/>
      <c r="F25" s="1064"/>
      <c r="G25" s="1064"/>
      <c r="H25" s="1064"/>
      <c r="I25" s="1064"/>
      <c r="J25" s="1064"/>
      <c r="K25" s="1064"/>
      <c r="L25" s="1064"/>
      <c r="M25" s="1064"/>
      <c r="N25" s="1064"/>
      <c r="O25" s="1064"/>
      <c r="P25" s="1051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</row>
    <row r="26" spans="1:29" x14ac:dyDescent="0.25">
      <c r="A26" s="1062"/>
      <c r="B26" s="228"/>
      <c r="C26" s="1064"/>
      <c r="D26" s="1064"/>
      <c r="E26" s="1064"/>
      <c r="F26" s="1064"/>
      <c r="G26" s="1064"/>
      <c r="H26" s="1064"/>
      <c r="I26" s="1064"/>
      <c r="J26" s="1064"/>
      <c r="K26" s="1064"/>
      <c r="L26" s="1064"/>
      <c r="M26" s="1064"/>
      <c r="N26" s="1064"/>
      <c r="O26" s="1064"/>
      <c r="P26" s="1051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</row>
    <row r="27" spans="1:29" x14ac:dyDescent="0.25">
      <c r="A27" s="64"/>
      <c r="B27" s="228"/>
      <c r="C27" s="228"/>
      <c r="D27" s="228"/>
      <c r="E27" s="228"/>
      <c r="F27" s="228"/>
      <c r="G27" s="228"/>
      <c r="H27" s="228"/>
      <c r="I27" s="228"/>
      <c r="J27" s="1051"/>
      <c r="K27" s="1051"/>
      <c r="L27" s="1051"/>
      <c r="M27" s="1051"/>
      <c r="N27" s="1051"/>
      <c r="O27" s="1051"/>
      <c r="P27" s="1051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</row>
    <row r="28" spans="1:29" x14ac:dyDescent="0.25">
      <c r="A28" s="1068"/>
      <c r="B28" s="64"/>
      <c r="C28" s="228"/>
      <c r="D28" s="228"/>
      <c r="E28" s="228"/>
      <c r="F28" s="1064"/>
      <c r="G28" s="228"/>
      <c r="H28" s="1051"/>
      <c r="I28" s="1051"/>
      <c r="J28" s="1051"/>
      <c r="K28" s="1051"/>
      <c r="L28" s="1051"/>
      <c r="M28" s="1051"/>
      <c r="N28" s="1051"/>
      <c r="O28" s="1051"/>
      <c r="P28" s="1051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</row>
    <row r="29" spans="1:29" x14ac:dyDescent="0.25">
      <c r="A29" s="1077" t="s">
        <v>1115</v>
      </c>
      <c r="B29" s="64"/>
      <c r="C29" s="47" t="s">
        <v>1109</v>
      </c>
      <c r="D29" s="698" t="s">
        <v>1216</v>
      </c>
      <c r="E29" s="228"/>
      <c r="F29" s="1064"/>
      <c r="G29" s="228"/>
      <c r="H29" s="1051"/>
      <c r="I29" s="1051"/>
      <c r="J29" s="1051"/>
      <c r="K29" s="1051"/>
      <c r="L29" s="1051"/>
      <c r="M29" s="1051"/>
      <c r="N29" s="1051"/>
      <c r="O29" s="1051"/>
      <c r="P29" s="1051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</row>
    <row r="30" spans="1:29" x14ac:dyDescent="0.25">
      <c r="A30" s="1068" t="s">
        <v>1107</v>
      </c>
      <c r="B30" s="64" t="s">
        <v>678</v>
      </c>
      <c r="C30" s="64" t="s">
        <v>1113</v>
      </c>
      <c r="D30" s="698" t="s">
        <v>1131</v>
      </c>
      <c r="E30" s="1064"/>
      <c r="F30" s="228"/>
      <c r="G30" s="1064"/>
      <c r="H30" s="1051"/>
      <c r="I30" s="1051"/>
      <c r="J30" s="1051"/>
      <c r="K30" s="1051"/>
      <c r="L30" s="1051"/>
      <c r="M30" s="1051"/>
      <c r="N30" s="1051"/>
      <c r="O30" s="1051"/>
      <c r="P30" s="1051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</row>
    <row r="31" spans="1:29" x14ac:dyDescent="0.25">
      <c r="A31" s="1068" t="s">
        <v>1108</v>
      </c>
      <c r="B31" s="64" t="s">
        <v>1263</v>
      </c>
      <c r="C31" s="64" t="s">
        <v>1112</v>
      </c>
      <c r="D31" s="698" t="s">
        <v>1291</v>
      </c>
      <c r="E31" s="1064"/>
      <c r="F31" s="228"/>
      <c r="G31" s="1064"/>
      <c r="H31" s="1051"/>
      <c r="I31" s="1051"/>
      <c r="J31" s="1051"/>
      <c r="K31" s="1051"/>
      <c r="L31" s="1051"/>
      <c r="M31" s="1051"/>
      <c r="N31" s="1051"/>
      <c r="O31" s="1051"/>
      <c r="P31" s="1051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</row>
    <row r="32" spans="1:29" x14ac:dyDescent="0.25">
      <c r="A32" s="1068" t="s">
        <v>11</v>
      </c>
      <c r="B32" s="64" t="s">
        <v>679</v>
      </c>
      <c r="C32" s="64" t="s">
        <v>1114</v>
      </c>
      <c r="D32" s="698" t="s">
        <v>1215</v>
      </c>
      <c r="E32" s="1064"/>
      <c r="F32" s="228"/>
      <c r="G32" s="1064"/>
      <c r="H32" s="1051"/>
      <c r="I32" s="1051"/>
      <c r="J32" s="1051"/>
      <c r="K32" s="1051"/>
      <c r="L32" s="1051"/>
      <c r="M32" s="1051"/>
      <c r="N32" s="1051"/>
      <c r="O32" s="1051"/>
      <c r="P32" s="1051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</row>
    <row r="33" spans="1:27" x14ac:dyDescent="0.25">
      <c r="A33" s="1068" t="s">
        <v>12</v>
      </c>
      <c r="B33" s="373" t="s">
        <v>1110</v>
      </c>
      <c r="C33" s="1050" t="s">
        <v>1111</v>
      </c>
      <c r="D33" s="1078"/>
      <c r="E33" s="1051"/>
      <c r="F33" s="1051"/>
      <c r="G33" s="1051"/>
      <c r="H33" s="1051"/>
      <c r="I33" s="1051"/>
      <c r="J33" s="1051"/>
      <c r="K33" s="1051"/>
      <c r="L33" s="1051"/>
      <c r="M33" s="1051"/>
      <c r="N33" s="1051"/>
      <c r="O33" s="1051"/>
      <c r="P33" s="1051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</row>
    <row r="34" spans="1:27" x14ac:dyDescent="0.25">
      <c r="A34" s="1079"/>
      <c r="B34" s="373"/>
      <c r="C34" s="1080"/>
      <c r="D34" s="1048"/>
      <c r="E34" s="1054"/>
      <c r="F34" s="1054"/>
      <c r="G34" s="1054"/>
      <c r="H34" s="1054"/>
      <c r="I34" s="1054"/>
      <c r="J34" s="1054"/>
      <c r="K34" s="1054"/>
      <c r="L34" s="1054"/>
      <c r="M34" s="1051"/>
      <c r="N34" s="1051"/>
      <c r="O34" s="1051"/>
      <c r="P34" s="1051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</row>
    <row r="35" spans="1:27" x14ac:dyDescent="0.25">
      <c r="A35" s="1072"/>
      <c r="B35" s="373"/>
      <c r="C35" s="1080"/>
      <c r="D35" s="1048"/>
      <c r="E35" s="1054"/>
      <c r="F35" s="1054"/>
      <c r="G35" s="1054"/>
      <c r="H35" s="1054"/>
      <c r="I35" s="1054"/>
      <c r="J35" s="1054"/>
      <c r="K35" s="1054"/>
      <c r="L35" s="1054"/>
      <c r="M35" s="1051"/>
      <c r="N35" s="1051"/>
      <c r="O35" s="1051"/>
      <c r="P35" s="1051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</row>
    <row r="36" spans="1:27" x14ac:dyDescent="0.25">
      <c r="A36" s="1072"/>
      <c r="B36" s="373"/>
      <c r="C36" s="1081"/>
      <c r="D36" s="1082"/>
      <c r="E36" s="1054"/>
      <c r="F36" s="1054"/>
      <c r="G36" s="1054"/>
      <c r="H36" s="1054"/>
      <c r="I36" s="1054"/>
      <c r="J36" s="1054"/>
      <c r="K36" s="1054"/>
      <c r="L36" s="1054"/>
      <c r="M36" s="1051"/>
      <c r="N36" s="1051"/>
      <c r="O36" s="1051"/>
      <c r="P36" s="1051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</row>
    <row r="37" spans="1:27" x14ac:dyDescent="0.25">
      <c r="A37" s="1054"/>
      <c r="B37" s="373"/>
      <c r="C37" s="1064"/>
      <c r="D37" s="1054"/>
      <c r="E37" s="1054"/>
      <c r="F37" s="1054"/>
      <c r="G37" s="1054"/>
      <c r="H37" s="1054"/>
      <c r="I37" s="1054"/>
      <c r="J37" s="1054"/>
      <c r="K37" s="1054"/>
      <c r="L37" s="1054"/>
      <c r="M37" s="1051"/>
      <c r="N37" s="1051"/>
      <c r="O37" s="1051"/>
      <c r="P37" s="1051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</row>
    <row r="38" spans="1:27" x14ac:dyDescent="0.25">
      <c r="A38" s="1054"/>
      <c r="B38" s="373"/>
      <c r="C38" s="1064"/>
      <c r="D38" s="1054"/>
      <c r="E38" s="1054"/>
      <c r="F38" s="1054"/>
      <c r="G38" s="1054"/>
      <c r="H38" s="1054"/>
      <c r="I38" s="1054"/>
      <c r="J38" s="1054"/>
      <c r="K38" s="1054"/>
      <c r="L38" s="1054"/>
      <c r="M38" s="1051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</row>
    <row r="39" spans="1:27" x14ac:dyDescent="0.25">
      <c r="A39" s="1054"/>
      <c r="B39" s="373"/>
      <c r="C39" s="1064"/>
      <c r="D39" s="1054"/>
      <c r="E39" s="1054"/>
      <c r="F39" s="1054"/>
      <c r="G39" s="1054"/>
      <c r="H39" s="1054"/>
      <c r="I39" s="1054"/>
      <c r="J39" s="1054"/>
      <c r="K39" s="1054"/>
      <c r="L39" s="1054"/>
      <c r="M39" s="1051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</row>
    <row r="40" spans="1:27" x14ac:dyDescent="0.25">
      <c r="A40" s="1054"/>
      <c r="B40" s="1054"/>
      <c r="C40" s="1083"/>
      <c r="D40" s="1082"/>
      <c r="E40" s="1054"/>
      <c r="F40" s="1054"/>
      <c r="G40" s="1054"/>
      <c r="H40" s="1054"/>
      <c r="I40" s="1054"/>
      <c r="J40" s="1054"/>
      <c r="K40" s="1054"/>
      <c r="L40" s="1054"/>
      <c r="M40" s="1051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</row>
    <row r="41" spans="1:27" x14ac:dyDescent="0.25">
      <c r="A41" s="1054"/>
      <c r="B41" s="1054"/>
      <c r="C41" s="1054"/>
      <c r="D41" s="1054"/>
      <c r="E41" s="1054"/>
      <c r="F41" s="1054"/>
      <c r="G41" s="1054"/>
      <c r="H41" s="1054"/>
      <c r="I41" s="1054"/>
      <c r="J41" s="1054"/>
      <c r="K41" s="1054"/>
      <c r="L41" s="1054"/>
      <c r="M41" s="1051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</row>
    <row r="42" spans="1:27" x14ac:dyDescent="0.25">
      <c r="A42" s="1054"/>
      <c r="B42" s="1054"/>
      <c r="C42" s="1051"/>
      <c r="D42" s="1054"/>
      <c r="E42" s="1054"/>
      <c r="F42" s="1054"/>
      <c r="G42" s="1054"/>
      <c r="H42" s="1054"/>
      <c r="I42" s="1054"/>
      <c r="J42" s="1054"/>
      <c r="K42" s="1054"/>
      <c r="L42" s="1054"/>
      <c r="M42" s="1051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</row>
    <row r="43" spans="1:27" x14ac:dyDescent="0.25">
      <c r="A43" s="1054"/>
      <c r="B43" s="1051"/>
      <c r="C43" s="1051"/>
      <c r="D43" s="1054"/>
      <c r="E43" s="1054"/>
      <c r="F43" s="1054"/>
      <c r="G43" s="1054"/>
      <c r="H43" s="1054"/>
      <c r="I43" s="1054"/>
      <c r="J43" s="1054"/>
      <c r="K43" s="1054"/>
      <c r="L43" s="1054"/>
      <c r="M43" s="1051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</row>
    <row r="44" spans="1:27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</row>
    <row r="45" spans="1:27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</row>
    <row r="46" spans="1:27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</row>
    <row r="47" spans="1:27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</row>
    <row r="48" spans="1:27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</row>
    <row r="49" spans="1:27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</row>
    <row r="50" spans="1:27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</row>
    <row r="51" spans="1:27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</row>
    <row r="52" spans="1:27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</row>
    <row r="53" spans="1:27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</row>
    <row r="54" spans="1:27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</row>
    <row r="55" spans="1:27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</row>
    <row r="56" spans="1:27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</row>
    <row r="57" spans="1:27" x14ac:dyDescent="0.25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</row>
    <row r="58" spans="1:27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</row>
    <row r="59" spans="1:27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</row>
    <row r="60" spans="1:27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</row>
    <row r="61" spans="1:27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</row>
    <row r="62" spans="1:27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</row>
    <row r="63" spans="1:27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</row>
    <row r="64" spans="1:27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</row>
    <row r="65" spans="1:27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</row>
    <row r="66" spans="1:27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</row>
    <row r="67" spans="1:27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</row>
    <row r="68" spans="1:27" x14ac:dyDescent="0.25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</row>
    <row r="69" spans="1:27" x14ac:dyDescent="0.25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</row>
    <row r="70" spans="1:27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</row>
    <row r="71" spans="1:27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</row>
    <row r="72" spans="1:27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</row>
    <row r="73" spans="1:27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</row>
  </sheetData>
  <mergeCells count="1">
    <mergeCell ref="D9:E9"/>
  </mergeCells>
  <phoneticPr fontId="12" type="noConversion"/>
  <pageMargins left="0.75" right="0.75" top="1" bottom="1" header="0.5" footer="0.5"/>
  <pageSetup scale="78" orientation="landscape" r:id="rId1"/>
  <headerFooter alignWithMargins="0">
    <oddHeader>&amp;RS8-A</oddHeader>
    <oddFooter>&amp;L&amp;Z&amp;F&amp;R&amp;T&amp;D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K1861"/>
  <sheetViews>
    <sheetView showGridLines="0" workbookViewId="0">
      <selection activeCell="D12" sqref="D12"/>
    </sheetView>
  </sheetViews>
  <sheetFormatPr defaultColWidth="8.90625" defaultRowHeight="13.2" x14ac:dyDescent="0.25"/>
  <cols>
    <col min="1" max="1" width="8.90625" style="38"/>
    <col min="2" max="2" width="29.08984375" style="38" customWidth="1"/>
    <col min="3" max="3" width="14.08984375" style="38" bestFit="1" customWidth="1"/>
    <col min="4" max="4" width="11.1796875" style="38" customWidth="1"/>
    <col min="5" max="5" width="12.90625" style="38" bestFit="1" customWidth="1"/>
    <col min="6" max="6" width="30.6328125" style="36" customWidth="1"/>
    <col min="7" max="16384" width="8.90625" style="38"/>
  </cols>
  <sheetData>
    <row r="1" spans="1:11" x14ac:dyDescent="0.25">
      <c r="A1" s="62" t="s">
        <v>747</v>
      </c>
      <c r="B1" s="33"/>
      <c r="C1" s="33"/>
      <c r="D1" s="33"/>
      <c r="E1" s="33"/>
    </row>
    <row r="2" spans="1:11" x14ac:dyDescent="0.25">
      <c r="A2" s="33" t="s">
        <v>192</v>
      </c>
      <c r="B2" s="33"/>
      <c r="C2" s="33"/>
      <c r="D2" s="33"/>
      <c r="E2" s="33"/>
    </row>
    <row r="3" spans="1:11" x14ac:dyDescent="0.25">
      <c r="A3" s="33" t="s">
        <v>741</v>
      </c>
      <c r="B3" s="33"/>
      <c r="C3" s="33"/>
      <c r="D3" s="33"/>
      <c r="E3" s="33"/>
    </row>
    <row r="4" spans="1:11" x14ac:dyDescent="0.25">
      <c r="A4" s="33" t="s">
        <v>189</v>
      </c>
      <c r="B4" s="33"/>
      <c r="C4" s="33"/>
      <c r="D4" s="33"/>
      <c r="E4" s="33"/>
    </row>
    <row r="5" spans="1:11" x14ac:dyDescent="0.25">
      <c r="A5" s="33"/>
      <c r="B5" s="36"/>
      <c r="C5" s="36"/>
      <c r="D5" s="36"/>
      <c r="E5" s="36"/>
    </row>
    <row r="6" spans="1:11" x14ac:dyDescent="0.25">
      <c r="A6" s="33"/>
      <c r="B6" s="33"/>
      <c r="C6" s="60" t="s">
        <v>114</v>
      </c>
      <c r="D6" s="60" t="s">
        <v>342</v>
      </c>
      <c r="E6" s="60" t="str">
        <f>+'S1-Revenue Requirement'!E6</f>
        <v>11/1/22-10/31/23</v>
      </c>
    </row>
    <row r="7" spans="1:11" ht="15.6" x14ac:dyDescent="0.3">
      <c r="A7" s="59" t="s">
        <v>236</v>
      </c>
      <c r="B7" s="59" t="s">
        <v>311</v>
      </c>
      <c r="C7" s="61" t="str">
        <f>+'S1-Revenue Requirement'!C6</f>
        <v>7/1/21 - 6/30/22</v>
      </c>
      <c r="D7" s="61" t="s">
        <v>343</v>
      </c>
      <c r="E7" s="61" t="s">
        <v>614</v>
      </c>
      <c r="F7" s="78" t="s">
        <v>216</v>
      </c>
    </row>
    <row r="8" spans="1:11" x14ac:dyDescent="0.25">
      <c r="A8" s="33"/>
      <c r="B8" s="33"/>
      <c r="C8" s="205"/>
      <c r="D8" s="205"/>
      <c r="E8" s="205"/>
    </row>
    <row r="9" spans="1:11" x14ac:dyDescent="0.25">
      <c r="A9" s="298">
        <v>427.02</v>
      </c>
      <c r="B9" s="33" t="s">
        <v>622</v>
      </c>
      <c r="C9" s="42">
        <f>+'Trial Balance'!C209</f>
        <v>356024.56</v>
      </c>
      <c r="D9" s="42">
        <f t="shared" ref="D9:D24" si="0">+E9-C9</f>
        <v>-55233.5</v>
      </c>
      <c r="E9" s="42">
        <v>300791.06</v>
      </c>
      <c r="F9" s="65" t="s">
        <v>325</v>
      </c>
      <c r="G9" s="1171"/>
      <c r="H9" s="1171"/>
      <c r="I9" s="1171"/>
      <c r="J9" s="1171"/>
      <c r="K9" s="1171"/>
    </row>
    <row r="10" spans="1:11" ht="15" customHeight="1" x14ac:dyDescent="0.25">
      <c r="A10" s="298">
        <v>427.03</v>
      </c>
      <c r="B10" s="33" t="s">
        <v>878</v>
      </c>
      <c r="C10" s="42">
        <f>+'Trial Balance'!C210</f>
        <v>600232.05000000005</v>
      </c>
      <c r="D10" s="42">
        <f t="shared" si="0"/>
        <v>6713.0999999999767</v>
      </c>
      <c r="E10" s="42">
        <v>606945.15</v>
      </c>
      <c r="F10" s="65" t="s">
        <v>325</v>
      </c>
      <c r="G10" s="1171"/>
      <c r="H10" s="1171"/>
      <c r="I10" s="1171"/>
      <c r="J10" s="1171"/>
      <c r="K10" s="1171"/>
    </row>
    <row r="11" spans="1:11" ht="15" customHeight="1" x14ac:dyDescent="0.25">
      <c r="A11" s="298">
        <v>427.04</v>
      </c>
      <c r="B11" s="33" t="s">
        <v>644</v>
      </c>
      <c r="C11" s="42">
        <f>+'Trial Balance'!C211</f>
        <v>237410.71</v>
      </c>
      <c r="D11" s="42">
        <f t="shared" si="0"/>
        <v>-28258.809999999998</v>
      </c>
      <c r="E11" s="42">
        <f>118551.7+64715.6+25884.6</f>
        <v>209151.9</v>
      </c>
      <c r="F11" s="65" t="s">
        <v>325</v>
      </c>
      <c r="G11" s="1171"/>
      <c r="H11" s="1171"/>
      <c r="I11" s="1171"/>
      <c r="J11" s="1171"/>
      <c r="K11" s="1171"/>
    </row>
    <row r="12" spans="1:11" ht="15" customHeight="1" x14ac:dyDescent="0.25">
      <c r="A12" s="298">
        <v>427.05</v>
      </c>
      <c r="B12" s="33" t="s">
        <v>621</v>
      </c>
      <c r="C12" s="42">
        <f>+'Trial Balance'!C212</f>
        <v>12631.29</v>
      </c>
      <c r="D12" s="42">
        <f t="shared" si="0"/>
        <v>-1724.5700000000015</v>
      </c>
      <c r="E12" s="42">
        <f>242.26+10664.46</f>
        <v>10906.72</v>
      </c>
      <c r="F12" s="65" t="s">
        <v>325</v>
      </c>
      <c r="G12" s="1171"/>
      <c r="H12" s="1171"/>
      <c r="I12" s="1171"/>
      <c r="J12" s="1171"/>
      <c r="K12" s="1171"/>
    </row>
    <row r="13" spans="1:11" ht="15" hidden="1" customHeight="1" x14ac:dyDescent="0.25">
      <c r="A13" s="298"/>
      <c r="B13" s="33"/>
      <c r="C13" s="206"/>
      <c r="D13" s="42">
        <f t="shared" si="0"/>
        <v>0</v>
      </c>
      <c r="E13" s="206"/>
      <c r="F13" s="65"/>
      <c r="G13" s="1171"/>
      <c r="H13" s="1171"/>
      <c r="I13" s="1171"/>
      <c r="J13" s="1171"/>
      <c r="K13" s="1171"/>
    </row>
    <row r="14" spans="1:11" ht="15" hidden="1" customHeight="1" x14ac:dyDescent="0.25">
      <c r="A14" s="298"/>
      <c r="B14" s="33"/>
      <c r="C14" s="206"/>
      <c r="D14" s="42">
        <f t="shared" si="0"/>
        <v>0</v>
      </c>
      <c r="E14" s="206"/>
      <c r="F14" s="65"/>
      <c r="G14" s="1171"/>
      <c r="H14" s="1171"/>
      <c r="I14" s="1171"/>
      <c r="J14" s="1171"/>
      <c r="K14" s="1171"/>
    </row>
    <row r="15" spans="1:11" ht="15" hidden="1" customHeight="1" x14ac:dyDescent="0.25">
      <c r="A15" s="298"/>
      <c r="B15" s="33"/>
      <c r="C15" s="206"/>
      <c r="D15" s="42">
        <f t="shared" si="0"/>
        <v>0</v>
      </c>
      <c r="E15" s="206"/>
      <c r="F15" s="65"/>
      <c r="G15" s="1171"/>
      <c r="H15" s="1171"/>
      <c r="I15" s="1171"/>
      <c r="J15" s="1171"/>
      <c r="K15" s="1171"/>
    </row>
    <row r="16" spans="1:11" ht="15" hidden="1" customHeight="1" x14ac:dyDescent="0.25">
      <c r="A16" s="298"/>
      <c r="B16" s="33"/>
      <c r="C16" s="206"/>
      <c r="D16" s="42">
        <f t="shared" si="0"/>
        <v>0</v>
      </c>
      <c r="E16" s="206"/>
      <c r="F16" s="65"/>
      <c r="G16" s="1171"/>
      <c r="H16" s="1171"/>
      <c r="I16" s="1171"/>
      <c r="J16" s="1171"/>
      <c r="K16" s="1171"/>
    </row>
    <row r="17" spans="1:11" ht="15" hidden="1" customHeight="1" x14ac:dyDescent="0.25">
      <c r="A17" s="298"/>
      <c r="B17" s="33"/>
      <c r="C17" s="206"/>
      <c r="D17" s="42">
        <f t="shared" si="0"/>
        <v>0</v>
      </c>
      <c r="E17" s="206"/>
      <c r="F17" s="65"/>
      <c r="G17" s="1171"/>
      <c r="H17" s="1171"/>
      <c r="I17" s="1171"/>
      <c r="J17" s="1171"/>
      <c r="K17" s="1171"/>
    </row>
    <row r="18" spans="1:11" ht="15" hidden="1" customHeight="1" x14ac:dyDescent="0.25">
      <c r="A18" s="298"/>
      <c r="B18" s="33"/>
      <c r="C18" s="206"/>
      <c r="D18" s="42">
        <f t="shared" si="0"/>
        <v>0</v>
      </c>
      <c r="E18" s="206"/>
      <c r="F18" s="65"/>
      <c r="G18" s="1171"/>
      <c r="H18" s="1171"/>
      <c r="I18" s="1171"/>
      <c r="J18" s="1171"/>
      <c r="K18" s="1171"/>
    </row>
    <row r="19" spans="1:11" ht="15" hidden="1" customHeight="1" x14ac:dyDescent="0.25">
      <c r="A19" s="298">
        <v>427.03</v>
      </c>
      <c r="B19" s="33" t="s">
        <v>1223</v>
      </c>
      <c r="C19" s="42">
        <v>0</v>
      </c>
      <c r="D19" s="42">
        <f t="shared" si="0"/>
        <v>0</v>
      </c>
      <c r="E19" s="206">
        <v>0</v>
      </c>
      <c r="F19" s="65" t="s">
        <v>325</v>
      </c>
      <c r="G19" s="1171"/>
      <c r="H19" s="1171"/>
      <c r="I19" s="1171"/>
      <c r="J19" s="1171"/>
      <c r="K19" s="1171"/>
    </row>
    <row r="20" spans="1:11" ht="15" customHeight="1" x14ac:dyDescent="0.25">
      <c r="A20" s="298">
        <v>427.03</v>
      </c>
      <c r="B20" s="33" t="s">
        <v>1224</v>
      </c>
      <c r="C20" s="937">
        <v>0</v>
      </c>
      <c r="D20" s="807">
        <f t="shared" si="0"/>
        <v>21686.36</v>
      </c>
      <c r="E20" s="937">
        <f>14446.36+7240</f>
        <v>21686.36</v>
      </c>
      <c r="F20" s="65" t="s">
        <v>325</v>
      </c>
      <c r="G20" s="1171"/>
      <c r="H20" s="1171"/>
      <c r="I20" s="1171"/>
      <c r="J20" s="1171"/>
      <c r="K20" s="1171"/>
    </row>
    <row r="21" spans="1:11" ht="15" hidden="1" customHeight="1" x14ac:dyDescent="0.25">
      <c r="A21" s="298">
        <v>427.02</v>
      </c>
      <c r="B21" s="33"/>
      <c r="C21" s="42">
        <v>0</v>
      </c>
      <c r="D21" s="42">
        <f t="shared" si="0"/>
        <v>0</v>
      </c>
      <c r="E21" s="206">
        <v>0</v>
      </c>
      <c r="F21" s="65" t="s">
        <v>325</v>
      </c>
      <c r="G21" s="1171"/>
      <c r="H21" s="1171"/>
      <c r="I21" s="1171"/>
      <c r="J21" s="1171"/>
      <c r="K21" s="1171"/>
    </row>
    <row r="22" spans="1:11" hidden="1" x14ac:dyDescent="0.25">
      <c r="A22" s="298">
        <v>427.03</v>
      </c>
      <c r="B22" s="33"/>
      <c r="C22" s="42">
        <v>0</v>
      </c>
      <c r="D22" s="42">
        <f t="shared" si="0"/>
        <v>0</v>
      </c>
      <c r="E22" s="206">
        <v>0</v>
      </c>
      <c r="F22" s="65" t="s">
        <v>325</v>
      </c>
      <c r="G22" s="1171"/>
      <c r="H22" s="1171"/>
      <c r="I22" s="1171"/>
      <c r="J22" s="1171"/>
      <c r="K22" s="1171"/>
    </row>
    <row r="23" spans="1:11" hidden="1" x14ac:dyDescent="0.25">
      <c r="A23" s="299">
        <v>427.03</v>
      </c>
      <c r="B23" s="205"/>
      <c r="C23" s="42">
        <v>0</v>
      </c>
      <c r="D23" s="42">
        <f t="shared" si="0"/>
        <v>0</v>
      </c>
      <c r="E23" s="206">
        <v>0</v>
      </c>
      <c r="F23" s="230"/>
      <c r="G23" s="1171"/>
      <c r="H23" s="1171"/>
      <c r="I23" s="1171"/>
      <c r="J23" s="1171"/>
      <c r="K23" s="1171"/>
    </row>
    <row r="24" spans="1:11" hidden="1" x14ac:dyDescent="0.25">
      <c r="A24" s="250"/>
      <c r="B24" s="205"/>
      <c r="C24" s="807">
        <v>0</v>
      </c>
      <c r="D24" s="807">
        <f t="shared" si="0"/>
        <v>0</v>
      </c>
      <c r="E24" s="715">
        <v>0</v>
      </c>
      <c r="F24" s="230"/>
      <c r="G24" s="1171"/>
      <c r="H24" s="1171"/>
      <c r="I24" s="1171"/>
      <c r="J24" s="1171"/>
      <c r="K24" s="1171"/>
    </row>
    <row r="25" spans="1:11" ht="13.8" thickBot="1" x14ac:dyDescent="0.3">
      <c r="A25" s="205"/>
      <c r="B25" s="33" t="s">
        <v>341</v>
      </c>
      <c r="C25" s="42">
        <f>SUM(C9:C24)</f>
        <v>1206298.6100000001</v>
      </c>
      <c r="D25" s="817">
        <f>SUM(D9:D24)</f>
        <v>-56817.420000000027</v>
      </c>
      <c r="E25" s="42">
        <f>SUM(E9:E24)</f>
        <v>1149481.19</v>
      </c>
      <c r="F25" s="207"/>
      <c r="G25" s="1171"/>
      <c r="H25" s="1171"/>
      <c r="I25" s="1171"/>
      <c r="J25" s="1171"/>
      <c r="K25" s="1171"/>
    </row>
    <row r="26" spans="1:11" ht="13.8" thickTop="1" x14ac:dyDescent="0.25">
      <c r="A26" s="205"/>
      <c r="B26" s="205"/>
      <c r="C26" s="205"/>
      <c r="D26" s="251"/>
      <c r="E26" s="218"/>
      <c r="F26" s="207"/>
    </row>
    <row r="27" spans="1:11" x14ac:dyDescent="0.25">
      <c r="A27" s="205"/>
      <c r="B27" s="205"/>
      <c r="C27" s="60" t="s">
        <v>114</v>
      </c>
      <c r="D27" s="60" t="s">
        <v>342</v>
      </c>
      <c r="E27" s="60" t="str">
        <f>+E6</f>
        <v>11/1/22-10/31/23</v>
      </c>
      <c r="F27" s="207"/>
    </row>
    <row r="28" spans="1:11" ht="15.6" x14ac:dyDescent="0.3">
      <c r="A28" s="59" t="s">
        <v>236</v>
      </c>
      <c r="B28" s="59" t="s">
        <v>193</v>
      </c>
      <c r="C28" s="61" t="str">
        <f>+C7</f>
        <v>7/1/21 - 6/30/22</v>
      </c>
      <c r="D28" s="61" t="s">
        <v>343</v>
      </c>
      <c r="E28" s="61" t="str">
        <f>+E7</f>
        <v>ADJ Rate Year</v>
      </c>
      <c r="F28" s="78" t="s">
        <v>216</v>
      </c>
    </row>
    <row r="29" spans="1:11" x14ac:dyDescent="0.25">
      <c r="A29" s="299">
        <v>431.01</v>
      </c>
      <c r="B29" s="33" t="s">
        <v>867</v>
      </c>
      <c r="C29" s="42">
        <f>'Trial Balance'!C217</f>
        <v>0</v>
      </c>
      <c r="D29" s="42">
        <f>E29-C29</f>
        <v>0</v>
      </c>
      <c r="E29" s="42">
        <f>+C29</f>
        <v>0</v>
      </c>
      <c r="F29" s="636"/>
    </row>
    <row r="30" spans="1:11" x14ac:dyDescent="0.25">
      <c r="A30" s="299">
        <v>431.03</v>
      </c>
      <c r="B30" s="33" t="s">
        <v>623</v>
      </c>
      <c r="C30" s="42">
        <f>'Trial Balance'!C218</f>
        <v>4405.8999999999996</v>
      </c>
      <c r="D30" s="42">
        <f>E30-C30</f>
        <v>0</v>
      </c>
      <c r="E30" s="42">
        <f>+C30</f>
        <v>4405.8999999999996</v>
      </c>
      <c r="F30" s="636"/>
    </row>
    <row r="31" spans="1:11" x14ac:dyDescent="0.25">
      <c r="A31" s="62"/>
      <c r="B31" s="33"/>
      <c r="C31" s="382"/>
      <c r="D31" s="206"/>
      <c r="E31" s="251"/>
    </row>
    <row r="32" spans="1:11" x14ac:dyDescent="0.25">
      <c r="A32" s="33"/>
      <c r="B32" s="33"/>
      <c r="C32" s="205"/>
      <c r="D32" s="206"/>
      <c r="E32" s="205"/>
    </row>
    <row r="33" spans="1:6" x14ac:dyDescent="0.25">
      <c r="A33" s="33"/>
      <c r="B33" s="33"/>
      <c r="C33" s="205"/>
      <c r="D33" s="206"/>
      <c r="E33" s="251"/>
    </row>
    <row r="34" spans="1:6" x14ac:dyDescent="0.25">
      <c r="A34" s="33"/>
      <c r="B34" s="33"/>
      <c r="C34" s="33"/>
      <c r="D34" s="42"/>
      <c r="E34" s="33"/>
    </row>
    <row r="35" spans="1:6" x14ac:dyDescent="0.25">
      <c r="A35" s="33"/>
      <c r="B35" s="33"/>
      <c r="C35" s="33"/>
      <c r="D35" s="33"/>
      <c r="E35" s="53"/>
    </row>
    <row r="36" spans="1:6" x14ac:dyDescent="0.25">
      <c r="A36" s="33"/>
      <c r="B36" s="33"/>
      <c r="C36" s="52"/>
      <c r="D36" s="52"/>
      <c r="E36" s="52"/>
    </row>
    <row r="37" spans="1:6" x14ac:dyDescent="0.25">
      <c r="A37" s="33"/>
      <c r="B37" s="33"/>
      <c r="C37" s="51"/>
      <c r="D37" s="51"/>
      <c r="E37" s="51"/>
    </row>
    <row r="38" spans="1:6" x14ac:dyDescent="0.25">
      <c r="A38" s="54"/>
      <c r="B38" s="54"/>
      <c r="C38" s="55"/>
      <c r="D38" s="56"/>
      <c r="E38" s="56"/>
      <c r="F38" s="56"/>
    </row>
    <row r="39" spans="1:6" x14ac:dyDescent="0.25">
      <c r="A39" s="54"/>
      <c r="B39" s="54"/>
      <c r="C39" s="56"/>
      <c r="D39" s="55"/>
      <c r="E39" s="55"/>
      <c r="F39" s="55"/>
    </row>
    <row r="40" spans="1:6" x14ac:dyDescent="0.25">
      <c r="A40" s="54"/>
      <c r="B40" s="57"/>
      <c r="D40" s="56"/>
      <c r="E40" s="56"/>
      <c r="F40" s="56"/>
    </row>
    <row r="41" spans="1:6" x14ac:dyDescent="0.25">
      <c r="F41" s="38"/>
    </row>
    <row r="42" spans="1:6" x14ac:dyDescent="0.25">
      <c r="F42" s="38"/>
    </row>
    <row r="43" spans="1:6" x14ac:dyDescent="0.25">
      <c r="F43" s="38"/>
    </row>
    <row r="44" spans="1:6" x14ac:dyDescent="0.25">
      <c r="F44" s="38"/>
    </row>
    <row r="45" spans="1:6" x14ac:dyDescent="0.25">
      <c r="F45" s="38"/>
    </row>
    <row r="46" spans="1:6" x14ac:dyDescent="0.25">
      <c r="F46" s="38"/>
    </row>
    <row r="47" spans="1:6" x14ac:dyDescent="0.25">
      <c r="F47" s="38"/>
    </row>
    <row r="48" spans="1:6" x14ac:dyDescent="0.25">
      <c r="F48" s="38"/>
    </row>
    <row r="49" spans="6:6" x14ac:dyDescent="0.25">
      <c r="F49" s="38"/>
    </row>
    <row r="50" spans="6:6" x14ac:dyDescent="0.25">
      <c r="F50" s="38"/>
    </row>
    <row r="51" spans="6:6" x14ac:dyDescent="0.25">
      <c r="F51" s="38"/>
    </row>
    <row r="52" spans="6:6" x14ac:dyDescent="0.25">
      <c r="F52" s="38"/>
    </row>
    <row r="53" spans="6:6" x14ac:dyDescent="0.25">
      <c r="F53" s="38"/>
    </row>
    <row r="54" spans="6:6" x14ac:dyDescent="0.25">
      <c r="F54" s="38"/>
    </row>
    <row r="55" spans="6:6" x14ac:dyDescent="0.25">
      <c r="F55" s="38"/>
    </row>
    <row r="56" spans="6:6" x14ac:dyDescent="0.25">
      <c r="F56" s="38"/>
    </row>
    <row r="57" spans="6:6" x14ac:dyDescent="0.25">
      <c r="F57" s="38"/>
    </row>
    <row r="58" spans="6:6" x14ac:dyDescent="0.25">
      <c r="F58" s="38"/>
    </row>
    <row r="59" spans="6:6" x14ac:dyDescent="0.25">
      <c r="F59" s="38"/>
    </row>
    <row r="60" spans="6:6" x14ac:dyDescent="0.25">
      <c r="F60" s="38"/>
    </row>
    <row r="61" spans="6:6" x14ac:dyDescent="0.25">
      <c r="F61" s="38"/>
    </row>
    <row r="62" spans="6:6" x14ac:dyDescent="0.25">
      <c r="F62" s="38"/>
    </row>
    <row r="63" spans="6:6" x14ac:dyDescent="0.25">
      <c r="F63" s="38"/>
    </row>
    <row r="64" spans="6:6" x14ac:dyDescent="0.25">
      <c r="F64" s="38"/>
    </row>
    <row r="65" spans="6:6" x14ac:dyDescent="0.25">
      <c r="F65" s="38"/>
    </row>
    <row r="66" spans="6:6" x14ac:dyDescent="0.25">
      <c r="F66" s="38"/>
    </row>
    <row r="67" spans="6:6" x14ac:dyDescent="0.25">
      <c r="F67" s="38"/>
    </row>
    <row r="68" spans="6:6" x14ac:dyDescent="0.25">
      <c r="F68" s="38"/>
    </row>
    <row r="69" spans="6:6" x14ac:dyDescent="0.25">
      <c r="F69" s="38"/>
    </row>
    <row r="70" spans="6:6" x14ac:dyDescent="0.25">
      <c r="F70" s="38"/>
    </row>
    <row r="71" spans="6:6" x14ac:dyDescent="0.25">
      <c r="F71" s="38"/>
    </row>
    <row r="72" spans="6:6" x14ac:dyDescent="0.25">
      <c r="F72" s="38"/>
    </row>
    <row r="73" spans="6:6" x14ac:dyDescent="0.25">
      <c r="F73" s="38"/>
    </row>
    <row r="74" spans="6:6" x14ac:dyDescent="0.25">
      <c r="F74" s="38"/>
    </row>
    <row r="75" spans="6:6" x14ac:dyDescent="0.25">
      <c r="F75" s="38"/>
    </row>
    <row r="76" spans="6:6" x14ac:dyDescent="0.25">
      <c r="F76" s="38"/>
    </row>
    <row r="77" spans="6:6" x14ac:dyDescent="0.25">
      <c r="F77" s="38"/>
    </row>
    <row r="78" spans="6:6" x14ac:dyDescent="0.25">
      <c r="F78" s="38"/>
    </row>
    <row r="79" spans="6:6" x14ac:dyDescent="0.25">
      <c r="F79" s="38"/>
    </row>
    <row r="80" spans="6:6" x14ac:dyDescent="0.25">
      <c r="F80" s="38"/>
    </row>
    <row r="81" spans="6:6" x14ac:dyDescent="0.25">
      <c r="F81" s="38"/>
    </row>
    <row r="82" spans="6:6" x14ac:dyDescent="0.25">
      <c r="F82" s="38"/>
    </row>
    <row r="83" spans="6:6" x14ac:dyDescent="0.25">
      <c r="F83" s="38"/>
    </row>
    <row r="84" spans="6:6" x14ac:dyDescent="0.25">
      <c r="F84" s="38"/>
    </row>
    <row r="85" spans="6:6" x14ac:dyDescent="0.25">
      <c r="F85" s="38"/>
    </row>
    <row r="86" spans="6:6" x14ac:dyDescent="0.25">
      <c r="F86" s="38"/>
    </row>
    <row r="87" spans="6:6" x14ac:dyDescent="0.25">
      <c r="F87" s="38"/>
    </row>
    <row r="88" spans="6:6" x14ac:dyDescent="0.25">
      <c r="F88" s="38"/>
    </row>
    <row r="89" spans="6:6" x14ac:dyDescent="0.25">
      <c r="F89" s="38"/>
    </row>
    <row r="90" spans="6:6" x14ac:dyDescent="0.25">
      <c r="F90" s="38"/>
    </row>
    <row r="91" spans="6:6" x14ac:dyDescent="0.25">
      <c r="F91" s="38"/>
    </row>
    <row r="92" spans="6:6" x14ac:dyDescent="0.25">
      <c r="F92" s="38"/>
    </row>
    <row r="93" spans="6:6" x14ac:dyDescent="0.25">
      <c r="F93" s="38"/>
    </row>
    <row r="94" spans="6:6" x14ac:dyDescent="0.25">
      <c r="F94" s="38"/>
    </row>
    <row r="95" spans="6:6" x14ac:dyDescent="0.25">
      <c r="F95" s="38"/>
    </row>
    <row r="96" spans="6:6" x14ac:dyDescent="0.25">
      <c r="F96" s="38"/>
    </row>
    <row r="97" spans="6:6" x14ac:dyDescent="0.25">
      <c r="F97" s="38"/>
    </row>
    <row r="98" spans="6:6" x14ac:dyDescent="0.25">
      <c r="F98" s="38"/>
    </row>
    <row r="99" spans="6:6" x14ac:dyDescent="0.25">
      <c r="F99" s="38"/>
    </row>
    <row r="100" spans="6:6" x14ac:dyDescent="0.25">
      <c r="F100" s="38"/>
    </row>
    <row r="101" spans="6:6" x14ac:dyDescent="0.25">
      <c r="F101" s="38"/>
    </row>
    <row r="102" spans="6:6" x14ac:dyDescent="0.25">
      <c r="F102" s="38"/>
    </row>
    <row r="103" spans="6:6" x14ac:dyDescent="0.25">
      <c r="F103" s="38"/>
    </row>
    <row r="104" spans="6:6" x14ac:dyDescent="0.25">
      <c r="F104" s="38"/>
    </row>
    <row r="105" spans="6:6" x14ac:dyDescent="0.25">
      <c r="F105" s="38"/>
    </row>
    <row r="106" spans="6:6" x14ac:dyDescent="0.25">
      <c r="F106" s="38"/>
    </row>
    <row r="107" spans="6:6" x14ac:dyDescent="0.25">
      <c r="F107" s="38"/>
    </row>
    <row r="108" spans="6:6" x14ac:dyDescent="0.25">
      <c r="F108" s="38"/>
    </row>
    <row r="109" spans="6:6" x14ac:dyDescent="0.25">
      <c r="F109" s="38"/>
    </row>
    <row r="110" spans="6:6" x14ac:dyDescent="0.25">
      <c r="F110" s="38"/>
    </row>
    <row r="111" spans="6:6" x14ac:dyDescent="0.25">
      <c r="F111" s="38"/>
    </row>
    <row r="112" spans="6:6" x14ac:dyDescent="0.25">
      <c r="F112" s="38"/>
    </row>
    <row r="113" spans="6:6" x14ac:dyDescent="0.25">
      <c r="F113" s="38"/>
    </row>
    <row r="114" spans="6:6" x14ac:dyDescent="0.25">
      <c r="F114" s="38"/>
    </row>
    <row r="115" spans="6:6" x14ac:dyDescent="0.25">
      <c r="F115" s="38"/>
    </row>
    <row r="116" spans="6:6" x14ac:dyDescent="0.25">
      <c r="F116" s="38"/>
    </row>
    <row r="117" spans="6:6" x14ac:dyDescent="0.25">
      <c r="F117" s="38"/>
    </row>
    <row r="118" spans="6:6" x14ac:dyDescent="0.25">
      <c r="F118" s="38"/>
    </row>
    <row r="119" spans="6:6" x14ac:dyDescent="0.25">
      <c r="F119" s="38"/>
    </row>
    <row r="120" spans="6:6" x14ac:dyDescent="0.25">
      <c r="F120" s="38"/>
    </row>
    <row r="121" spans="6:6" x14ac:dyDescent="0.25">
      <c r="F121" s="38"/>
    </row>
    <row r="122" spans="6:6" x14ac:dyDescent="0.25">
      <c r="F122" s="38"/>
    </row>
    <row r="123" spans="6:6" x14ac:dyDescent="0.25">
      <c r="F123" s="38"/>
    </row>
    <row r="124" spans="6:6" x14ac:dyDescent="0.25">
      <c r="F124" s="38"/>
    </row>
    <row r="125" spans="6:6" x14ac:dyDescent="0.25">
      <c r="F125" s="38"/>
    </row>
    <row r="126" spans="6:6" x14ac:dyDescent="0.25">
      <c r="F126" s="38"/>
    </row>
    <row r="127" spans="6:6" x14ac:dyDescent="0.25">
      <c r="F127" s="38"/>
    </row>
    <row r="128" spans="6:6" x14ac:dyDescent="0.25">
      <c r="F128" s="38"/>
    </row>
    <row r="129" spans="6:6" x14ac:dyDescent="0.25">
      <c r="F129" s="38"/>
    </row>
    <row r="130" spans="6:6" x14ac:dyDescent="0.25">
      <c r="F130" s="38"/>
    </row>
    <row r="131" spans="6:6" x14ac:dyDescent="0.25">
      <c r="F131" s="38"/>
    </row>
    <row r="132" spans="6:6" x14ac:dyDescent="0.25">
      <c r="F132" s="38"/>
    </row>
    <row r="133" spans="6:6" x14ac:dyDescent="0.25">
      <c r="F133" s="38"/>
    </row>
    <row r="134" spans="6:6" x14ac:dyDescent="0.25">
      <c r="F134" s="38"/>
    </row>
    <row r="135" spans="6:6" x14ac:dyDescent="0.25">
      <c r="F135" s="38"/>
    </row>
    <row r="136" spans="6:6" x14ac:dyDescent="0.25">
      <c r="F136" s="38"/>
    </row>
    <row r="137" spans="6:6" x14ac:dyDescent="0.25">
      <c r="F137" s="38"/>
    </row>
    <row r="138" spans="6:6" x14ac:dyDescent="0.25">
      <c r="F138" s="38"/>
    </row>
    <row r="139" spans="6:6" x14ac:dyDescent="0.25">
      <c r="F139" s="38"/>
    </row>
    <row r="140" spans="6:6" x14ac:dyDescent="0.25">
      <c r="F140" s="38"/>
    </row>
    <row r="141" spans="6:6" x14ac:dyDescent="0.25">
      <c r="F141" s="38"/>
    </row>
    <row r="142" spans="6:6" x14ac:dyDescent="0.25">
      <c r="F142" s="38"/>
    </row>
    <row r="143" spans="6:6" x14ac:dyDescent="0.25">
      <c r="F143" s="38"/>
    </row>
    <row r="144" spans="6:6" x14ac:dyDescent="0.25">
      <c r="F144" s="38"/>
    </row>
    <row r="145" spans="6:6" x14ac:dyDescent="0.25">
      <c r="F145" s="38"/>
    </row>
    <row r="146" spans="6:6" x14ac:dyDescent="0.25">
      <c r="F146" s="38"/>
    </row>
    <row r="147" spans="6:6" x14ac:dyDescent="0.25">
      <c r="F147" s="38"/>
    </row>
    <row r="148" spans="6:6" x14ac:dyDescent="0.25">
      <c r="F148" s="38"/>
    </row>
    <row r="149" spans="6:6" x14ac:dyDescent="0.25">
      <c r="F149" s="38"/>
    </row>
    <row r="150" spans="6:6" x14ac:dyDescent="0.25">
      <c r="F150" s="38"/>
    </row>
    <row r="151" spans="6:6" x14ac:dyDescent="0.25">
      <c r="F151" s="38"/>
    </row>
    <row r="152" spans="6:6" x14ac:dyDescent="0.25">
      <c r="F152" s="38"/>
    </row>
    <row r="153" spans="6:6" x14ac:dyDescent="0.25">
      <c r="F153" s="38"/>
    </row>
    <row r="154" spans="6:6" x14ac:dyDescent="0.25">
      <c r="F154" s="38"/>
    </row>
    <row r="155" spans="6:6" x14ac:dyDescent="0.25">
      <c r="F155" s="38"/>
    </row>
    <row r="156" spans="6:6" x14ac:dyDescent="0.25">
      <c r="F156" s="38"/>
    </row>
    <row r="157" spans="6:6" x14ac:dyDescent="0.25">
      <c r="F157" s="38"/>
    </row>
    <row r="158" spans="6:6" x14ac:dyDescent="0.25">
      <c r="F158" s="38"/>
    </row>
    <row r="159" spans="6:6" x14ac:dyDescent="0.25">
      <c r="F159" s="38"/>
    </row>
    <row r="160" spans="6:6" x14ac:dyDescent="0.25">
      <c r="F160" s="38"/>
    </row>
    <row r="161" spans="6:6" x14ac:dyDescent="0.25">
      <c r="F161" s="38"/>
    </row>
    <row r="162" spans="6:6" x14ac:dyDescent="0.25">
      <c r="F162" s="38"/>
    </row>
    <row r="163" spans="6:6" x14ac:dyDescent="0.25">
      <c r="F163" s="38"/>
    </row>
    <row r="164" spans="6:6" x14ac:dyDescent="0.25">
      <c r="F164" s="38"/>
    </row>
    <row r="165" spans="6:6" x14ac:dyDescent="0.25">
      <c r="F165" s="38"/>
    </row>
    <row r="166" spans="6:6" x14ac:dyDescent="0.25">
      <c r="F166" s="38"/>
    </row>
    <row r="167" spans="6:6" x14ac:dyDescent="0.25">
      <c r="F167" s="38"/>
    </row>
    <row r="168" spans="6:6" x14ac:dyDescent="0.25">
      <c r="F168" s="38"/>
    </row>
    <row r="169" spans="6:6" x14ac:dyDescent="0.25">
      <c r="F169" s="38"/>
    </row>
    <row r="170" spans="6:6" x14ac:dyDescent="0.25">
      <c r="F170" s="38"/>
    </row>
    <row r="171" spans="6:6" x14ac:dyDescent="0.25">
      <c r="F171" s="38"/>
    </row>
    <row r="172" spans="6:6" x14ac:dyDescent="0.25">
      <c r="F172" s="38"/>
    </row>
    <row r="173" spans="6:6" x14ac:dyDescent="0.25">
      <c r="F173" s="38"/>
    </row>
    <row r="174" spans="6:6" x14ac:dyDescent="0.25">
      <c r="F174" s="38"/>
    </row>
    <row r="175" spans="6:6" x14ac:dyDescent="0.25">
      <c r="F175" s="38"/>
    </row>
    <row r="176" spans="6:6" x14ac:dyDescent="0.25">
      <c r="F176" s="38"/>
    </row>
    <row r="177" spans="6:6" x14ac:dyDescent="0.25">
      <c r="F177" s="38"/>
    </row>
    <row r="178" spans="6:6" x14ac:dyDescent="0.25">
      <c r="F178" s="38"/>
    </row>
    <row r="179" spans="6:6" x14ac:dyDescent="0.25">
      <c r="F179" s="38"/>
    </row>
    <row r="180" spans="6:6" x14ac:dyDescent="0.25">
      <c r="F180" s="38"/>
    </row>
    <row r="181" spans="6:6" x14ac:dyDescent="0.25">
      <c r="F181" s="38"/>
    </row>
    <row r="182" spans="6:6" x14ac:dyDescent="0.25">
      <c r="F182" s="38"/>
    </row>
    <row r="183" spans="6:6" x14ac:dyDescent="0.25">
      <c r="F183" s="38"/>
    </row>
    <row r="184" spans="6:6" x14ac:dyDescent="0.25">
      <c r="F184" s="38"/>
    </row>
    <row r="185" spans="6:6" x14ac:dyDescent="0.25">
      <c r="F185" s="38"/>
    </row>
    <row r="186" spans="6:6" x14ac:dyDescent="0.25">
      <c r="F186" s="38"/>
    </row>
    <row r="187" spans="6:6" x14ac:dyDescent="0.25">
      <c r="F187" s="38"/>
    </row>
    <row r="188" spans="6:6" x14ac:dyDescent="0.25">
      <c r="F188" s="38"/>
    </row>
    <row r="189" spans="6:6" x14ac:dyDescent="0.25">
      <c r="F189" s="38"/>
    </row>
    <row r="190" spans="6:6" x14ac:dyDescent="0.25">
      <c r="F190" s="38"/>
    </row>
    <row r="191" spans="6:6" x14ac:dyDescent="0.25">
      <c r="F191" s="38"/>
    </row>
    <row r="192" spans="6:6" x14ac:dyDescent="0.25">
      <c r="F192" s="38"/>
    </row>
    <row r="193" spans="6:6" x14ac:dyDescent="0.25">
      <c r="F193" s="38"/>
    </row>
    <row r="194" spans="6:6" x14ac:dyDescent="0.25">
      <c r="F194" s="38"/>
    </row>
    <row r="195" spans="6:6" x14ac:dyDescent="0.25">
      <c r="F195" s="38"/>
    </row>
    <row r="196" spans="6:6" x14ac:dyDescent="0.25">
      <c r="F196" s="38"/>
    </row>
    <row r="197" spans="6:6" x14ac:dyDescent="0.25">
      <c r="F197" s="38"/>
    </row>
    <row r="198" spans="6:6" x14ac:dyDescent="0.25">
      <c r="F198" s="38"/>
    </row>
    <row r="199" spans="6:6" x14ac:dyDescent="0.25">
      <c r="F199" s="38"/>
    </row>
    <row r="200" spans="6:6" x14ac:dyDescent="0.25">
      <c r="F200" s="38"/>
    </row>
    <row r="201" spans="6:6" x14ac:dyDescent="0.25">
      <c r="F201" s="38"/>
    </row>
    <row r="202" spans="6:6" x14ac:dyDescent="0.25">
      <c r="F202" s="38"/>
    </row>
    <row r="203" spans="6:6" x14ac:dyDescent="0.25">
      <c r="F203" s="38"/>
    </row>
    <row r="204" spans="6:6" x14ac:dyDescent="0.25">
      <c r="F204" s="38"/>
    </row>
    <row r="205" spans="6:6" x14ac:dyDescent="0.25">
      <c r="F205" s="38"/>
    </row>
    <row r="206" spans="6:6" x14ac:dyDescent="0.25">
      <c r="F206" s="38"/>
    </row>
    <row r="207" spans="6:6" x14ac:dyDescent="0.25">
      <c r="F207" s="38"/>
    </row>
    <row r="208" spans="6:6" x14ac:dyDescent="0.25">
      <c r="F208" s="38"/>
    </row>
    <row r="209" spans="6:6" x14ac:dyDescent="0.25">
      <c r="F209" s="38"/>
    </row>
    <row r="210" spans="6:6" x14ac:dyDescent="0.25">
      <c r="F210" s="38"/>
    </row>
    <row r="211" spans="6:6" x14ac:dyDescent="0.25">
      <c r="F211" s="38"/>
    </row>
    <row r="212" spans="6:6" x14ac:dyDescent="0.25">
      <c r="F212" s="38"/>
    </row>
    <row r="213" spans="6:6" x14ac:dyDescent="0.25">
      <c r="F213" s="38"/>
    </row>
    <row r="214" spans="6:6" x14ac:dyDescent="0.25">
      <c r="F214" s="38"/>
    </row>
    <row r="215" spans="6:6" x14ac:dyDescent="0.25">
      <c r="F215" s="38"/>
    </row>
    <row r="216" spans="6:6" x14ac:dyDescent="0.25">
      <c r="F216" s="38"/>
    </row>
    <row r="217" spans="6:6" x14ac:dyDescent="0.25">
      <c r="F217" s="38"/>
    </row>
    <row r="218" spans="6:6" x14ac:dyDescent="0.25">
      <c r="F218" s="38"/>
    </row>
    <row r="219" spans="6:6" x14ac:dyDescent="0.25">
      <c r="F219" s="38"/>
    </row>
    <row r="220" spans="6:6" x14ac:dyDescent="0.25">
      <c r="F220" s="38"/>
    </row>
    <row r="221" spans="6:6" x14ac:dyDescent="0.25">
      <c r="F221" s="38"/>
    </row>
    <row r="222" spans="6:6" x14ac:dyDescent="0.25">
      <c r="F222" s="38"/>
    </row>
    <row r="223" spans="6:6" x14ac:dyDescent="0.25">
      <c r="F223" s="38"/>
    </row>
    <row r="224" spans="6:6" x14ac:dyDescent="0.25">
      <c r="F224" s="38"/>
    </row>
    <row r="225" spans="6:6" x14ac:dyDescent="0.25">
      <c r="F225" s="38"/>
    </row>
    <row r="226" spans="6:6" x14ac:dyDescent="0.25">
      <c r="F226" s="38"/>
    </row>
    <row r="227" spans="6:6" x14ac:dyDescent="0.25">
      <c r="F227" s="38"/>
    </row>
    <row r="228" spans="6:6" x14ac:dyDescent="0.25">
      <c r="F228" s="38"/>
    </row>
    <row r="229" spans="6:6" x14ac:dyDescent="0.25">
      <c r="F229" s="38"/>
    </row>
    <row r="230" spans="6:6" x14ac:dyDescent="0.25">
      <c r="F230" s="38"/>
    </row>
    <row r="231" spans="6:6" x14ac:dyDescent="0.25">
      <c r="F231" s="38"/>
    </row>
    <row r="232" spans="6:6" x14ac:dyDescent="0.25">
      <c r="F232" s="38"/>
    </row>
    <row r="233" spans="6:6" x14ac:dyDescent="0.25">
      <c r="F233" s="38"/>
    </row>
    <row r="234" spans="6:6" x14ac:dyDescent="0.25">
      <c r="F234" s="38"/>
    </row>
    <row r="235" spans="6:6" x14ac:dyDescent="0.25">
      <c r="F235" s="38"/>
    </row>
    <row r="236" spans="6:6" x14ac:dyDescent="0.25">
      <c r="F236" s="38"/>
    </row>
    <row r="237" spans="6:6" x14ac:dyDescent="0.25">
      <c r="F237" s="38"/>
    </row>
    <row r="238" spans="6:6" x14ac:dyDescent="0.25">
      <c r="F238" s="38"/>
    </row>
    <row r="239" spans="6:6" x14ac:dyDescent="0.25">
      <c r="F239" s="38"/>
    </row>
    <row r="240" spans="6:6" x14ac:dyDescent="0.25">
      <c r="F240" s="38"/>
    </row>
    <row r="241" spans="6:6" x14ac:dyDescent="0.25">
      <c r="F241" s="38"/>
    </row>
    <row r="242" spans="6:6" x14ac:dyDescent="0.25">
      <c r="F242" s="38"/>
    </row>
    <row r="243" spans="6:6" x14ac:dyDescent="0.25">
      <c r="F243" s="38"/>
    </row>
    <row r="244" spans="6:6" x14ac:dyDescent="0.25">
      <c r="F244" s="38"/>
    </row>
    <row r="245" spans="6:6" x14ac:dyDescent="0.25">
      <c r="F245" s="38"/>
    </row>
    <row r="246" spans="6:6" x14ac:dyDescent="0.25">
      <c r="F246" s="38"/>
    </row>
    <row r="247" spans="6:6" x14ac:dyDescent="0.25">
      <c r="F247" s="38"/>
    </row>
    <row r="248" spans="6:6" x14ac:dyDescent="0.25">
      <c r="F248" s="38"/>
    </row>
    <row r="249" spans="6:6" x14ac:dyDescent="0.25">
      <c r="F249" s="38"/>
    </row>
    <row r="250" spans="6:6" x14ac:dyDescent="0.25">
      <c r="F250" s="38"/>
    </row>
    <row r="251" spans="6:6" x14ac:dyDescent="0.25">
      <c r="F251" s="38"/>
    </row>
    <row r="252" spans="6:6" x14ac:dyDescent="0.25">
      <c r="F252" s="38"/>
    </row>
    <row r="253" spans="6:6" x14ac:dyDescent="0.25">
      <c r="F253" s="38"/>
    </row>
    <row r="254" spans="6:6" x14ac:dyDescent="0.25">
      <c r="F254" s="38"/>
    </row>
    <row r="255" spans="6:6" x14ac:dyDescent="0.25">
      <c r="F255" s="38"/>
    </row>
    <row r="256" spans="6:6" x14ac:dyDescent="0.25">
      <c r="F256" s="38"/>
    </row>
    <row r="257" spans="6:6" x14ac:dyDescent="0.25">
      <c r="F257" s="38"/>
    </row>
    <row r="258" spans="6:6" x14ac:dyDescent="0.25">
      <c r="F258" s="38"/>
    </row>
    <row r="259" spans="6:6" x14ac:dyDescent="0.25">
      <c r="F259" s="38"/>
    </row>
    <row r="260" spans="6:6" x14ac:dyDescent="0.25">
      <c r="F260" s="38"/>
    </row>
    <row r="261" spans="6:6" x14ac:dyDescent="0.25">
      <c r="F261" s="38"/>
    </row>
    <row r="262" spans="6:6" x14ac:dyDescent="0.25">
      <c r="F262" s="38"/>
    </row>
    <row r="263" spans="6:6" x14ac:dyDescent="0.25">
      <c r="F263" s="38"/>
    </row>
    <row r="264" spans="6:6" x14ac:dyDescent="0.25">
      <c r="F264" s="38"/>
    </row>
    <row r="265" spans="6:6" x14ac:dyDescent="0.25">
      <c r="F265" s="38"/>
    </row>
    <row r="266" spans="6:6" x14ac:dyDescent="0.25">
      <c r="F266" s="38"/>
    </row>
    <row r="267" spans="6:6" x14ac:dyDescent="0.25">
      <c r="F267" s="38"/>
    </row>
    <row r="268" spans="6:6" x14ac:dyDescent="0.25">
      <c r="F268" s="38"/>
    </row>
    <row r="269" spans="6:6" x14ac:dyDescent="0.25">
      <c r="F269" s="38"/>
    </row>
    <row r="270" spans="6:6" x14ac:dyDescent="0.25">
      <c r="F270" s="38"/>
    </row>
    <row r="271" spans="6:6" x14ac:dyDescent="0.25">
      <c r="F271" s="38"/>
    </row>
    <row r="272" spans="6:6" x14ac:dyDescent="0.25">
      <c r="F272" s="38"/>
    </row>
    <row r="273" spans="6:6" x14ac:dyDescent="0.25">
      <c r="F273" s="38"/>
    </row>
    <row r="274" spans="6:6" x14ac:dyDescent="0.25">
      <c r="F274" s="38"/>
    </row>
    <row r="275" spans="6:6" x14ac:dyDescent="0.25">
      <c r="F275" s="38"/>
    </row>
    <row r="276" spans="6:6" x14ac:dyDescent="0.25">
      <c r="F276" s="38"/>
    </row>
    <row r="277" spans="6:6" x14ac:dyDescent="0.25">
      <c r="F277" s="38"/>
    </row>
    <row r="278" spans="6:6" x14ac:dyDescent="0.25">
      <c r="F278" s="38"/>
    </row>
    <row r="279" spans="6:6" x14ac:dyDescent="0.25">
      <c r="F279" s="38"/>
    </row>
    <row r="280" spans="6:6" x14ac:dyDescent="0.25">
      <c r="F280" s="38"/>
    </row>
    <row r="281" spans="6:6" x14ac:dyDescent="0.25">
      <c r="F281" s="38"/>
    </row>
    <row r="282" spans="6:6" x14ac:dyDescent="0.25">
      <c r="F282" s="38"/>
    </row>
    <row r="283" spans="6:6" x14ac:dyDescent="0.25">
      <c r="F283" s="38"/>
    </row>
    <row r="284" spans="6:6" x14ac:dyDescent="0.25">
      <c r="F284" s="38"/>
    </row>
    <row r="285" spans="6:6" x14ac:dyDescent="0.25">
      <c r="F285" s="38"/>
    </row>
    <row r="286" spans="6:6" x14ac:dyDescent="0.25">
      <c r="F286" s="38"/>
    </row>
    <row r="287" spans="6:6" x14ac:dyDescent="0.25">
      <c r="F287" s="38"/>
    </row>
    <row r="288" spans="6:6" x14ac:dyDescent="0.25">
      <c r="F288" s="38"/>
    </row>
    <row r="289" spans="6:6" x14ac:dyDescent="0.25">
      <c r="F289" s="38"/>
    </row>
    <row r="290" spans="6:6" x14ac:dyDescent="0.25">
      <c r="F290" s="38"/>
    </row>
    <row r="291" spans="6:6" x14ac:dyDescent="0.25">
      <c r="F291" s="38"/>
    </row>
    <row r="292" spans="6:6" x14ac:dyDescent="0.25">
      <c r="F292" s="38"/>
    </row>
    <row r="293" spans="6:6" x14ac:dyDescent="0.25">
      <c r="F293" s="38"/>
    </row>
    <row r="294" spans="6:6" x14ac:dyDescent="0.25">
      <c r="F294" s="38"/>
    </row>
    <row r="295" spans="6:6" x14ac:dyDescent="0.25">
      <c r="F295" s="38"/>
    </row>
    <row r="296" spans="6:6" x14ac:dyDescent="0.25">
      <c r="F296" s="38"/>
    </row>
    <row r="297" spans="6:6" x14ac:dyDescent="0.25">
      <c r="F297" s="38"/>
    </row>
    <row r="298" spans="6:6" x14ac:dyDescent="0.25">
      <c r="F298" s="38"/>
    </row>
    <row r="299" spans="6:6" x14ac:dyDescent="0.25">
      <c r="F299" s="38"/>
    </row>
    <row r="300" spans="6:6" x14ac:dyDescent="0.25">
      <c r="F300" s="38"/>
    </row>
    <row r="301" spans="6:6" x14ac:dyDescent="0.25">
      <c r="F301" s="38"/>
    </row>
    <row r="302" spans="6:6" x14ac:dyDescent="0.25">
      <c r="F302" s="38"/>
    </row>
    <row r="303" spans="6:6" x14ac:dyDescent="0.25">
      <c r="F303" s="38"/>
    </row>
    <row r="304" spans="6:6" x14ac:dyDescent="0.25">
      <c r="F304" s="38"/>
    </row>
    <row r="305" spans="6:6" x14ac:dyDescent="0.25">
      <c r="F305" s="38"/>
    </row>
    <row r="306" spans="6:6" x14ac:dyDescent="0.25">
      <c r="F306" s="38"/>
    </row>
    <row r="307" spans="6:6" x14ac:dyDescent="0.25">
      <c r="F307" s="38"/>
    </row>
    <row r="308" spans="6:6" x14ac:dyDescent="0.25">
      <c r="F308" s="38"/>
    </row>
    <row r="309" spans="6:6" x14ac:dyDescent="0.25">
      <c r="F309" s="38"/>
    </row>
    <row r="310" spans="6:6" x14ac:dyDescent="0.25">
      <c r="F310" s="38"/>
    </row>
    <row r="311" spans="6:6" x14ac:dyDescent="0.25">
      <c r="F311" s="38"/>
    </row>
    <row r="312" spans="6:6" x14ac:dyDescent="0.25">
      <c r="F312" s="38"/>
    </row>
    <row r="313" spans="6:6" x14ac:dyDescent="0.25">
      <c r="F313" s="38"/>
    </row>
    <row r="314" spans="6:6" x14ac:dyDescent="0.25">
      <c r="F314" s="38"/>
    </row>
    <row r="315" spans="6:6" x14ac:dyDescent="0.25">
      <c r="F315" s="38"/>
    </row>
    <row r="316" spans="6:6" x14ac:dyDescent="0.25">
      <c r="F316" s="38"/>
    </row>
    <row r="317" spans="6:6" x14ac:dyDescent="0.25">
      <c r="F317" s="38"/>
    </row>
    <row r="318" spans="6:6" x14ac:dyDescent="0.25">
      <c r="F318" s="38"/>
    </row>
    <row r="319" spans="6:6" x14ac:dyDescent="0.25">
      <c r="F319" s="38"/>
    </row>
    <row r="320" spans="6:6" x14ac:dyDescent="0.25">
      <c r="F320" s="38"/>
    </row>
    <row r="321" spans="6:6" x14ac:dyDescent="0.25">
      <c r="F321" s="38"/>
    </row>
    <row r="322" spans="6:6" x14ac:dyDescent="0.25">
      <c r="F322" s="38"/>
    </row>
    <row r="323" spans="6:6" x14ac:dyDescent="0.25">
      <c r="F323" s="38"/>
    </row>
    <row r="324" spans="6:6" x14ac:dyDescent="0.25">
      <c r="F324" s="38"/>
    </row>
    <row r="325" spans="6:6" x14ac:dyDescent="0.25">
      <c r="F325" s="38"/>
    </row>
    <row r="326" spans="6:6" x14ac:dyDescent="0.25">
      <c r="F326" s="38"/>
    </row>
    <row r="327" spans="6:6" x14ac:dyDescent="0.25">
      <c r="F327" s="38"/>
    </row>
    <row r="328" spans="6:6" x14ac:dyDescent="0.25">
      <c r="F328" s="38"/>
    </row>
    <row r="329" spans="6:6" x14ac:dyDescent="0.25">
      <c r="F329" s="38"/>
    </row>
    <row r="330" spans="6:6" x14ac:dyDescent="0.25">
      <c r="F330" s="38"/>
    </row>
    <row r="331" spans="6:6" x14ac:dyDescent="0.25">
      <c r="F331" s="38"/>
    </row>
    <row r="332" spans="6:6" x14ac:dyDescent="0.25">
      <c r="F332" s="38"/>
    </row>
    <row r="333" spans="6:6" x14ac:dyDescent="0.25">
      <c r="F333" s="38"/>
    </row>
    <row r="334" spans="6:6" x14ac:dyDescent="0.25">
      <c r="F334" s="38"/>
    </row>
    <row r="335" spans="6:6" x14ac:dyDescent="0.25">
      <c r="F335" s="38"/>
    </row>
    <row r="336" spans="6:6" x14ac:dyDescent="0.25">
      <c r="F336" s="38"/>
    </row>
    <row r="337" spans="6:6" x14ac:dyDescent="0.25">
      <c r="F337" s="38"/>
    </row>
    <row r="338" spans="6:6" x14ac:dyDescent="0.25">
      <c r="F338" s="38"/>
    </row>
    <row r="339" spans="6:6" x14ac:dyDescent="0.25">
      <c r="F339" s="38"/>
    </row>
    <row r="340" spans="6:6" x14ac:dyDescent="0.25">
      <c r="F340" s="38"/>
    </row>
    <row r="341" spans="6:6" x14ac:dyDescent="0.25">
      <c r="F341" s="38"/>
    </row>
    <row r="342" spans="6:6" x14ac:dyDescent="0.25">
      <c r="F342" s="38"/>
    </row>
    <row r="343" spans="6:6" x14ac:dyDescent="0.25">
      <c r="F343" s="38"/>
    </row>
    <row r="344" spans="6:6" x14ac:dyDescent="0.25">
      <c r="F344" s="38"/>
    </row>
    <row r="345" spans="6:6" x14ac:dyDescent="0.25">
      <c r="F345" s="38"/>
    </row>
    <row r="346" spans="6:6" x14ac:dyDescent="0.25">
      <c r="F346" s="38"/>
    </row>
    <row r="347" spans="6:6" x14ac:dyDescent="0.25">
      <c r="F347" s="38"/>
    </row>
    <row r="348" spans="6:6" x14ac:dyDescent="0.25">
      <c r="F348" s="38"/>
    </row>
    <row r="349" spans="6:6" x14ac:dyDescent="0.25">
      <c r="F349" s="38"/>
    </row>
    <row r="350" spans="6:6" x14ac:dyDescent="0.25">
      <c r="F350" s="38"/>
    </row>
    <row r="351" spans="6:6" x14ac:dyDescent="0.25">
      <c r="F351" s="38"/>
    </row>
    <row r="352" spans="6:6" x14ac:dyDescent="0.25">
      <c r="F352" s="38"/>
    </row>
    <row r="353" spans="6:6" x14ac:dyDescent="0.25">
      <c r="F353" s="38"/>
    </row>
    <row r="354" spans="6:6" x14ac:dyDescent="0.25">
      <c r="F354" s="38"/>
    </row>
    <row r="355" spans="6:6" x14ac:dyDescent="0.25">
      <c r="F355" s="38"/>
    </row>
    <row r="356" spans="6:6" x14ac:dyDescent="0.25">
      <c r="F356" s="38"/>
    </row>
    <row r="357" spans="6:6" x14ac:dyDescent="0.25">
      <c r="F357" s="38"/>
    </row>
    <row r="358" spans="6:6" x14ac:dyDescent="0.25">
      <c r="F358" s="38"/>
    </row>
    <row r="359" spans="6:6" x14ac:dyDescent="0.25">
      <c r="F359" s="38"/>
    </row>
    <row r="360" spans="6:6" x14ac:dyDescent="0.25">
      <c r="F360" s="38"/>
    </row>
    <row r="361" spans="6:6" x14ac:dyDescent="0.25">
      <c r="F361" s="38"/>
    </row>
    <row r="362" spans="6:6" x14ac:dyDescent="0.25">
      <c r="F362" s="38"/>
    </row>
    <row r="363" spans="6:6" x14ac:dyDescent="0.25">
      <c r="F363" s="38"/>
    </row>
    <row r="364" spans="6:6" x14ac:dyDescent="0.25">
      <c r="F364" s="38"/>
    </row>
    <row r="365" spans="6:6" x14ac:dyDescent="0.25">
      <c r="F365" s="38"/>
    </row>
    <row r="366" spans="6:6" x14ac:dyDescent="0.25">
      <c r="F366" s="38"/>
    </row>
    <row r="367" spans="6:6" x14ac:dyDescent="0.25">
      <c r="F367" s="38"/>
    </row>
    <row r="368" spans="6:6" x14ac:dyDescent="0.25">
      <c r="F368" s="38"/>
    </row>
    <row r="369" spans="6:6" x14ac:dyDescent="0.25">
      <c r="F369" s="38"/>
    </row>
    <row r="370" spans="6:6" x14ac:dyDescent="0.25">
      <c r="F370" s="38"/>
    </row>
    <row r="371" spans="6:6" x14ac:dyDescent="0.25">
      <c r="F371" s="38"/>
    </row>
    <row r="372" spans="6:6" x14ac:dyDescent="0.25">
      <c r="F372" s="38"/>
    </row>
    <row r="373" spans="6:6" x14ac:dyDescent="0.25">
      <c r="F373" s="38"/>
    </row>
    <row r="374" spans="6:6" x14ac:dyDescent="0.25">
      <c r="F374" s="38"/>
    </row>
    <row r="375" spans="6:6" x14ac:dyDescent="0.25">
      <c r="F375" s="38"/>
    </row>
    <row r="376" spans="6:6" x14ac:dyDescent="0.25">
      <c r="F376" s="38"/>
    </row>
    <row r="377" spans="6:6" x14ac:dyDescent="0.25">
      <c r="F377" s="38"/>
    </row>
    <row r="378" spans="6:6" x14ac:dyDescent="0.25">
      <c r="F378" s="38"/>
    </row>
    <row r="379" spans="6:6" x14ac:dyDescent="0.25">
      <c r="F379" s="38"/>
    </row>
    <row r="380" spans="6:6" x14ac:dyDescent="0.25">
      <c r="F380" s="38"/>
    </row>
    <row r="381" spans="6:6" x14ac:dyDescent="0.25">
      <c r="F381" s="38"/>
    </row>
    <row r="382" spans="6:6" x14ac:dyDescent="0.25">
      <c r="F382" s="38"/>
    </row>
    <row r="383" spans="6:6" x14ac:dyDescent="0.25">
      <c r="F383" s="38"/>
    </row>
    <row r="384" spans="6:6" x14ac:dyDescent="0.25">
      <c r="F384" s="38"/>
    </row>
    <row r="385" spans="6:6" x14ac:dyDescent="0.25">
      <c r="F385" s="38"/>
    </row>
    <row r="386" spans="6:6" x14ac:dyDescent="0.25">
      <c r="F386" s="38"/>
    </row>
    <row r="387" spans="6:6" x14ac:dyDescent="0.25">
      <c r="F387" s="38"/>
    </row>
    <row r="388" spans="6:6" x14ac:dyDescent="0.25">
      <c r="F388" s="38"/>
    </row>
    <row r="389" spans="6:6" x14ac:dyDescent="0.25">
      <c r="F389" s="38"/>
    </row>
    <row r="390" spans="6:6" x14ac:dyDescent="0.25">
      <c r="F390" s="38"/>
    </row>
    <row r="391" spans="6:6" x14ac:dyDescent="0.25">
      <c r="F391" s="38"/>
    </row>
    <row r="392" spans="6:6" x14ac:dyDescent="0.25">
      <c r="F392" s="38"/>
    </row>
    <row r="393" spans="6:6" x14ac:dyDescent="0.25">
      <c r="F393" s="38"/>
    </row>
    <row r="394" spans="6:6" x14ac:dyDescent="0.25">
      <c r="F394" s="38"/>
    </row>
    <row r="395" spans="6:6" x14ac:dyDescent="0.25">
      <c r="F395" s="38"/>
    </row>
    <row r="396" spans="6:6" x14ac:dyDescent="0.25">
      <c r="F396" s="38"/>
    </row>
    <row r="397" spans="6:6" x14ac:dyDescent="0.25">
      <c r="F397" s="38"/>
    </row>
    <row r="398" spans="6:6" x14ac:dyDescent="0.25">
      <c r="F398" s="38"/>
    </row>
    <row r="399" spans="6:6" x14ac:dyDescent="0.25">
      <c r="F399" s="38"/>
    </row>
    <row r="400" spans="6:6" x14ac:dyDescent="0.25">
      <c r="F400" s="38"/>
    </row>
    <row r="401" spans="6:6" x14ac:dyDescent="0.25">
      <c r="F401" s="38"/>
    </row>
    <row r="402" spans="6:6" x14ac:dyDescent="0.25">
      <c r="F402" s="38"/>
    </row>
    <row r="403" spans="6:6" x14ac:dyDescent="0.25">
      <c r="F403" s="38"/>
    </row>
    <row r="404" spans="6:6" x14ac:dyDescent="0.25">
      <c r="F404" s="38"/>
    </row>
    <row r="405" spans="6:6" x14ac:dyDescent="0.25">
      <c r="F405" s="38"/>
    </row>
    <row r="406" spans="6:6" x14ac:dyDescent="0.25">
      <c r="F406" s="38"/>
    </row>
    <row r="407" spans="6:6" x14ac:dyDescent="0.25">
      <c r="F407" s="38"/>
    </row>
    <row r="408" spans="6:6" x14ac:dyDescent="0.25">
      <c r="F408" s="38"/>
    </row>
    <row r="409" spans="6:6" x14ac:dyDescent="0.25">
      <c r="F409" s="38"/>
    </row>
    <row r="410" spans="6:6" x14ac:dyDescent="0.25">
      <c r="F410" s="38"/>
    </row>
    <row r="411" spans="6:6" x14ac:dyDescent="0.25">
      <c r="F411" s="38"/>
    </row>
    <row r="412" spans="6:6" x14ac:dyDescent="0.25">
      <c r="F412" s="38"/>
    </row>
    <row r="413" spans="6:6" x14ac:dyDescent="0.25">
      <c r="F413" s="38"/>
    </row>
    <row r="414" spans="6:6" x14ac:dyDescent="0.25">
      <c r="F414" s="38"/>
    </row>
    <row r="415" spans="6:6" x14ac:dyDescent="0.25">
      <c r="F415" s="38"/>
    </row>
    <row r="416" spans="6:6" x14ac:dyDescent="0.25">
      <c r="F416" s="38"/>
    </row>
    <row r="417" spans="6:6" x14ac:dyDescent="0.25">
      <c r="F417" s="38"/>
    </row>
    <row r="418" spans="6:6" x14ac:dyDescent="0.25">
      <c r="F418" s="38"/>
    </row>
    <row r="419" spans="6:6" x14ac:dyDescent="0.25">
      <c r="F419" s="38"/>
    </row>
    <row r="420" spans="6:6" x14ac:dyDescent="0.25">
      <c r="F420" s="38"/>
    </row>
    <row r="421" spans="6:6" x14ac:dyDescent="0.25">
      <c r="F421" s="38"/>
    </row>
    <row r="422" spans="6:6" x14ac:dyDescent="0.25">
      <c r="F422" s="38"/>
    </row>
    <row r="423" spans="6:6" x14ac:dyDescent="0.25">
      <c r="F423" s="38"/>
    </row>
    <row r="424" spans="6:6" x14ac:dyDescent="0.25">
      <c r="F424" s="38"/>
    </row>
    <row r="425" spans="6:6" x14ac:dyDescent="0.25">
      <c r="F425" s="38"/>
    </row>
    <row r="426" spans="6:6" x14ac:dyDescent="0.25">
      <c r="F426" s="38"/>
    </row>
    <row r="427" spans="6:6" x14ac:dyDescent="0.25">
      <c r="F427" s="38"/>
    </row>
    <row r="428" spans="6:6" x14ac:dyDescent="0.25">
      <c r="F428" s="38"/>
    </row>
    <row r="429" spans="6:6" x14ac:dyDescent="0.25">
      <c r="F429" s="38"/>
    </row>
    <row r="430" spans="6:6" x14ac:dyDescent="0.25">
      <c r="F430" s="38"/>
    </row>
    <row r="431" spans="6:6" x14ac:dyDescent="0.25">
      <c r="F431" s="38"/>
    </row>
    <row r="432" spans="6:6" x14ac:dyDescent="0.25">
      <c r="F432" s="38"/>
    </row>
    <row r="433" spans="6:6" x14ac:dyDescent="0.25">
      <c r="F433" s="38"/>
    </row>
    <row r="434" spans="6:6" x14ac:dyDescent="0.25">
      <c r="F434" s="38"/>
    </row>
    <row r="435" spans="6:6" x14ac:dyDescent="0.25">
      <c r="F435" s="38"/>
    </row>
    <row r="436" spans="6:6" x14ac:dyDescent="0.25">
      <c r="F436" s="38"/>
    </row>
    <row r="437" spans="6:6" x14ac:dyDescent="0.25">
      <c r="F437" s="38"/>
    </row>
    <row r="438" spans="6:6" x14ac:dyDescent="0.25">
      <c r="F438" s="38"/>
    </row>
    <row r="439" spans="6:6" x14ac:dyDescent="0.25">
      <c r="F439" s="38"/>
    </row>
    <row r="440" spans="6:6" x14ac:dyDescent="0.25">
      <c r="F440" s="38"/>
    </row>
    <row r="441" spans="6:6" x14ac:dyDescent="0.25">
      <c r="F441" s="38"/>
    </row>
    <row r="442" spans="6:6" x14ac:dyDescent="0.25">
      <c r="F442" s="38"/>
    </row>
    <row r="443" spans="6:6" x14ac:dyDescent="0.25">
      <c r="F443" s="38"/>
    </row>
    <row r="444" spans="6:6" x14ac:dyDescent="0.25">
      <c r="F444" s="38"/>
    </row>
    <row r="445" spans="6:6" x14ac:dyDescent="0.25">
      <c r="F445" s="38"/>
    </row>
    <row r="446" spans="6:6" x14ac:dyDescent="0.25">
      <c r="F446" s="38"/>
    </row>
    <row r="447" spans="6:6" x14ac:dyDescent="0.25">
      <c r="F447" s="38"/>
    </row>
    <row r="448" spans="6:6" x14ac:dyDescent="0.25">
      <c r="F448" s="38"/>
    </row>
    <row r="449" spans="6:6" x14ac:dyDescent="0.25">
      <c r="F449" s="38"/>
    </row>
    <row r="450" spans="6:6" x14ac:dyDescent="0.25">
      <c r="F450" s="38"/>
    </row>
    <row r="451" spans="6:6" x14ac:dyDescent="0.25">
      <c r="F451" s="38"/>
    </row>
    <row r="452" spans="6:6" x14ac:dyDescent="0.25">
      <c r="F452" s="38"/>
    </row>
    <row r="453" spans="6:6" x14ac:dyDescent="0.25">
      <c r="F453" s="38"/>
    </row>
    <row r="454" spans="6:6" x14ac:dyDescent="0.25">
      <c r="F454" s="38"/>
    </row>
    <row r="455" spans="6:6" x14ac:dyDescent="0.25">
      <c r="F455" s="38"/>
    </row>
    <row r="456" spans="6:6" x14ac:dyDescent="0.25">
      <c r="F456" s="38"/>
    </row>
    <row r="457" spans="6:6" x14ac:dyDescent="0.25">
      <c r="F457" s="38"/>
    </row>
    <row r="458" spans="6:6" x14ac:dyDescent="0.25">
      <c r="F458" s="38"/>
    </row>
    <row r="459" spans="6:6" x14ac:dyDescent="0.25">
      <c r="F459" s="38"/>
    </row>
    <row r="460" spans="6:6" x14ac:dyDescent="0.25">
      <c r="F460" s="38"/>
    </row>
    <row r="461" spans="6:6" x14ac:dyDescent="0.25">
      <c r="F461" s="38"/>
    </row>
    <row r="462" spans="6:6" x14ac:dyDescent="0.25">
      <c r="F462" s="38"/>
    </row>
    <row r="463" spans="6:6" x14ac:dyDescent="0.25">
      <c r="F463" s="38"/>
    </row>
    <row r="464" spans="6:6" x14ac:dyDescent="0.25">
      <c r="F464" s="38"/>
    </row>
    <row r="465" spans="6:6" x14ac:dyDescent="0.25">
      <c r="F465" s="38"/>
    </row>
    <row r="466" spans="6:6" x14ac:dyDescent="0.25">
      <c r="F466" s="38"/>
    </row>
    <row r="467" spans="6:6" x14ac:dyDescent="0.25">
      <c r="F467" s="38"/>
    </row>
    <row r="468" spans="6:6" x14ac:dyDescent="0.25">
      <c r="F468" s="38"/>
    </row>
    <row r="469" spans="6:6" x14ac:dyDescent="0.25">
      <c r="F469" s="38"/>
    </row>
    <row r="470" spans="6:6" x14ac:dyDescent="0.25">
      <c r="F470" s="38"/>
    </row>
    <row r="471" spans="6:6" x14ac:dyDescent="0.25">
      <c r="F471" s="38"/>
    </row>
    <row r="472" spans="6:6" x14ac:dyDescent="0.25">
      <c r="F472" s="38"/>
    </row>
    <row r="473" spans="6:6" x14ac:dyDescent="0.25">
      <c r="F473" s="38"/>
    </row>
    <row r="474" spans="6:6" x14ac:dyDescent="0.25">
      <c r="F474" s="38"/>
    </row>
    <row r="475" spans="6:6" x14ac:dyDescent="0.25">
      <c r="F475" s="38"/>
    </row>
    <row r="476" spans="6:6" x14ac:dyDescent="0.25">
      <c r="F476" s="38"/>
    </row>
    <row r="477" spans="6:6" x14ac:dyDescent="0.25">
      <c r="F477" s="38"/>
    </row>
    <row r="478" spans="6:6" x14ac:dyDescent="0.25">
      <c r="F478" s="38"/>
    </row>
    <row r="479" spans="6:6" x14ac:dyDescent="0.25">
      <c r="F479" s="38"/>
    </row>
    <row r="480" spans="6:6" x14ac:dyDescent="0.25">
      <c r="F480" s="38"/>
    </row>
    <row r="481" spans="6:6" x14ac:dyDescent="0.25">
      <c r="F481" s="38"/>
    </row>
    <row r="482" spans="6:6" x14ac:dyDescent="0.25">
      <c r="F482" s="38"/>
    </row>
    <row r="483" spans="6:6" x14ac:dyDescent="0.25">
      <c r="F483" s="38"/>
    </row>
    <row r="484" spans="6:6" x14ac:dyDescent="0.25">
      <c r="F484" s="38"/>
    </row>
    <row r="485" spans="6:6" x14ac:dyDescent="0.25">
      <c r="F485" s="38"/>
    </row>
    <row r="486" spans="6:6" x14ac:dyDescent="0.25">
      <c r="F486" s="38"/>
    </row>
    <row r="487" spans="6:6" x14ac:dyDescent="0.25">
      <c r="F487" s="38"/>
    </row>
    <row r="488" spans="6:6" x14ac:dyDescent="0.25">
      <c r="F488" s="38"/>
    </row>
    <row r="489" spans="6:6" x14ac:dyDescent="0.25">
      <c r="F489" s="38"/>
    </row>
    <row r="490" spans="6:6" x14ac:dyDescent="0.25">
      <c r="F490" s="38"/>
    </row>
    <row r="491" spans="6:6" x14ac:dyDescent="0.25">
      <c r="F491" s="38"/>
    </row>
    <row r="492" spans="6:6" x14ac:dyDescent="0.25">
      <c r="F492" s="38"/>
    </row>
    <row r="493" spans="6:6" x14ac:dyDescent="0.25">
      <c r="F493" s="38"/>
    </row>
    <row r="494" spans="6:6" x14ac:dyDescent="0.25">
      <c r="F494" s="38"/>
    </row>
    <row r="495" spans="6:6" x14ac:dyDescent="0.25">
      <c r="F495" s="38"/>
    </row>
    <row r="496" spans="6:6" x14ac:dyDescent="0.25">
      <c r="F496" s="38"/>
    </row>
    <row r="497" spans="6:6" x14ac:dyDescent="0.25">
      <c r="F497" s="38"/>
    </row>
    <row r="498" spans="6:6" x14ac:dyDescent="0.25">
      <c r="F498" s="38"/>
    </row>
    <row r="499" spans="6:6" x14ac:dyDescent="0.25">
      <c r="F499" s="38"/>
    </row>
    <row r="500" spans="6:6" x14ac:dyDescent="0.25">
      <c r="F500" s="38"/>
    </row>
    <row r="501" spans="6:6" x14ac:dyDescent="0.25">
      <c r="F501" s="38"/>
    </row>
    <row r="502" spans="6:6" x14ac:dyDescent="0.25">
      <c r="F502" s="38"/>
    </row>
    <row r="503" spans="6:6" x14ac:dyDescent="0.25">
      <c r="F503" s="38"/>
    </row>
    <row r="504" spans="6:6" x14ac:dyDescent="0.25">
      <c r="F504" s="38"/>
    </row>
    <row r="505" spans="6:6" x14ac:dyDescent="0.25">
      <c r="F505" s="38"/>
    </row>
    <row r="506" spans="6:6" x14ac:dyDescent="0.25">
      <c r="F506" s="38"/>
    </row>
    <row r="507" spans="6:6" x14ac:dyDescent="0.25">
      <c r="F507" s="38"/>
    </row>
    <row r="508" spans="6:6" x14ac:dyDescent="0.25">
      <c r="F508" s="38"/>
    </row>
    <row r="509" spans="6:6" x14ac:dyDescent="0.25">
      <c r="F509" s="38"/>
    </row>
    <row r="510" spans="6:6" x14ac:dyDescent="0.25">
      <c r="F510" s="38"/>
    </row>
    <row r="511" spans="6:6" x14ac:dyDescent="0.25">
      <c r="F511" s="38"/>
    </row>
    <row r="512" spans="6:6" x14ac:dyDescent="0.25">
      <c r="F512" s="38"/>
    </row>
    <row r="513" spans="6:6" x14ac:dyDescent="0.25">
      <c r="F513" s="38"/>
    </row>
    <row r="514" spans="6:6" x14ac:dyDescent="0.25">
      <c r="F514" s="38"/>
    </row>
    <row r="515" spans="6:6" x14ac:dyDescent="0.25">
      <c r="F515" s="38"/>
    </row>
    <row r="516" spans="6:6" x14ac:dyDescent="0.25">
      <c r="F516" s="38"/>
    </row>
    <row r="517" spans="6:6" x14ac:dyDescent="0.25">
      <c r="F517" s="38"/>
    </row>
    <row r="518" spans="6:6" x14ac:dyDescent="0.25">
      <c r="F518" s="38"/>
    </row>
    <row r="519" spans="6:6" x14ac:dyDescent="0.25">
      <c r="F519" s="38"/>
    </row>
    <row r="520" spans="6:6" x14ac:dyDescent="0.25">
      <c r="F520" s="38"/>
    </row>
    <row r="521" spans="6:6" x14ac:dyDescent="0.25">
      <c r="F521" s="38"/>
    </row>
    <row r="522" spans="6:6" x14ac:dyDescent="0.25">
      <c r="F522" s="38"/>
    </row>
    <row r="523" spans="6:6" x14ac:dyDescent="0.25">
      <c r="F523" s="38"/>
    </row>
    <row r="524" spans="6:6" x14ac:dyDescent="0.25">
      <c r="F524" s="38"/>
    </row>
    <row r="525" spans="6:6" x14ac:dyDescent="0.25">
      <c r="F525" s="38"/>
    </row>
    <row r="526" spans="6:6" x14ac:dyDescent="0.25">
      <c r="F526" s="38"/>
    </row>
    <row r="527" spans="6:6" x14ac:dyDescent="0.25">
      <c r="F527" s="38"/>
    </row>
    <row r="528" spans="6:6" x14ac:dyDescent="0.25">
      <c r="F528" s="38"/>
    </row>
    <row r="529" spans="6:6" x14ac:dyDescent="0.25">
      <c r="F529" s="38"/>
    </row>
    <row r="530" spans="6:6" x14ac:dyDescent="0.25">
      <c r="F530" s="38"/>
    </row>
    <row r="531" spans="6:6" x14ac:dyDescent="0.25">
      <c r="F531" s="38"/>
    </row>
    <row r="532" spans="6:6" x14ac:dyDescent="0.25">
      <c r="F532" s="38"/>
    </row>
    <row r="533" spans="6:6" x14ac:dyDescent="0.25">
      <c r="F533" s="38"/>
    </row>
    <row r="534" spans="6:6" x14ac:dyDescent="0.25">
      <c r="F534" s="38"/>
    </row>
    <row r="535" spans="6:6" x14ac:dyDescent="0.25">
      <c r="F535" s="38"/>
    </row>
    <row r="536" spans="6:6" x14ac:dyDescent="0.25">
      <c r="F536" s="38"/>
    </row>
    <row r="537" spans="6:6" x14ac:dyDescent="0.25">
      <c r="F537" s="38"/>
    </row>
    <row r="538" spans="6:6" x14ac:dyDescent="0.25">
      <c r="F538" s="38"/>
    </row>
    <row r="539" spans="6:6" x14ac:dyDescent="0.25">
      <c r="F539" s="38"/>
    </row>
    <row r="540" spans="6:6" x14ac:dyDescent="0.25">
      <c r="F540" s="38"/>
    </row>
    <row r="541" spans="6:6" x14ac:dyDescent="0.25">
      <c r="F541" s="38"/>
    </row>
    <row r="542" spans="6:6" x14ac:dyDescent="0.25">
      <c r="F542" s="38"/>
    </row>
    <row r="543" spans="6:6" x14ac:dyDescent="0.25">
      <c r="F543" s="38"/>
    </row>
    <row r="544" spans="6:6" x14ac:dyDescent="0.25">
      <c r="F544" s="38"/>
    </row>
    <row r="545" spans="6:6" x14ac:dyDescent="0.25">
      <c r="F545" s="38"/>
    </row>
    <row r="546" spans="6:6" x14ac:dyDescent="0.25">
      <c r="F546" s="38"/>
    </row>
    <row r="547" spans="6:6" x14ac:dyDescent="0.25">
      <c r="F547" s="38"/>
    </row>
    <row r="548" spans="6:6" x14ac:dyDescent="0.25">
      <c r="F548" s="38"/>
    </row>
    <row r="549" spans="6:6" x14ac:dyDescent="0.25">
      <c r="F549" s="38"/>
    </row>
    <row r="550" spans="6:6" x14ac:dyDescent="0.25">
      <c r="F550" s="38"/>
    </row>
    <row r="551" spans="6:6" x14ac:dyDescent="0.25">
      <c r="F551" s="38"/>
    </row>
    <row r="552" spans="6:6" x14ac:dyDescent="0.25">
      <c r="F552" s="38"/>
    </row>
    <row r="553" spans="6:6" x14ac:dyDescent="0.25">
      <c r="F553" s="38"/>
    </row>
    <row r="554" spans="6:6" x14ac:dyDescent="0.25">
      <c r="F554" s="38"/>
    </row>
    <row r="555" spans="6:6" x14ac:dyDescent="0.25">
      <c r="F555" s="38"/>
    </row>
    <row r="556" spans="6:6" x14ac:dyDescent="0.25">
      <c r="F556" s="38"/>
    </row>
    <row r="557" spans="6:6" x14ac:dyDescent="0.25">
      <c r="F557" s="38"/>
    </row>
    <row r="558" spans="6:6" x14ac:dyDescent="0.25">
      <c r="F558" s="38"/>
    </row>
    <row r="559" spans="6:6" x14ac:dyDescent="0.25">
      <c r="F559" s="38"/>
    </row>
    <row r="560" spans="6:6" x14ac:dyDescent="0.25">
      <c r="F560" s="38"/>
    </row>
    <row r="561" spans="6:6" x14ac:dyDescent="0.25">
      <c r="F561" s="38"/>
    </row>
    <row r="562" spans="6:6" x14ac:dyDescent="0.25">
      <c r="F562" s="38"/>
    </row>
    <row r="563" spans="6:6" x14ac:dyDescent="0.25">
      <c r="F563" s="38"/>
    </row>
    <row r="564" spans="6:6" x14ac:dyDescent="0.25">
      <c r="F564" s="38"/>
    </row>
    <row r="565" spans="6:6" x14ac:dyDescent="0.25">
      <c r="F565" s="38"/>
    </row>
    <row r="566" spans="6:6" x14ac:dyDescent="0.25">
      <c r="F566" s="38"/>
    </row>
    <row r="567" spans="6:6" x14ac:dyDescent="0.25">
      <c r="F567" s="38"/>
    </row>
    <row r="568" spans="6:6" x14ac:dyDescent="0.25">
      <c r="F568" s="38"/>
    </row>
    <row r="569" spans="6:6" x14ac:dyDescent="0.25">
      <c r="F569" s="38"/>
    </row>
    <row r="570" spans="6:6" x14ac:dyDescent="0.25">
      <c r="F570" s="38"/>
    </row>
    <row r="571" spans="6:6" x14ac:dyDescent="0.25">
      <c r="F571" s="38"/>
    </row>
    <row r="572" spans="6:6" x14ac:dyDescent="0.25">
      <c r="F572" s="38"/>
    </row>
    <row r="573" spans="6:6" x14ac:dyDescent="0.25">
      <c r="F573" s="38"/>
    </row>
    <row r="574" spans="6:6" x14ac:dyDescent="0.25">
      <c r="F574" s="38"/>
    </row>
    <row r="575" spans="6:6" x14ac:dyDescent="0.25">
      <c r="F575" s="38"/>
    </row>
    <row r="576" spans="6:6" x14ac:dyDescent="0.25">
      <c r="F576" s="38"/>
    </row>
    <row r="577" spans="6:6" x14ac:dyDescent="0.25">
      <c r="F577" s="38"/>
    </row>
    <row r="578" spans="6:6" x14ac:dyDescent="0.25">
      <c r="F578" s="38"/>
    </row>
    <row r="579" spans="6:6" x14ac:dyDescent="0.25">
      <c r="F579" s="38"/>
    </row>
    <row r="580" spans="6:6" x14ac:dyDescent="0.25">
      <c r="F580" s="38"/>
    </row>
    <row r="581" spans="6:6" x14ac:dyDescent="0.25">
      <c r="F581" s="38"/>
    </row>
    <row r="582" spans="6:6" x14ac:dyDescent="0.25">
      <c r="F582" s="38"/>
    </row>
    <row r="583" spans="6:6" x14ac:dyDescent="0.25">
      <c r="F583" s="38"/>
    </row>
    <row r="584" spans="6:6" x14ac:dyDescent="0.25">
      <c r="F584" s="38"/>
    </row>
    <row r="585" spans="6:6" x14ac:dyDescent="0.25">
      <c r="F585" s="38"/>
    </row>
    <row r="586" spans="6:6" x14ac:dyDescent="0.25">
      <c r="F586" s="38"/>
    </row>
    <row r="587" spans="6:6" x14ac:dyDescent="0.25">
      <c r="F587" s="38"/>
    </row>
    <row r="588" spans="6:6" x14ac:dyDescent="0.25">
      <c r="F588" s="38"/>
    </row>
    <row r="589" spans="6:6" x14ac:dyDescent="0.25">
      <c r="F589" s="38"/>
    </row>
    <row r="590" spans="6:6" x14ac:dyDescent="0.25">
      <c r="F590" s="38"/>
    </row>
    <row r="591" spans="6:6" x14ac:dyDescent="0.25">
      <c r="F591" s="38"/>
    </row>
    <row r="592" spans="6:6" x14ac:dyDescent="0.25">
      <c r="F592" s="38"/>
    </row>
    <row r="593" spans="6:6" x14ac:dyDescent="0.25">
      <c r="F593" s="38"/>
    </row>
    <row r="594" spans="6:6" x14ac:dyDescent="0.25">
      <c r="F594" s="38"/>
    </row>
    <row r="595" spans="6:6" x14ac:dyDescent="0.25">
      <c r="F595" s="38"/>
    </row>
    <row r="596" spans="6:6" x14ac:dyDescent="0.25">
      <c r="F596" s="38"/>
    </row>
    <row r="597" spans="6:6" x14ac:dyDescent="0.25">
      <c r="F597" s="38"/>
    </row>
    <row r="598" spans="6:6" x14ac:dyDescent="0.25">
      <c r="F598" s="38"/>
    </row>
    <row r="599" spans="6:6" x14ac:dyDescent="0.25">
      <c r="F599" s="38"/>
    </row>
    <row r="600" spans="6:6" x14ac:dyDescent="0.25">
      <c r="F600" s="38"/>
    </row>
    <row r="601" spans="6:6" x14ac:dyDescent="0.25">
      <c r="F601" s="38"/>
    </row>
    <row r="602" spans="6:6" x14ac:dyDescent="0.25">
      <c r="F602" s="38"/>
    </row>
    <row r="603" spans="6:6" x14ac:dyDescent="0.25">
      <c r="F603" s="38"/>
    </row>
    <row r="604" spans="6:6" x14ac:dyDescent="0.25">
      <c r="F604" s="38"/>
    </row>
    <row r="605" spans="6:6" x14ac:dyDescent="0.25">
      <c r="F605" s="38"/>
    </row>
    <row r="606" spans="6:6" x14ac:dyDescent="0.25">
      <c r="F606" s="38"/>
    </row>
    <row r="607" spans="6:6" x14ac:dyDescent="0.25">
      <c r="F607" s="38"/>
    </row>
    <row r="608" spans="6:6" x14ac:dyDescent="0.25">
      <c r="F608" s="38"/>
    </row>
    <row r="609" spans="6:6" x14ac:dyDescent="0.25">
      <c r="F609" s="38"/>
    </row>
    <row r="610" spans="6:6" x14ac:dyDescent="0.25">
      <c r="F610" s="38"/>
    </row>
    <row r="611" spans="6:6" x14ac:dyDescent="0.25">
      <c r="F611" s="38"/>
    </row>
    <row r="612" spans="6:6" x14ac:dyDescent="0.25">
      <c r="F612" s="38"/>
    </row>
    <row r="613" spans="6:6" x14ac:dyDescent="0.25">
      <c r="F613" s="38"/>
    </row>
    <row r="614" spans="6:6" x14ac:dyDescent="0.25">
      <c r="F614" s="38"/>
    </row>
    <row r="615" spans="6:6" x14ac:dyDescent="0.25">
      <c r="F615" s="38"/>
    </row>
    <row r="616" spans="6:6" x14ac:dyDescent="0.25">
      <c r="F616" s="38"/>
    </row>
    <row r="617" spans="6:6" x14ac:dyDescent="0.25">
      <c r="F617" s="38"/>
    </row>
    <row r="618" spans="6:6" x14ac:dyDescent="0.25">
      <c r="F618" s="38"/>
    </row>
    <row r="619" spans="6:6" x14ac:dyDescent="0.25">
      <c r="F619" s="38"/>
    </row>
    <row r="620" spans="6:6" x14ac:dyDescent="0.25">
      <c r="F620" s="38"/>
    </row>
    <row r="621" spans="6:6" x14ac:dyDescent="0.25">
      <c r="F621" s="38"/>
    </row>
    <row r="622" spans="6:6" x14ac:dyDescent="0.25">
      <c r="F622" s="38"/>
    </row>
    <row r="623" spans="6:6" x14ac:dyDescent="0.25">
      <c r="F623" s="38"/>
    </row>
    <row r="624" spans="6:6" x14ac:dyDescent="0.25">
      <c r="F624" s="38"/>
    </row>
    <row r="625" spans="6:6" x14ac:dyDescent="0.25">
      <c r="F625" s="38"/>
    </row>
    <row r="626" spans="6:6" x14ac:dyDescent="0.25">
      <c r="F626" s="38"/>
    </row>
    <row r="627" spans="6:6" x14ac:dyDescent="0.25">
      <c r="F627" s="38"/>
    </row>
    <row r="628" spans="6:6" x14ac:dyDescent="0.25">
      <c r="F628" s="38"/>
    </row>
    <row r="629" spans="6:6" x14ac:dyDescent="0.25">
      <c r="F629" s="38"/>
    </row>
    <row r="630" spans="6:6" x14ac:dyDescent="0.25">
      <c r="F630" s="38"/>
    </row>
    <row r="631" spans="6:6" x14ac:dyDescent="0.25">
      <c r="F631" s="38"/>
    </row>
    <row r="632" spans="6:6" x14ac:dyDescent="0.25">
      <c r="F632" s="38"/>
    </row>
    <row r="633" spans="6:6" x14ac:dyDescent="0.25">
      <c r="F633" s="38"/>
    </row>
    <row r="634" spans="6:6" x14ac:dyDescent="0.25">
      <c r="F634" s="38"/>
    </row>
    <row r="635" spans="6:6" x14ac:dyDescent="0.25">
      <c r="F635" s="38"/>
    </row>
    <row r="636" spans="6:6" x14ac:dyDescent="0.25">
      <c r="F636" s="38"/>
    </row>
    <row r="637" spans="6:6" x14ac:dyDescent="0.25">
      <c r="F637" s="38"/>
    </row>
    <row r="638" spans="6:6" x14ac:dyDescent="0.25">
      <c r="F638" s="38"/>
    </row>
    <row r="639" spans="6:6" x14ac:dyDescent="0.25">
      <c r="F639" s="38"/>
    </row>
    <row r="640" spans="6:6" x14ac:dyDescent="0.25">
      <c r="F640" s="38"/>
    </row>
    <row r="641" spans="6:6" x14ac:dyDescent="0.25">
      <c r="F641" s="38"/>
    </row>
    <row r="642" spans="6:6" x14ac:dyDescent="0.25">
      <c r="F642" s="38"/>
    </row>
    <row r="643" spans="6:6" x14ac:dyDescent="0.25">
      <c r="F643" s="38"/>
    </row>
    <row r="644" spans="6:6" x14ac:dyDescent="0.25">
      <c r="F644" s="38"/>
    </row>
    <row r="645" spans="6:6" x14ac:dyDescent="0.25">
      <c r="F645" s="38"/>
    </row>
    <row r="646" spans="6:6" x14ac:dyDescent="0.25">
      <c r="F646" s="38"/>
    </row>
    <row r="647" spans="6:6" x14ac:dyDescent="0.25">
      <c r="F647" s="38"/>
    </row>
    <row r="648" spans="6:6" x14ac:dyDescent="0.25">
      <c r="F648" s="38"/>
    </row>
    <row r="649" spans="6:6" x14ac:dyDescent="0.25">
      <c r="F649" s="38"/>
    </row>
    <row r="650" spans="6:6" x14ac:dyDescent="0.25">
      <c r="F650" s="38"/>
    </row>
    <row r="651" spans="6:6" x14ac:dyDescent="0.25">
      <c r="F651" s="38"/>
    </row>
    <row r="652" spans="6:6" x14ac:dyDescent="0.25">
      <c r="F652" s="38"/>
    </row>
    <row r="653" spans="6:6" x14ac:dyDescent="0.25">
      <c r="F653" s="38"/>
    </row>
    <row r="654" spans="6:6" x14ac:dyDescent="0.25">
      <c r="F654" s="38"/>
    </row>
    <row r="655" spans="6:6" x14ac:dyDescent="0.25">
      <c r="F655" s="38"/>
    </row>
    <row r="656" spans="6:6" x14ac:dyDescent="0.25">
      <c r="F656" s="38"/>
    </row>
    <row r="657" spans="6:6" x14ac:dyDescent="0.25">
      <c r="F657" s="38"/>
    </row>
    <row r="658" spans="6:6" x14ac:dyDescent="0.25">
      <c r="F658" s="38"/>
    </row>
    <row r="659" spans="6:6" x14ac:dyDescent="0.25">
      <c r="F659" s="38"/>
    </row>
    <row r="660" spans="6:6" x14ac:dyDescent="0.25">
      <c r="F660" s="38"/>
    </row>
    <row r="661" spans="6:6" x14ac:dyDescent="0.25">
      <c r="F661" s="38"/>
    </row>
    <row r="662" spans="6:6" x14ac:dyDescent="0.25">
      <c r="F662" s="38"/>
    </row>
    <row r="663" spans="6:6" x14ac:dyDescent="0.25">
      <c r="F663" s="38"/>
    </row>
    <row r="664" spans="6:6" x14ac:dyDescent="0.25">
      <c r="F664" s="38"/>
    </row>
    <row r="665" spans="6:6" x14ac:dyDescent="0.25">
      <c r="F665" s="38"/>
    </row>
    <row r="666" spans="6:6" x14ac:dyDescent="0.25">
      <c r="F666" s="38"/>
    </row>
    <row r="667" spans="6:6" x14ac:dyDescent="0.25">
      <c r="F667" s="38"/>
    </row>
    <row r="668" spans="6:6" x14ac:dyDescent="0.25">
      <c r="F668" s="38"/>
    </row>
    <row r="669" spans="6:6" x14ac:dyDescent="0.25">
      <c r="F669" s="38"/>
    </row>
    <row r="670" spans="6:6" x14ac:dyDescent="0.25">
      <c r="F670" s="38"/>
    </row>
    <row r="671" spans="6:6" x14ac:dyDescent="0.25">
      <c r="F671" s="38"/>
    </row>
    <row r="672" spans="6:6" x14ac:dyDescent="0.25">
      <c r="F672" s="38"/>
    </row>
    <row r="673" spans="6:6" x14ac:dyDescent="0.25">
      <c r="F673" s="38"/>
    </row>
    <row r="674" spans="6:6" x14ac:dyDescent="0.25">
      <c r="F674" s="38"/>
    </row>
    <row r="675" spans="6:6" x14ac:dyDescent="0.25">
      <c r="F675" s="38"/>
    </row>
    <row r="676" spans="6:6" x14ac:dyDescent="0.25">
      <c r="F676" s="38"/>
    </row>
    <row r="677" spans="6:6" x14ac:dyDescent="0.25">
      <c r="F677" s="38"/>
    </row>
    <row r="678" spans="6:6" x14ac:dyDescent="0.25">
      <c r="F678" s="38"/>
    </row>
    <row r="679" spans="6:6" x14ac:dyDescent="0.25">
      <c r="F679" s="38"/>
    </row>
    <row r="680" spans="6:6" x14ac:dyDescent="0.25">
      <c r="F680" s="38"/>
    </row>
    <row r="681" spans="6:6" x14ac:dyDescent="0.25">
      <c r="F681" s="38"/>
    </row>
    <row r="682" spans="6:6" x14ac:dyDescent="0.25">
      <c r="F682" s="38"/>
    </row>
    <row r="683" spans="6:6" x14ac:dyDescent="0.25">
      <c r="F683" s="38"/>
    </row>
    <row r="684" spans="6:6" x14ac:dyDescent="0.25">
      <c r="F684" s="38"/>
    </row>
    <row r="685" spans="6:6" x14ac:dyDescent="0.25">
      <c r="F685" s="38"/>
    </row>
    <row r="686" spans="6:6" x14ac:dyDescent="0.25">
      <c r="F686" s="38"/>
    </row>
    <row r="687" spans="6:6" x14ac:dyDescent="0.25">
      <c r="F687" s="38"/>
    </row>
    <row r="688" spans="6:6" x14ac:dyDescent="0.25">
      <c r="F688" s="38"/>
    </row>
    <row r="689" spans="6:6" x14ac:dyDescent="0.25">
      <c r="F689" s="38"/>
    </row>
    <row r="690" spans="6:6" x14ac:dyDescent="0.25">
      <c r="F690" s="38"/>
    </row>
    <row r="691" spans="6:6" x14ac:dyDescent="0.25">
      <c r="F691" s="38"/>
    </row>
    <row r="692" spans="6:6" x14ac:dyDescent="0.25">
      <c r="F692" s="38"/>
    </row>
    <row r="693" spans="6:6" x14ac:dyDescent="0.25">
      <c r="F693" s="38"/>
    </row>
    <row r="694" spans="6:6" x14ac:dyDescent="0.25">
      <c r="F694" s="38"/>
    </row>
    <row r="695" spans="6:6" x14ac:dyDescent="0.25">
      <c r="F695" s="38"/>
    </row>
    <row r="696" spans="6:6" x14ac:dyDescent="0.25">
      <c r="F696" s="38"/>
    </row>
    <row r="697" spans="6:6" x14ac:dyDescent="0.25">
      <c r="F697" s="38"/>
    </row>
    <row r="698" spans="6:6" x14ac:dyDescent="0.25">
      <c r="F698" s="38"/>
    </row>
    <row r="699" spans="6:6" x14ac:dyDescent="0.25">
      <c r="F699" s="38"/>
    </row>
    <row r="700" spans="6:6" x14ac:dyDescent="0.25">
      <c r="F700" s="38"/>
    </row>
    <row r="701" spans="6:6" x14ac:dyDescent="0.25">
      <c r="F701" s="38"/>
    </row>
    <row r="702" spans="6:6" x14ac:dyDescent="0.25">
      <c r="F702" s="38"/>
    </row>
    <row r="703" spans="6:6" x14ac:dyDescent="0.25">
      <c r="F703" s="38"/>
    </row>
    <row r="704" spans="6:6" x14ac:dyDescent="0.25">
      <c r="F704" s="38"/>
    </row>
    <row r="705" spans="6:6" x14ac:dyDescent="0.25">
      <c r="F705" s="38"/>
    </row>
    <row r="706" spans="6:6" x14ac:dyDescent="0.25">
      <c r="F706" s="38"/>
    </row>
    <row r="707" spans="6:6" x14ac:dyDescent="0.25">
      <c r="F707" s="38"/>
    </row>
    <row r="708" spans="6:6" x14ac:dyDescent="0.25">
      <c r="F708" s="38"/>
    </row>
    <row r="709" spans="6:6" x14ac:dyDescent="0.25">
      <c r="F709" s="38"/>
    </row>
    <row r="710" spans="6:6" x14ac:dyDescent="0.25">
      <c r="F710" s="38"/>
    </row>
    <row r="711" spans="6:6" x14ac:dyDescent="0.25">
      <c r="F711" s="38"/>
    </row>
    <row r="712" spans="6:6" x14ac:dyDescent="0.25">
      <c r="F712" s="38"/>
    </row>
    <row r="713" spans="6:6" x14ac:dyDescent="0.25">
      <c r="F713" s="38"/>
    </row>
    <row r="714" spans="6:6" x14ac:dyDescent="0.25">
      <c r="F714" s="38"/>
    </row>
    <row r="715" spans="6:6" x14ac:dyDescent="0.25">
      <c r="F715" s="38"/>
    </row>
    <row r="716" spans="6:6" x14ac:dyDescent="0.25">
      <c r="F716" s="38"/>
    </row>
    <row r="717" spans="6:6" x14ac:dyDescent="0.25">
      <c r="F717" s="38"/>
    </row>
    <row r="718" spans="6:6" x14ac:dyDescent="0.25">
      <c r="F718" s="38"/>
    </row>
    <row r="719" spans="6:6" x14ac:dyDescent="0.25">
      <c r="F719" s="38"/>
    </row>
    <row r="720" spans="6:6" x14ac:dyDescent="0.25">
      <c r="F720" s="38"/>
    </row>
    <row r="721" spans="6:6" x14ac:dyDescent="0.25">
      <c r="F721" s="38"/>
    </row>
    <row r="722" spans="6:6" x14ac:dyDescent="0.25">
      <c r="F722" s="38"/>
    </row>
    <row r="723" spans="6:6" x14ac:dyDescent="0.25">
      <c r="F723" s="38"/>
    </row>
    <row r="724" spans="6:6" x14ac:dyDescent="0.25">
      <c r="F724" s="38"/>
    </row>
    <row r="725" spans="6:6" x14ac:dyDescent="0.25">
      <c r="F725" s="38"/>
    </row>
    <row r="726" spans="6:6" x14ac:dyDescent="0.25">
      <c r="F726" s="38"/>
    </row>
    <row r="727" spans="6:6" x14ac:dyDescent="0.25">
      <c r="F727" s="38"/>
    </row>
    <row r="728" spans="6:6" x14ac:dyDescent="0.25">
      <c r="F728" s="38"/>
    </row>
    <row r="729" spans="6:6" x14ac:dyDescent="0.25">
      <c r="F729" s="38"/>
    </row>
    <row r="730" spans="6:6" x14ac:dyDescent="0.25">
      <c r="F730" s="38"/>
    </row>
    <row r="731" spans="6:6" x14ac:dyDescent="0.25">
      <c r="F731" s="38"/>
    </row>
    <row r="732" spans="6:6" x14ac:dyDescent="0.25">
      <c r="F732" s="38"/>
    </row>
    <row r="733" spans="6:6" x14ac:dyDescent="0.25">
      <c r="F733" s="38"/>
    </row>
    <row r="734" spans="6:6" x14ac:dyDescent="0.25">
      <c r="F734" s="38"/>
    </row>
    <row r="735" spans="6:6" x14ac:dyDescent="0.25">
      <c r="F735" s="38"/>
    </row>
    <row r="736" spans="6:6" x14ac:dyDescent="0.25">
      <c r="F736" s="38"/>
    </row>
    <row r="737" spans="6:6" x14ac:dyDescent="0.25">
      <c r="F737" s="38"/>
    </row>
    <row r="738" spans="6:6" x14ac:dyDescent="0.25">
      <c r="F738" s="38"/>
    </row>
    <row r="739" spans="6:6" x14ac:dyDescent="0.25">
      <c r="F739" s="38"/>
    </row>
    <row r="740" spans="6:6" x14ac:dyDescent="0.25">
      <c r="F740" s="38"/>
    </row>
    <row r="741" spans="6:6" x14ac:dyDescent="0.25">
      <c r="F741" s="38"/>
    </row>
    <row r="742" spans="6:6" x14ac:dyDescent="0.25">
      <c r="F742" s="38"/>
    </row>
    <row r="743" spans="6:6" x14ac:dyDescent="0.25">
      <c r="F743" s="38"/>
    </row>
    <row r="744" spans="6:6" x14ac:dyDescent="0.25">
      <c r="F744" s="38"/>
    </row>
    <row r="745" spans="6:6" x14ac:dyDescent="0.25">
      <c r="F745" s="38"/>
    </row>
    <row r="746" spans="6:6" x14ac:dyDescent="0.25">
      <c r="F746" s="38"/>
    </row>
    <row r="747" spans="6:6" x14ac:dyDescent="0.25">
      <c r="F747" s="38"/>
    </row>
    <row r="748" spans="6:6" x14ac:dyDescent="0.25">
      <c r="F748" s="38"/>
    </row>
    <row r="749" spans="6:6" x14ac:dyDescent="0.25">
      <c r="F749" s="38"/>
    </row>
    <row r="750" spans="6:6" x14ac:dyDescent="0.25">
      <c r="F750" s="38"/>
    </row>
    <row r="751" spans="6:6" x14ac:dyDescent="0.25">
      <c r="F751" s="38"/>
    </row>
    <row r="752" spans="6:6" x14ac:dyDescent="0.25">
      <c r="F752" s="38"/>
    </row>
    <row r="753" spans="6:6" x14ac:dyDescent="0.25">
      <c r="F753" s="38"/>
    </row>
    <row r="754" spans="6:6" x14ac:dyDescent="0.25">
      <c r="F754" s="38"/>
    </row>
    <row r="755" spans="6:6" x14ac:dyDescent="0.25">
      <c r="F755" s="38"/>
    </row>
    <row r="756" spans="6:6" x14ac:dyDescent="0.25">
      <c r="F756" s="38"/>
    </row>
    <row r="757" spans="6:6" x14ac:dyDescent="0.25">
      <c r="F757" s="38"/>
    </row>
    <row r="758" spans="6:6" x14ac:dyDescent="0.25">
      <c r="F758" s="38"/>
    </row>
    <row r="759" spans="6:6" x14ac:dyDescent="0.25">
      <c r="F759" s="38"/>
    </row>
    <row r="760" spans="6:6" x14ac:dyDescent="0.25">
      <c r="F760" s="38"/>
    </row>
    <row r="761" spans="6:6" x14ac:dyDescent="0.25">
      <c r="F761" s="38"/>
    </row>
    <row r="762" spans="6:6" x14ac:dyDescent="0.25">
      <c r="F762" s="38"/>
    </row>
    <row r="763" spans="6:6" x14ac:dyDescent="0.25">
      <c r="F763" s="38"/>
    </row>
    <row r="764" spans="6:6" x14ac:dyDescent="0.25">
      <c r="F764" s="38"/>
    </row>
    <row r="765" spans="6:6" x14ac:dyDescent="0.25">
      <c r="F765" s="38"/>
    </row>
    <row r="766" spans="6:6" x14ac:dyDescent="0.25">
      <c r="F766" s="38"/>
    </row>
    <row r="767" spans="6:6" x14ac:dyDescent="0.25">
      <c r="F767" s="38"/>
    </row>
    <row r="768" spans="6:6" x14ac:dyDescent="0.25">
      <c r="F768" s="38"/>
    </row>
    <row r="769" spans="6:6" x14ac:dyDescent="0.25">
      <c r="F769" s="38"/>
    </row>
    <row r="770" spans="6:6" x14ac:dyDescent="0.25">
      <c r="F770" s="38"/>
    </row>
    <row r="771" spans="6:6" x14ac:dyDescent="0.25">
      <c r="F771" s="38"/>
    </row>
    <row r="772" spans="6:6" x14ac:dyDescent="0.25">
      <c r="F772" s="38"/>
    </row>
    <row r="773" spans="6:6" x14ac:dyDescent="0.25">
      <c r="F773" s="38"/>
    </row>
    <row r="774" spans="6:6" x14ac:dyDescent="0.25">
      <c r="F774" s="38"/>
    </row>
    <row r="775" spans="6:6" x14ac:dyDescent="0.25">
      <c r="F775" s="38"/>
    </row>
    <row r="776" spans="6:6" x14ac:dyDescent="0.25">
      <c r="F776" s="38"/>
    </row>
    <row r="777" spans="6:6" x14ac:dyDescent="0.25">
      <c r="F777" s="38"/>
    </row>
    <row r="778" spans="6:6" x14ac:dyDescent="0.25">
      <c r="F778" s="38"/>
    </row>
    <row r="779" spans="6:6" x14ac:dyDescent="0.25">
      <c r="F779" s="38"/>
    </row>
    <row r="780" spans="6:6" x14ac:dyDescent="0.25">
      <c r="F780" s="38"/>
    </row>
    <row r="781" spans="6:6" x14ac:dyDescent="0.25">
      <c r="F781" s="38"/>
    </row>
    <row r="782" spans="6:6" x14ac:dyDescent="0.25">
      <c r="F782" s="38"/>
    </row>
    <row r="783" spans="6:6" x14ac:dyDescent="0.25">
      <c r="F783" s="38"/>
    </row>
    <row r="784" spans="6:6" x14ac:dyDescent="0.25">
      <c r="F784" s="38"/>
    </row>
    <row r="785" spans="6:6" x14ac:dyDescent="0.25">
      <c r="F785" s="38"/>
    </row>
    <row r="786" spans="6:6" x14ac:dyDescent="0.25">
      <c r="F786" s="38"/>
    </row>
    <row r="787" spans="6:6" x14ac:dyDescent="0.25">
      <c r="F787" s="38"/>
    </row>
    <row r="788" spans="6:6" x14ac:dyDescent="0.25">
      <c r="F788" s="38"/>
    </row>
    <row r="789" spans="6:6" x14ac:dyDescent="0.25">
      <c r="F789" s="38"/>
    </row>
    <row r="790" spans="6:6" x14ac:dyDescent="0.25">
      <c r="F790" s="38"/>
    </row>
    <row r="791" spans="6:6" x14ac:dyDescent="0.25">
      <c r="F791" s="38"/>
    </row>
    <row r="792" spans="6:6" x14ac:dyDescent="0.25">
      <c r="F792" s="38"/>
    </row>
    <row r="793" spans="6:6" x14ac:dyDescent="0.25">
      <c r="F793" s="38"/>
    </row>
    <row r="794" spans="6:6" x14ac:dyDescent="0.25">
      <c r="F794" s="38"/>
    </row>
    <row r="795" spans="6:6" x14ac:dyDescent="0.25">
      <c r="F795" s="38"/>
    </row>
    <row r="796" spans="6:6" x14ac:dyDescent="0.25">
      <c r="F796" s="38"/>
    </row>
    <row r="797" spans="6:6" x14ac:dyDescent="0.25">
      <c r="F797" s="38"/>
    </row>
    <row r="798" spans="6:6" x14ac:dyDescent="0.25">
      <c r="F798" s="38"/>
    </row>
    <row r="799" spans="6:6" x14ac:dyDescent="0.25">
      <c r="F799" s="38"/>
    </row>
    <row r="800" spans="6:6" x14ac:dyDescent="0.25">
      <c r="F800" s="38"/>
    </row>
    <row r="801" spans="6:6" x14ac:dyDescent="0.25">
      <c r="F801" s="38"/>
    </row>
    <row r="802" spans="6:6" x14ac:dyDescent="0.25">
      <c r="F802" s="38"/>
    </row>
    <row r="803" spans="6:6" x14ac:dyDescent="0.25">
      <c r="F803" s="38"/>
    </row>
    <row r="804" spans="6:6" x14ac:dyDescent="0.25">
      <c r="F804" s="38"/>
    </row>
    <row r="805" spans="6:6" x14ac:dyDescent="0.25">
      <c r="F805" s="38"/>
    </row>
    <row r="806" spans="6:6" x14ac:dyDescent="0.25">
      <c r="F806" s="38"/>
    </row>
    <row r="807" spans="6:6" x14ac:dyDescent="0.25">
      <c r="F807" s="38"/>
    </row>
    <row r="808" spans="6:6" x14ac:dyDescent="0.25">
      <c r="F808" s="38"/>
    </row>
    <row r="809" spans="6:6" x14ac:dyDescent="0.25">
      <c r="F809" s="38"/>
    </row>
    <row r="810" spans="6:6" x14ac:dyDescent="0.25">
      <c r="F810" s="38"/>
    </row>
    <row r="811" spans="6:6" x14ac:dyDescent="0.25">
      <c r="F811" s="38"/>
    </row>
    <row r="812" spans="6:6" x14ac:dyDescent="0.25">
      <c r="F812" s="38"/>
    </row>
    <row r="813" spans="6:6" x14ac:dyDescent="0.25">
      <c r="F813" s="38"/>
    </row>
    <row r="814" spans="6:6" x14ac:dyDescent="0.25">
      <c r="F814" s="38"/>
    </row>
    <row r="815" spans="6:6" x14ac:dyDescent="0.25">
      <c r="F815" s="38"/>
    </row>
    <row r="816" spans="6:6" x14ac:dyDescent="0.25">
      <c r="F816" s="38"/>
    </row>
    <row r="817" spans="6:6" x14ac:dyDescent="0.25">
      <c r="F817" s="38"/>
    </row>
    <row r="818" spans="6:6" x14ac:dyDescent="0.25">
      <c r="F818" s="38"/>
    </row>
    <row r="819" spans="6:6" x14ac:dyDescent="0.25">
      <c r="F819" s="38"/>
    </row>
    <row r="820" spans="6:6" x14ac:dyDescent="0.25">
      <c r="F820" s="38"/>
    </row>
    <row r="821" spans="6:6" x14ac:dyDescent="0.25">
      <c r="F821" s="38"/>
    </row>
    <row r="822" spans="6:6" x14ac:dyDescent="0.25">
      <c r="F822" s="38"/>
    </row>
    <row r="823" spans="6:6" x14ac:dyDescent="0.25">
      <c r="F823" s="38"/>
    </row>
    <row r="824" spans="6:6" x14ac:dyDescent="0.25">
      <c r="F824" s="38"/>
    </row>
    <row r="825" spans="6:6" x14ac:dyDescent="0.25">
      <c r="F825" s="38"/>
    </row>
    <row r="826" spans="6:6" x14ac:dyDescent="0.25">
      <c r="F826" s="38"/>
    </row>
    <row r="827" spans="6:6" x14ac:dyDescent="0.25">
      <c r="F827" s="38"/>
    </row>
    <row r="828" spans="6:6" x14ac:dyDescent="0.25">
      <c r="F828" s="38"/>
    </row>
    <row r="829" spans="6:6" x14ac:dyDescent="0.25">
      <c r="F829" s="38"/>
    </row>
    <row r="830" spans="6:6" x14ac:dyDescent="0.25">
      <c r="F830" s="38"/>
    </row>
    <row r="831" spans="6:6" x14ac:dyDescent="0.25">
      <c r="F831" s="38"/>
    </row>
    <row r="832" spans="6:6" x14ac:dyDescent="0.25">
      <c r="F832" s="38"/>
    </row>
    <row r="833" spans="6:6" x14ac:dyDescent="0.25">
      <c r="F833" s="38"/>
    </row>
    <row r="834" spans="6:6" x14ac:dyDescent="0.25">
      <c r="F834" s="38"/>
    </row>
    <row r="835" spans="6:6" x14ac:dyDescent="0.25">
      <c r="F835" s="38"/>
    </row>
    <row r="836" spans="6:6" x14ac:dyDescent="0.25">
      <c r="F836" s="38"/>
    </row>
    <row r="837" spans="6:6" x14ac:dyDescent="0.25">
      <c r="F837" s="38"/>
    </row>
    <row r="838" spans="6:6" x14ac:dyDescent="0.25">
      <c r="F838" s="38"/>
    </row>
    <row r="839" spans="6:6" x14ac:dyDescent="0.25">
      <c r="F839" s="38"/>
    </row>
    <row r="840" spans="6:6" x14ac:dyDescent="0.25">
      <c r="F840" s="38"/>
    </row>
    <row r="841" spans="6:6" x14ac:dyDescent="0.25">
      <c r="F841" s="38"/>
    </row>
    <row r="842" spans="6:6" x14ac:dyDescent="0.25">
      <c r="F842" s="38"/>
    </row>
    <row r="843" spans="6:6" x14ac:dyDescent="0.25">
      <c r="F843" s="38"/>
    </row>
    <row r="844" spans="6:6" x14ac:dyDescent="0.25">
      <c r="F844" s="38"/>
    </row>
    <row r="845" spans="6:6" x14ac:dyDescent="0.25">
      <c r="F845" s="38"/>
    </row>
    <row r="846" spans="6:6" x14ac:dyDescent="0.25">
      <c r="F846" s="38"/>
    </row>
    <row r="847" spans="6:6" x14ac:dyDescent="0.25">
      <c r="F847" s="38"/>
    </row>
    <row r="848" spans="6:6" x14ac:dyDescent="0.25">
      <c r="F848" s="38"/>
    </row>
    <row r="849" spans="6:6" x14ac:dyDescent="0.25">
      <c r="F849" s="38"/>
    </row>
    <row r="850" spans="6:6" x14ac:dyDescent="0.25">
      <c r="F850" s="38"/>
    </row>
    <row r="851" spans="6:6" x14ac:dyDescent="0.25">
      <c r="F851" s="38"/>
    </row>
    <row r="852" spans="6:6" x14ac:dyDescent="0.25">
      <c r="F852" s="38"/>
    </row>
    <row r="853" spans="6:6" x14ac:dyDescent="0.25">
      <c r="F853" s="38"/>
    </row>
    <row r="854" spans="6:6" x14ac:dyDescent="0.25">
      <c r="F854" s="38"/>
    </row>
    <row r="855" spans="6:6" x14ac:dyDescent="0.25">
      <c r="F855" s="38"/>
    </row>
    <row r="856" spans="6:6" x14ac:dyDescent="0.25">
      <c r="F856" s="38"/>
    </row>
    <row r="857" spans="6:6" x14ac:dyDescent="0.25">
      <c r="F857" s="38"/>
    </row>
    <row r="858" spans="6:6" x14ac:dyDescent="0.25">
      <c r="F858" s="38"/>
    </row>
    <row r="859" spans="6:6" x14ac:dyDescent="0.25">
      <c r="F859" s="38"/>
    </row>
    <row r="860" spans="6:6" x14ac:dyDescent="0.25">
      <c r="F860" s="38"/>
    </row>
    <row r="861" spans="6:6" x14ac:dyDescent="0.25">
      <c r="F861" s="38"/>
    </row>
    <row r="862" spans="6:6" x14ac:dyDescent="0.25">
      <c r="F862" s="38"/>
    </row>
    <row r="863" spans="6:6" x14ac:dyDescent="0.25">
      <c r="F863" s="38"/>
    </row>
    <row r="864" spans="6:6" x14ac:dyDescent="0.25">
      <c r="F864" s="38"/>
    </row>
    <row r="865" spans="6:6" x14ac:dyDescent="0.25">
      <c r="F865" s="38"/>
    </row>
    <row r="866" spans="6:6" x14ac:dyDescent="0.25">
      <c r="F866" s="38"/>
    </row>
    <row r="867" spans="6:6" x14ac:dyDescent="0.25">
      <c r="F867" s="38"/>
    </row>
    <row r="868" spans="6:6" x14ac:dyDescent="0.25">
      <c r="F868" s="38"/>
    </row>
    <row r="869" spans="6:6" x14ac:dyDescent="0.25">
      <c r="F869" s="38"/>
    </row>
    <row r="870" spans="6:6" x14ac:dyDescent="0.25">
      <c r="F870" s="38"/>
    </row>
    <row r="871" spans="6:6" x14ac:dyDescent="0.25">
      <c r="F871" s="38"/>
    </row>
    <row r="872" spans="6:6" x14ac:dyDescent="0.25">
      <c r="F872" s="38"/>
    </row>
    <row r="873" spans="6:6" x14ac:dyDescent="0.25">
      <c r="F873" s="38"/>
    </row>
    <row r="874" spans="6:6" x14ac:dyDescent="0.25">
      <c r="F874" s="38"/>
    </row>
    <row r="875" spans="6:6" x14ac:dyDescent="0.25">
      <c r="F875" s="38"/>
    </row>
    <row r="876" spans="6:6" x14ac:dyDescent="0.25">
      <c r="F876" s="38"/>
    </row>
    <row r="877" spans="6:6" x14ac:dyDescent="0.25">
      <c r="F877" s="38"/>
    </row>
    <row r="878" spans="6:6" x14ac:dyDescent="0.25">
      <c r="F878" s="38"/>
    </row>
    <row r="879" spans="6:6" x14ac:dyDescent="0.25">
      <c r="F879" s="38"/>
    </row>
    <row r="880" spans="6:6" x14ac:dyDescent="0.25">
      <c r="F880" s="38"/>
    </row>
    <row r="881" spans="6:6" x14ac:dyDescent="0.25">
      <c r="F881" s="38"/>
    </row>
    <row r="882" spans="6:6" x14ac:dyDescent="0.25">
      <c r="F882" s="38"/>
    </row>
    <row r="883" spans="6:6" x14ac:dyDescent="0.25">
      <c r="F883" s="38"/>
    </row>
    <row r="884" spans="6:6" x14ac:dyDescent="0.25">
      <c r="F884" s="38"/>
    </row>
    <row r="885" spans="6:6" x14ac:dyDescent="0.25">
      <c r="F885" s="38"/>
    </row>
    <row r="886" spans="6:6" x14ac:dyDescent="0.25">
      <c r="F886" s="38"/>
    </row>
    <row r="887" spans="6:6" x14ac:dyDescent="0.25">
      <c r="F887" s="38"/>
    </row>
    <row r="888" spans="6:6" x14ac:dyDescent="0.25">
      <c r="F888" s="38"/>
    </row>
    <row r="889" spans="6:6" x14ac:dyDescent="0.25">
      <c r="F889" s="38"/>
    </row>
    <row r="890" spans="6:6" x14ac:dyDescent="0.25">
      <c r="F890" s="38"/>
    </row>
    <row r="891" spans="6:6" x14ac:dyDescent="0.25">
      <c r="F891" s="38"/>
    </row>
    <row r="892" spans="6:6" x14ac:dyDescent="0.25">
      <c r="F892" s="38"/>
    </row>
    <row r="893" spans="6:6" x14ac:dyDescent="0.25">
      <c r="F893" s="38"/>
    </row>
    <row r="894" spans="6:6" x14ac:dyDescent="0.25">
      <c r="F894" s="38"/>
    </row>
    <row r="895" spans="6:6" x14ac:dyDescent="0.25">
      <c r="F895" s="38"/>
    </row>
    <row r="896" spans="6:6" x14ac:dyDescent="0.25">
      <c r="F896" s="38"/>
    </row>
    <row r="897" spans="6:6" x14ac:dyDescent="0.25">
      <c r="F897" s="38"/>
    </row>
    <row r="898" spans="6:6" x14ac:dyDescent="0.25">
      <c r="F898" s="38"/>
    </row>
    <row r="899" spans="6:6" x14ac:dyDescent="0.25">
      <c r="F899" s="38"/>
    </row>
    <row r="900" spans="6:6" x14ac:dyDescent="0.25">
      <c r="F900" s="38"/>
    </row>
    <row r="901" spans="6:6" x14ac:dyDescent="0.25">
      <c r="F901" s="38"/>
    </row>
    <row r="902" spans="6:6" x14ac:dyDescent="0.25">
      <c r="F902" s="38"/>
    </row>
    <row r="903" spans="6:6" x14ac:dyDescent="0.25">
      <c r="F903" s="38"/>
    </row>
    <row r="904" spans="6:6" x14ac:dyDescent="0.25">
      <c r="F904" s="38"/>
    </row>
    <row r="905" spans="6:6" x14ac:dyDescent="0.25">
      <c r="F905" s="38"/>
    </row>
    <row r="906" spans="6:6" x14ac:dyDescent="0.25">
      <c r="F906" s="38"/>
    </row>
    <row r="907" spans="6:6" x14ac:dyDescent="0.25">
      <c r="F907" s="38"/>
    </row>
    <row r="908" spans="6:6" x14ac:dyDescent="0.25">
      <c r="F908" s="38"/>
    </row>
    <row r="909" spans="6:6" x14ac:dyDescent="0.25">
      <c r="F909" s="38"/>
    </row>
    <row r="910" spans="6:6" x14ac:dyDescent="0.25">
      <c r="F910" s="38"/>
    </row>
    <row r="911" spans="6:6" x14ac:dyDescent="0.25">
      <c r="F911" s="38"/>
    </row>
    <row r="912" spans="6:6" x14ac:dyDescent="0.25">
      <c r="F912" s="38"/>
    </row>
    <row r="913" spans="6:6" x14ac:dyDescent="0.25">
      <c r="F913" s="38"/>
    </row>
    <row r="914" spans="6:6" x14ac:dyDescent="0.25">
      <c r="F914" s="38"/>
    </row>
    <row r="915" spans="6:6" x14ac:dyDescent="0.25">
      <c r="F915" s="38"/>
    </row>
    <row r="916" spans="6:6" x14ac:dyDescent="0.25">
      <c r="F916" s="38"/>
    </row>
    <row r="917" spans="6:6" x14ac:dyDescent="0.25">
      <c r="F917" s="38"/>
    </row>
    <row r="918" spans="6:6" x14ac:dyDescent="0.25">
      <c r="F918" s="38"/>
    </row>
    <row r="919" spans="6:6" x14ac:dyDescent="0.25">
      <c r="F919" s="38"/>
    </row>
    <row r="920" spans="6:6" x14ac:dyDescent="0.25">
      <c r="F920" s="38"/>
    </row>
    <row r="921" spans="6:6" x14ac:dyDescent="0.25">
      <c r="F921" s="38"/>
    </row>
    <row r="922" spans="6:6" x14ac:dyDescent="0.25">
      <c r="F922" s="38"/>
    </row>
    <row r="923" spans="6:6" x14ac:dyDescent="0.25">
      <c r="F923" s="38"/>
    </row>
    <row r="924" spans="6:6" x14ac:dyDescent="0.25">
      <c r="F924" s="38"/>
    </row>
    <row r="925" spans="6:6" x14ac:dyDescent="0.25">
      <c r="F925" s="38"/>
    </row>
    <row r="926" spans="6:6" x14ac:dyDescent="0.25">
      <c r="F926" s="38"/>
    </row>
    <row r="927" spans="6:6" x14ac:dyDescent="0.25">
      <c r="F927" s="38"/>
    </row>
    <row r="928" spans="6:6" x14ac:dyDescent="0.25">
      <c r="F928" s="38"/>
    </row>
    <row r="929" spans="6:6" x14ac:dyDescent="0.25">
      <c r="F929" s="38"/>
    </row>
    <row r="930" spans="6:6" x14ac:dyDescent="0.25">
      <c r="F930" s="38"/>
    </row>
    <row r="931" spans="6:6" x14ac:dyDescent="0.25">
      <c r="F931" s="38"/>
    </row>
    <row r="932" spans="6:6" x14ac:dyDescent="0.25">
      <c r="F932" s="38"/>
    </row>
    <row r="933" spans="6:6" x14ac:dyDescent="0.25">
      <c r="F933" s="38"/>
    </row>
    <row r="934" spans="6:6" x14ac:dyDescent="0.25">
      <c r="F934" s="38"/>
    </row>
    <row r="935" spans="6:6" x14ac:dyDescent="0.25">
      <c r="F935" s="38"/>
    </row>
    <row r="936" spans="6:6" x14ac:dyDescent="0.25">
      <c r="F936" s="38"/>
    </row>
    <row r="937" spans="6:6" x14ac:dyDescent="0.25">
      <c r="F937" s="38"/>
    </row>
    <row r="938" spans="6:6" x14ac:dyDescent="0.25">
      <c r="F938" s="38"/>
    </row>
    <row r="939" spans="6:6" x14ac:dyDescent="0.25">
      <c r="F939" s="38"/>
    </row>
    <row r="940" spans="6:6" x14ac:dyDescent="0.25">
      <c r="F940" s="38"/>
    </row>
    <row r="941" spans="6:6" x14ac:dyDescent="0.25">
      <c r="F941" s="38"/>
    </row>
    <row r="942" spans="6:6" x14ac:dyDescent="0.25">
      <c r="F942" s="38"/>
    </row>
    <row r="943" spans="6:6" x14ac:dyDescent="0.25">
      <c r="F943" s="38"/>
    </row>
    <row r="944" spans="6:6" x14ac:dyDescent="0.25">
      <c r="F944" s="38"/>
    </row>
    <row r="945" spans="6:6" x14ac:dyDescent="0.25">
      <c r="F945" s="38"/>
    </row>
    <row r="946" spans="6:6" x14ac:dyDescent="0.25">
      <c r="F946" s="38"/>
    </row>
    <row r="947" spans="6:6" x14ac:dyDescent="0.25">
      <c r="F947" s="38"/>
    </row>
    <row r="948" spans="6:6" x14ac:dyDescent="0.25">
      <c r="F948" s="38"/>
    </row>
    <row r="949" spans="6:6" x14ac:dyDescent="0.25">
      <c r="F949" s="38"/>
    </row>
    <row r="950" spans="6:6" x14ac:dyDescent="0.25">
      <c r="F950" s="38"/>
    </row>
    <row r="951" spans="6:6" x14ac:dyDescent="0.25">
      <c r="F951" s="38"/>
    </row>
    <row r="952" spans="6:6" x14ac:dyDescent="0.25">
      <c r="F952" s="38"/>
    </row>
    <row r="953" spans="6:6" x14ac:dyDescent="0.25">
      <c r="F953" s="38"/>
    </row>
    <row r="954" spans="6:6" x14ac:dyDescent="0.25">
      <c r="F954" s="38"/>
    </row>
    <row r="955" spans="6:6" x14ac:dyDescent="0.25">
      <c r="F955" s="38"/>
    </row>
    <row r="956" spans="6:6" x14ac:dyDescent="0.25">
      <c r="F956" s="38"/>
    </row>
    <row r="957" spans="6:6" x14ac:dyDescent="0.25">
      <c r="F957" s="38"/>
    </row>
    <row r="958" spans="6:6" x14ac:dyDescent="0.25">
      <c r="F958" s="38"/>
    </row>
    <row r="959" spans="6:6" x14ac:dyDescent="0.25">
      <c r="F959" s="38"/>
    </row>
    <row r="960" spans="6:6" x14ac:dyDescent="0.25">
      <c r="F960" s="38"/>
    </row>
    <row r="961" spans="6:6" x14ac:dyDescent="0.25">
      <c r="F961" s="38"/>
    </row>
    <row r="962" spans="6:6" x14ac:dyDescent="0.25">
      <c r="F962" s="38"/>
    </row>
    <row r="963" spans="6:6" x14ac:dyDescent="0.25">
      <c r="F963" s="38"/>
    </row>
    <row r="964" spans="6:6" x14ac:dyDescent="0.25">
      <c r="F964" s="38"/>
    </row>
    <row r="965" spans="6:6" x14ac:dyDescent="0.25">
      <c r="F965" s="38"/>
    </row>
    <row r="966" spans="6:6" x14ac:dyDescent="0.25">
      <c r="F966" s="38"/>
    </row>
    <row r="967" spans="6:6" x14ac:dyDescent="0.25">
      <c r="F967" s="38"/>
    </row>
    <row r="968" spans="6:6" x14ac:dyDescent="0.25">
      <c r="F968" s="38"/>
    </row>
    <row r="969" spans="6:6" x14ac:dyDescent="0.25">
      <c r="F969" s="38"/>
    </row>
    <row r="970" spans="6:6" x14ac:dyDescent="0.25">
      <c r="F970" s="38"/>
    </row>
    <row r="971" spans="6:6" x14ac:dyDescent="0.25">
      <c r="F971" s="38"/>
    </row>
    <row r="972" spans="6:6" x14ac:dyDescent="0.25">
      <c r="F972" s="38"/>
    </row>
    <row r="973" spans="6:6" x14ac:dyDescent="0.25">
      <c r="F973" s="38"/>
    </row>
    <row r="974" spans="6:6" x14ac:dyDescent="0.25">
      <c r="F974" s="38"/>
    </row>
    <row r="975" spans="6:6" x14ac:dyDescent="0.25">
      <c r="F975" s="38"/>
    </row>
    <row r="976" spans="6:6" x14ac:dyDescent="0.25">
      <c r="F976" s="38"/>
    </row>
    <row r="977" spans="6:6" x14ac:dyDescent="0.25">
      <c r="F977" s="38"/>
    </row>
    <row r="978" spans="6:6" x14ac:dyDescent="0.25">
      <c r="F978" s="38"/>
    </row>
    <row r="979" spans="6:6" x14ac:dyDescent="0.25">
      <c r="F979" s="38"/>
    </row>
    <row r="980" spans="6:6" x14ac:dyDescent="0.25">
      <c r="F980" s="38"/>
    </row>
    <row r="981" spans="6:6" x14ac:dyDescent="0.25">
      <c r="F981" s="38"/>
    </row>
    <row r="982" spans="6:6" x14ac:dyDescent="0.25">
      <c r="F982" s="38"/>
    </row>
    <row r="983" spans="6:6" x14ac:dyDescent="0.25">
      <c r="F983" s="38"/>
    </row>
    <row r="984" spans="6:6" x14ac:dyDescent="0.25">
      <c r="F984" s="38"/>
    </row>
    <row r="985" spans="6:6" x14ac:dyDescent="0.25">
      <c r="F985" s="38"/>
    </row>
    <row r="986" spans="6:6" x14ac:dyDescent="0.25">
      <c r="F986" s="38"/>
    </row>
    <row r="987" spans="6:6" x14ac:dyDescent="0.25">
      <c r="F987" s="38"/>
    </row>
    <row r="988" spans="6:6" x14ac:dyDescent="0.25">
      <c r="F988" s="38"/>
    </row>
    <row r="989" spans="6:6" x14ac:dyDescent="0.25">
      <c r="F989" s="38"/>
    </row>
    <row r="990" spans="6:6" x14ac:dyDescent="0.25">
      <c r="F990" s="38"/>
    </row>
    <row r="991" spans="6:6" x14ac:dyDescent="0.25">
      <c r="F991" s="38"/>
    </row>
    <row r="992" spans="6:6" x14ac:dyDescent="0.25">
      <c r="F992" s="38"/>
    </row>
    <row r="993" spans="6:6" x14ac:dyDescent="0.25">
      <c r="F993" s="38"/>
    </row>
    <row r="994" spans="6:6" x14ac:dyDescent="0.25">
      <c r="F994" s="38"/>
    </row>
    <row r="995" spans="6:6" x14ac:dyDescent="0.25">
      <c r="F995" s="38"/>
    </row>
    <row r="996" spans="6:6" x14ac:dyDescent="0.25">
      <c r="F996" s="38"/>
    </row>
    <row r="997" spans="6:6" x14ac:dyDescent="0.25">
      <c r="F997" s="38"/>
    </row>
    <row r="998" spans="6:6" x14ac:dyDescent="0.25">
      <c r="F998" s="38"/>
    </row>
    <row r="999" spans="6:6" x14ac:dyDescent="0.25">
      <c r="F999" s="38"/>
    </row>
    <row r="1000" spans="6:6" x14ac:dyDescent="0.25">
      <c r="F1000" s="38"/>
    </row>
    <row r="1001" spans="6:6" x14ac:dyDescent="0.25">
      <c r="F1001" s="38"/>
    </row>
    <row r="1002" spans="6:6" x14ac:dyDescent="0.25">
      <c r="F1002" s="38"/>
    </row>
    <row r="1003" spans="6:6" x14ac:dyDescent="0.25">
      <c r="F1003" s="38"/>
    </row>
    <row r="1004" spans="6:6" x14ac:dyDescent="0.25">
      <c r="F1004" s="38"/>
    </row>
    <row r="1005" spans="6:6" x14ac:dyDescent="0.25">
      <c r="F1005" s="38"/>
    </row>
    <row r="1006" spans="6:6" x14ac:dyDescent="0.25">
      <c r="F1006" s="38"/>
    </row>
    <row r="1007" spans="6:6" x14ac:dyDescent="0.25">
      <c r="F1007" s="38"/>
    </row>
    <row r="1008" spans="6:6" x14ac:dyDescent="0.25">
      <c r="F1008" s="38"/>
    </row>
    <row r="1009" spans="6:6" x14ac:dyDescent="0.25">
      <c r="F1009" s="38"/>
    </row>
    <row r="1010" spans="6:6" x14ac:dyDescent="0.25">
      <c r="F1010" s="38"/>
    </row>
    <row r="1011" spans="6:6" x14ac:dyDescent="0.25">
      <c r="F1011" s="38"/>
    </row>
    <row r="1012" spans="6:6" x14ac:dyDescent="0.25">
      <c r="F1012" s="38"/>
    </row>
    <row r="1013" spans="6:6" x14ac:dyDescent="0.25">
      <c r="F1013" s="38"/>
    </row>
    <row r="1014" spans="6:6" x14ac:dyDescent="0.25">
      <c r="F1014" s="38"/>
    </row>
    <row r="1015" spans="6:6" x14ac:dyDescent="0.25">
      <c r="F1015" s="38"/>
    </row>
    <row r="1016" spans="6:6" x14ac:dyDescent="0.25">
      <c r="F1016" s="38"/>
    </row>
    <row r="1017" spans="6:6" x14ac:dyDescent="0.25">
      <c r="F1017" s="38"/>
    </row>
    <row r="1018" spans="6:6" x14ac:dyDescent="0.25">
      <c r="F1018" s="38"/>
    </row>
    <row r="1019" spans="6:6" x14ac:dyDescent="0.25">
      <c r="F1019" s="38"/>
    </row>
    <row r="1020" spans="6:6" x14ac:dyDescent="0.25">
      <c r="F1020" s="38"/>
    </row>
    <row r="1021" spans="6:6" x14ac:dyDescent="0.25">
      <c r="F1021" s="38"/>
    </row>
    <row r="1022" spans="6:6" x14ac:dyDescent="0.25">
      <c r="F1022" s="38"/>
    </row>
    <row r="1023" spans="6:6" x14ac:dyDescent="0.25">
      <c r="F1023" s="38"/>
    </row>
    <row r="1024" spans="6:6" x14ac:dyDescent="0.25">
      <c r="F1024" s="38"/>
    </row>
    <row r="1025" spans="6:6" x14ac:dyDescent="0.25">
      <c r="F1025" s="38"/>
    </row>
    <row r="1026" spans="6:6" x14ac:dyDescent="0.25">
      <c r="F1026" s="38"/>
    </row>
    <row r="1027" spans="6:6" x14ac:dyDescent="0.25">
      <c r="F1027" s="38"/>
    </row>
    <row r="1028" spans="6:6" x14ac:dyDescent="0.25">
      <c r="F1028" s="38"/>
    </row>
    <row r="1029" spans="6:6" x14ac:dyDescent="0.25">
      <c r="F1029" s="38"/>
    </row>
    <row r="1030" spans="6:6" x14ac:dyDescent="0.25">
      <c r="F1030" s="38"/>
    </row>
    <row r="1031" spans="6:6" x14ac:dyDescent="0.25">
      <c r="F1031" s="38"/>
    </row>
    <row r="1032" spans="6:6" x14ac:dyDescent="0.25">
      <c r="F1032" s="38"/>
    </row>
    <row r="1033" spans="6:6" x14ac:dyDescent="0.25">
      <c r="F1033" s="38"/>
    </row>
    <row r="1034" spans="6:6" x14ac:dyDescent="0.25">
      <c r="F1034" s="38"/>
    </row>
    <row r="1035" spans="6:6" x14ac:dyDescent="0.25">
      <c r="F1035" s="38"/>
    </row>
    <row r="1036" spans="6:6" x14ac:dyDescent="0.25">
      <c r="F1036" s="38"/>
    </row>
    <row r="1037" spans="6:6" x14ac:dyDescent="0.25">
      <c r="F1037" s="38"/>
    </row>
    <row r="1038" spans="6:6" x14ac:dyDescent="0.25">
      <c r="F1038" s="38"/>
    </row>
    <row r="1039" spans="6:6" x14ac:dyDescent="0.25">
      <c r="F1039" s="38"/>
    </row>
    <row r="1040" spans="6:6" x14ac:dyDescent="0.25">
      <c r="F1040" s="38"/>
    </row>
    <row r="1041" spans="6:6" x14ac:dyDescent="0.25">
      <c r="F1041" s="38"/>
    </row>
    <row r="1042" spans="6:6" x14ac:dyDescent="0.25">
      <c r="F1042" s="38"/>
    </row>
    <row r="1043" spans="6:6" x14ac:dyDescent="0.25">
      <c r="F1043" s="38"/>
    </row>
    <row r="1044" spans="6:6" x14ac:dyDescent="0.25">
      <c r="F1044" s="38"/>
    </row>
    <row r="1045" spans="6:6" x14ac:dyDescent="0.25">
      <c r="F1045" s="38"/>
    </row>
    <row r="1046" spans="6:6" x14ac:dyDescent="0.25">
      <c r="F1046" s="38"/>
    </row>
    <row r="1047" spans="6:6" x14ac:dyDescent="0.25">
      <c r="F1047" s="38"/>
    </row>
    <row r="1048" spans="6:6" x14ac:dyDescent="0.25">
      <c r="F1048" s="38"/>
    </row>
    <row r="1049" spans="6:6" x14ac:dyDescent="0.25">
      <c r="F1049" s="38"/>
    </row>
    <row r="1050" spans="6:6" x14ac:dyDescent="0.25">
      <c r="F1050" s="38"/>
    </row>
    <row r="1051" spans="6:6" x14ac:dyDescent="0.25">
      <c r="F1051" s="38"/>
    </row>
    <row r="1052" spans="6:6" x14ac:dyDescent="0.25">
      <c r="F1052" s="38"/>
    </row>
    <row r="1053" spans="6:6" x14ac:dyDescent="0.25">
      <c r="F1053" s="38"/>
    </row>
    <row r="1054" spans="6:6" x14ac:dyDescent="0.25">
      <c r="F1054" s="38"/>
    </row>
    <row r="1055" spans="6:6" x14ac:dyDescent="0.25">
      <c r="F1055" s="38"/>
    </row>
    <row r="1056" spans="6:6" x14ac:dyDescent="0.25">
      <c r="F1056" s="38"/>
    </row>
    <row r="1057" spans="6:6" x14ac:dyDescent="0.25">
      <c r="F1057" s="38"/>
    </row>
    <row r="1058" spans="6:6" x14ac:dyDescent="0.25">
      <c r="F1058" s="38"/>
    </row>
    <row r="1059" spans="6:6" x14ac:dyDescent="0.25">
      <c r="F1059" s="38"/>
    </row>
    <row r="1060" spans="6:6" x14ac:dyDescent="0.25">
      <c r="F1060" s="38"/>
    </row>
    <row r="1061" spans="6:6" x14ac:dyDescent="0.25">
      <c r="F1061" s="38"/>
    </row>
    <row r="1062" spans="6:6" x14ac:dyDescent="0.25">
      <c r="F1062" s="38"/>
    </row>
    <row r="1063" spans="6:6" x14ac:dyDescent="0.25">
      <c r="F1063" s="38"/>
    </row>
    <row r="1064" spans="6:6" x14ac:dyDescent="0.25">
      <c r="F1064" s="38"/>
    </row>
    <row r="1065" spans="6:6" x14ac:dyDescent="0.25">
      <c r="F1065" s="38"/>
    </row>
    <row r="1066" spans="6:6" x14ac:dyDescent="0.25">
      <c r="F1066" s="38"/>
    </row>
    <row r="1067" spans="6:6" x14ac:dyDescent="0.25">
      <c r="F1067" s="38"/>
    </row>
    <row r="1068" spans="6:6" x14ac:dyDescent="0.25">
      <c r="F1068" s="38"/>
    </row>
    <row r="1069" spans="6:6" x14ac:dyDescent="0.25">
      <c r="F1069" s="38"/>
    </row>
    <row r="1070" spans="6:6" x14ac:dyDescent="0.25">
      <c r="F1070" s="38"/>
    </row>
    <row r="1071" spans="6:6" x14ac:dyDescent="0.25">
      <c r="F1071" s="38"/>
    </row>
    <row r="1072" spans="6:6" x14ac:dyDescent="0.25">
      <c r="F1072" s="38"/>
    </row>
    <row r="1073" spans="6:6" x14ac:dyDescent="0.25">
      <c r="F1073" s="38"/>
    </row>
    <row r="1074" spans="6:6" x14ac:dyDescent="0.25">
      <c r="F1074" s="38"/>
    </row>
    <row r="1075" spans="6:6" x14ac:dyDescent="0.25">
      <c r="F1075" s="38"/>
    </row>
    <row r="1076" spans="6:6" x14ac:dyDescent="0.25">
      <c r="F1076" s="38"/>
    </row>
    <row r="1077" spans="6:6" x14ac:dyDescent="0.25">
      <c r="F1077" s="38"/>
    </row>
    <row r="1078" spans="6:6" x14ac:dyDescent="0.25">
      <c r="F1078" s="38"/>
    </row>
    <row r="1079" spans="6:6" x14ac:dyDescent="0.25">
      <c r="F1079" s="38"/>
    </row>
    <row r="1080" spans="6:6" x14ac:dyDescent="0.25">
      <c r="F1080" s="38"/>
    </row>
    <row r="1081" spans="6:6" x14ac:dyDescent="0.25">
      <c r="F1081" s="38"/>
    </row>
    <row r="1082" spans="6:6" x14ac:dyDescent="0.25">
      <c r="F1082" s="38"/>
    </row>
    <row r="1083" spans="6:6" x14ac:dyDescent="0.25">
      <c r="F1083" s="38"/>
    </row>
    <row r="1084" spans="6:6" x14ac:dyDescent="0.25">
      <c r="F1084" s="38"/>
    </row>
    <row r="1085" spans="6:6" x14ac:dyDescent="0.25">
      <c r="F1085" s="38"/>
    </row>
    <row r="1086" spans="6:6" x14ac:dyDescent="0.25">
      <c r="F1086" s="38"/>
    </row>
    <row r="1087" spans="6:6" x14ac:dyDescent="0.25">
      <c r="F1087" s="38"/>
    </row>
    <row r="1088" spans="6:6" x14ac:dyDescent="0.25">
      <c r="F1088" s="38"/>
    </row>
    <row r="1089" spans="6:6" x14ac:dyDescent="0.25">
      <c r="F1089" s="38"/>
    </row>
    <row r="1090" spans="6:6" x14ac:dyDescent="0.25">
      <c r="F1090" s="38"/>
    </row>
    <row r="1091" spans="6:6" x14ac:dyDescent="0.25">
      <c r="F1091" s="38"/>
    </row>
    <row r="1092" spans="6:6" x14ac:dyDescent="0.25">
      <c r="F1092" s="38"/>
    </row>
    <row r="1093" spans="6:6" x14ac:dyDescent="0.25">
      <c r="F1093" s="38"/>
    </row>
    <row r="1094" spans="6:6" x14ac:dyDescent="0.25">
      <c r="F1094" s="38"/>
    </row>
    <row r="1095" spans="6:6" x14ac:dyDescent="0.25">
      <c r="F1095" s="38"/>
    </row>
    <row r="1096" spans="6:6" x14ac:dyDescent="0.25">
      <c r="F1096" s="38"/>
    </row>
    <row r="1097" spans="6:6" x14ac:dyDescent="0.25">
      <c r="F1097" s="38"/>
    </row>
    <row r="1098" spans="6:6" x14ac:dyDescent="0.25">
      <c r="F1098" s="38"/>
    </row>
    <row r="1099" spans="6:6" x14ac:dyDescent="0.25">
      <c r="F1099" s="38"/>
    </row>
    <row r="1100" spans="6:6" x14ac:dyDescent="0.25">
      <c r="F1100" s="38"/>
    </row>
    <row r="1101" spans="6:6" x14ac:dyDescent="0.25">
      <c r="F1101" s="38"/>
    </row>
    <row r="1102" spans="6:6" x14ac:dyDescent="0.25">
      <c r="F1102" s="38"/>
    </row>
    <row r="1103" spans="6:6" x14ac:dyDescent="0.25">
      <c r="F1103" s="38"/>
    </row>
    <row r="1104" spans="6:6" x14ac:dyDescent="0.25">
      <c r="F1104" s="38"/>
    </row>
    <row r="1105" spans="6:6" x14ac:dyDescent="0.25">
      <c r="F1105" s="38"/>
    </row>
    <row r="1106" spans="6:6" x14ac:dyDescent="0.25">
      <c r="F1106" s="38"/>
    </row>
    <row r="1107" spans="6:6" x14ac:dyDescent="0.25">
      <c r="F1107" s="38"/>
    </row>
    <row r="1108" spans="6:6" x14ac:dyDescent="0.25">
      <c r="F1108" s="38"/>
    </row>
    <row r="1109" spans="6:6" x14ac:dyDescent="0.25">
      <c r="F1109" s="38"/>
    </row>
    <row r="1110" spans="6:6" x14ac:dyDescent="0.25">
      <c r="F1110" s="38"/>
    </row>
    <row r="1111" spans="6:6" x14ac:dyDescent="0.25">
      <c r="F1111" s="38"/>
    </row>
    <row r="1112" spans="6:6" x14ac:dyDescent="0.25">
      <c r="F1112" s="38"/>
    </row>
    <row r="1113" spans="6:6" x14ac:dyDescent="0.25">
      <c r="F1113" s="38"/>
    </row>
    <row r="1114" spans="6:6" x14ac:dyDescent="0.25">
      <c r="F1114" s="38"/>
    </row>
    <row r="1115" spans="6:6" x14ac:dyDescent="0.25">
      <c r="F1115" s="38"/>
    </row>
    <row r="1116" spans="6:6" x14ac:dyDescent="0.25">
      <c r="F1116" s="38"/>
    </row>
    <row r="1117" spans="6:6" x14ac:dyDescent="0.25">
      <c r="F1117" s="38"/>
    </row>
    <row r="1118" spans="6:6" x14ac:dyDescent="0.25">
      <c r="F1118" s="38"/>
    </row>
    <row r="1119" spans="6:6" x14ac:dyDescent="0.25">
      <c r="F1119" s="38"/>
    </row>
    <row r="1120" spans="6:6" x14ac:dyDescent="0.25">
      <c r="F1120" s="38"/>
    </row>
    <row r="1121" spans="6:6" x14ac:dyDescent="0.25">
      <c r="F1121" s="38"/>
    </row>
    <row r="1122" spans="6:6" x14ac:dyDescent="0.25">
      <c r="F1122" s="38"/>
    </row>
    <row r="1123" spans="6:6" x14ac:dyDescent="0.25">
      <c r="F1123" s="38"/>
    </row>
    <row r="1124" spans="6:6" x14ac:dyDescent="0.25">
      <c r="F1124" s="38"/>
    </row>
    <row r="1125" spans="6:6" x14ac:dyDescent="0.25">
      <c r="F1125" s="38"/>
    </row>
    <row r="1126" spans="6:6" x14ac:dyDescent="0.25">
      <c r="F1126" s="38"/>
    </row>
    <row r="1127" spans="6:6" x14ac:dyDescent="0.25">
      <c r="F1127" s="38"/>
    </row>
    <row r="1128" spans="6:6" x14ac:dyDescent="0.25">
      <c r="F1128" s="38"/>
    </row>
    <row r="1129" spans="6:6" x14ac:dyDescent="0.25">
      <c r="F1129" s="38"/>
    </row>
    <row r="1130" spans="6:6" x14ac:dyDescent="0.25">
      <c r="F1130" s="38"/>
    </row>
    <row r="1131" spans="6:6" x14ac:dyDescent="0.25">
      <c r="F1131" s="38"/>
    </row>
    <row r="1132" spans="6:6" x14ac:dyDescent="0.25">
      <c r="F1132" s="38"/>
    </row>
    <row r="1133" spans="6:6" x14ac:dyDescent="0.25">
      <c r="F1133" s="38"/>
    </row>
    <row r="1134" spans="6:6" x14ac:dyDescent="0.25">
      <c r="F1134" s="38"/>
    </row>
    <row r="1135" spans="6:6" x14ac:dyDescent="0.25">
      <c r="F1135" s="38"/>
    </row>
    <row r="1136" spans="6:6" x14ac:dyDescent="0.25">
      <c r="F1136" s="38"/>
    </row>
    <row r="1137" spans="6:6" x14ac:dyDescent="0.25">
      <c r="F1137" s="38"/>
    </row>
    <row r="1138" spans="6:6" x14ac:dyDescent="0.25">
      <c r="F1138" s="38"/>
    </row>
    <row r="1139" spans="6:6" x14ac:dyDescent="0.25">
      <c r="F1139" s="38"/>
    </row>
    <row r="1140" spans="6:6" x14ac:dyDescent="0.25">
      <c r="F1140" s="38"/>
    </row>
    <row r="1141" spans="6:6" x14ac:dyDescent="0.25">
      <c r="F1141" s="38"/>
    </row>
    <row r="1142" spans="6:6" x14ac:dyDescent="0.25">
      <c r="F1142" s="38"/>
    </row>
    <row r="1143" spans="6:6" x14ac:dyDescent="0.25">
      <c r="F1143" s="38"/>
    </row>
    <row r="1144" spans="6:6" x14ac:dyDescent="0.25">
      <c r="F1144" s="38"/>
    </row>
    <row r="1145" spans="6:6" x14ac:dyDescent="0.25">
      <c r="F1145" s="38"/>
    </row>
    <row r="1146" spans="6:6" x14ac:dyDescent="0.25">
      <c r="F1146" s="38"/>
    </row>
    <row r="1147" spans="6:6" x14ac:dyDescent="0.25">
      <c r="F1147" s="38"/>
    </row>
    <row r="1148" spans="6:6" x14ac:dyDescent="0.25">
      <c r="F1148" s="38"/>
    </row>
    <row r="1149" spans="6:6" x14ac:dyDescent="0.25">
      <c r="F1149" s="38"/>
    </row>
    <row r="1150" spans="6:6" x14ac:dyDescent="0.25">
      <c r="F1150" s="38"/>
    </row>
    <row r="1151" spans="6:6" x14ac:dyDescent="0.25">
      <c r="F1151" s="38"/>
    </row>
    <row r="1152" spans="6:6" x14ac:dyDescent="0.25">
      <c r="F1152" s="38"/>
    </row>
    <row r="1153" spans="6:6" x14ac:dyDescent="0.25">
      <c r="F1153" s="38"/>
    </row>
    <row r="1154" spans="6:6" x14ac:dyDescent="0.25">
      <c r="F1154" s="38"/>
    </row>
    <row r="1155" spans="6:6" x14ac:dyDescent="0.25">
      <c r="F1155" s="38"/>
    </row>
    <row r="1156" spans="6:6" x14ac:dyDescent="0.25">
      <c r="F1156" s="38"/>
    </row>
    <row r="1157" spans="6:6" x14ac:dyDescent="0.25">
      <c r="F1157" s="38"/>
    </row>
    <row r="1158" spans="6:6" x14ac:dyDescent="0.25">
      <c r="F1158" s="38"/>
    </row>
    <row r="1159" spans="6:6" x14ac:dyDescent="0.25">
      <c r="F1159" s="38"/>
    </row>
    <row r="1160" spans="6:6" x14ac:dyDescent="0.25">
      <c r="F1160" s="38"/>
    </row>
    <row r="1161" spans="6:6" x14ac:dyDescent="0.25">
      <c r="F1161" s="38"/>
    </row>
    <row r="1162" spans="6:6" x14ac:dyDescent="0.25">
      <c r="F1162" s="38"/>
    </row>
    <row r="1163" spans="6:6" x14ac:dyDescent="0.25">
      <c r="F1163" s="38"/>
    </row>
    <row r="1164" spans="6:6" x14ac:dyDescent="0.25">
      <c r="F1164" s="38"/>
    </row>
    <row r="1165" spans="6:6" x14ac:dyDescent="0.25">
      <c r="F1165" s="38"/>
    </row>
    <row r="1166" spans="6:6" x14ac:dyDescent="0.25">
      <c r="F1166" s="38"/>
    </row>
    <row r="1167" spans="6:6" x14ac:dyDescent="0.25">
      <c r="F1167" s="38"/>
    </row>
    <row r="1168" spans="6:6" x14ac:dyDescent="0.25">
      <c r="F1168" s="38"/>
    </row>
    <row r="1169" spans="6:6" x14ac:dyDescent="0.25">
      <c r="F1169" s="38"/>
    </row>
    <row r="1170" spans="6:6" x14ac:dyDescent="0.25">
      <c r="F1170" s="38"/>
    </row>
    <row r="1171" spans="6:6" x14ac:dyDescent="0.25">
      <c r="F1171" s="38"/>
    </row>
    <row r="1172" spans="6:6" x14ac:dyDescent="0.25">
      <c r="F1172" s="38"/>
    </row>
    <row r="1173" spans="6:6" x14ac:dyDescent="0.25">
      <c r="F1173" s="38"/>
    </row>
    <row r="1174" spans="6:6" x14ac:dyDescent="0.25">
      <c r="F1174" s="38"/>
    </row>
    <row r="1175" spans="6:6" x14ac:dyDescent="0.25">
      <c r="F1175" s="38"/>
    </row>
    <row r="1176" spans="6:6" x14ac:dyDescent="0.25">
      <c r="F1176" s="38"/>
    </row>
    <row r="1177" spans="6:6" x14ac:dyDescent="0.25">
      <c r="F1177" s="38"/>
    </row>
    <row r="1178" spans="6:6" x14ac:dyDescent="0.25">
      <c r="F1178" s="38"/>
    </row>
    <row r="1179" spans="6:6" x14ac:dyDescent="0.25">
      <c r="F1179" s="38"/>
    </row>
    <row r="1180" spans="6:6" x14ac:dyDescent="0.25">
      <c r="F1180" s="38"/>
    </row>
    <row r="1181" spans="6:6" x14ac:dyDescent="0.25">
      <c r="F1181" s="38"/>
    </row>
    <row r="1182" spans="6:6" x14ac:dyDescent="0.25">
      <c r="F1182" s="38"/>
    </row>
    <row r="1183" spans="6:6" x14ac:dyDescent="0.25">
      <c r="F1183" s="38"/>
    </row>
    <row r="1184" spans="6:6" x14ac:dyDescent="0.25">
      <c r="F1184" s="38"/>
    </row>
    <row r="1185" spans="6:6" x14ac:dyDescent="0.25">
      <c r="F1185" s="38"/>
    </row>
    <row r="1186" spans="6:6" x14ac:dyDescent="0.25">
      <c r="F1186" s="38"/>
    </row>
    <row r="1187" spans="6:6" x14ac:dyDescent="0.25">
      <c r="F1187" s="38"/>
    </row>
    <row r="1188" spans="6:6" x14ac:dyDescent="0.25">
      <c r="F1188" s="38"/>
    </row>
    <row r="1189" spans="6:6" x14ac:dyDescent="0.25">
      <c r="F1189" s="38"/>
    </row>
    <row r="1190" spans="6:6" x14ac:dyDescent="0.25">
      <c r="F1190" s="38"/>
    </row>
    <row r="1191" spans="6:6" x14ac:dyDescent="0.25">
      <c r="F1191" s="38"/>
    </row>
    <row r="1192" spans="6:6" x14ac:dyDescent="0.25">
      <c r="F1192" s="38"/>
    </row>
    <row r="1193" spans="6:6" x14ac:dyDescent="0.25">
      <c r="F1193" s="38"/>
    </row>
    <row r="1194" spans="6:6" x14ac:dyDescent="0.25">
      <c r="F1194" s="38"/>
    </row>
    <row r="1195" spans="6:6" x14ac:dyDescent="0.25">
      <c r="F1195" s="38"/>
    </row>
    <row r="1196" spans="6:6" x14ac:dyDescent="0.25">
      <c r="F1196" s="38"/>
    </row>
    <row r="1197" spans="6:6" x14ac:dyDescent="0.25">
      <c r="F1197" s="38"/>
    </row>
    <row r="1198" spans="6:6" x14ac:dyDescent="0.25">
      <c r="F1198" s="38"/>
    </row>
    <row r="1199" spans="6:6" x14ac:dyDescent="0.25">
      <c r="F1199" s="38"/>
    </row>
    <row r="1200" spans="6:6" x14ac:dyDescent="0.25">
      <c r="F1200" s="38"/>
    </row>
    <row r="1201" spans="6:6" x14ac:dyDescent="0.25">
      <c r="F1201" s="38"/>
    </row>
    <row r="1202" spans="6:6" x14ac:dyDescent="0.25">
      <c r="F1202" s="38"/>
    </row>
    <row r="1203" spans="6:6" x14ac:dyDescent="0.25">
      <c r="F1203" s="38"/>
    </row>
    <row r="1204" spans="6:6" x14ac:dyDescent="0.25">
      <c r="F1204" s="38"/>
    </row>
    <row r="1205" spans="6:6" x14ac:dyDescent="0.25">
      <c r="F1205" s="38"/>
    </row>
    <row r="1206" spans="6:6" x14ac:dyDescent="0.25">
      <c r="F1206" s="38"/>
    </row>
    <row r="1207" spans="6:6" x14ac:dyDescent="0.25">
      <c r="F1207" s="38"/>
    </row>
    <row r="1208" spans="6:6" x14ac:dyDescent="0.25">
      <c r="F1208" s="38"/>
    </row>
    <row r="1209" spans="6:6" x14ac:dyDescent="0.25">
      <c r="F1209" s="38"/>
    </row>
    <row r="1210" spans="6:6" x14ac:dyDescent="0.25">
      <c r="F1210" s="38"/>
    </row>
    <row r="1211" spans="6:6" x14ac:dyDescent="0.25">
      <c r="F1211" s="38"/>
    </row>
    <row r="1212" spans="6:6" x14ac:dyDescent="0.25">
      <c r="F1212" s="38"/>
    </row>
    <row r="1213" spans="6:6" x14ac:dyDescent="0.25">
      <c r="F1213" s="38"/>
    </row>
    <row r="1214" spans="6:6" x14ac:dyDescent="0.25">
      <c r="F1214" s="38"/>
    </row>
    <row r="1215" spans="6:6" x14ac:dyDescent="0.25">
      <c r="F1215" s="38"/>
    </row>
    <row r="1216" spans="6:6" x14ac:dyDescent="0.25">
      <c r="F1216" s="38"/>
    </row>
    <row r="1217" spans="6:6" x14ac:dyDescent="0.25">
      <c r="F1217" s="38"/>
    </row>
    <row r="1218" spans="6:6" x14ac:dyDescent="0.25">
      <c r="F1218" s="38"/>
    </row>
    <row r="1219" spans="6:6" x14ac:dyDescent="0.25">
      <c r="F1219" s="38"/>
    </row>
    <row r="1220" spans="6:6" x14ac:dyDescent="0.25">
      <c r="F1220" s="38"/>
    </row>
    <row r="1221" spans="6:6" x14ac:dyDescent="0.25">
      <c r="F1221" s="38"/>
    </row>
    <row r="1222" spans="6:6" x14ac:dyDescent="0.25">
      <c r="F1222" s="38"/>
    </row>
    <row r="1223" spans="6:6" x14ac:dyDescent="0.25">
      <c r="F1223" s="38"/>
    </row>
    <row r="1224" spans="6:6" x14ac:dyDescent="0.25">
      <c r="F1224" s="38"/>
    </row>
    <row r="1225" spans="6:6" x14ac:dyDescent="0.25">
      <c r="F1225" s="38"/>
    </row>
    <row r="1226" spans="6:6" x14ac:dyDescent="0.25">
      <c r="F1226" s="38"/>
    </row>
    <row r="1227" spans="6:6" x14ac:dyDescent="0.25">
      <c r="F1227" s="38"/>
    </row>
    <row r="1228" spans="6:6" x14ac:dyDescent="0.25">
      <c r="F1228" s="38"/>
    </row>
    <row r="1229" spans="6:6" x14ac:dyDescent="0.25">
      <c r="F1229" s="38"/>
    </row>
    <row r="1230" spans="6:6" x14ac:dyDescent="0.25">
      <c r="F1230" s="38"/>
    </row>
    <row r="1231" spans="6:6" x14ac:dyDescent="0.25">
      <c r="F1231" s="38"/>
    </row>
    <row r="1232" spans="6:6" x14ac:dyDescent="0.25">
      <c r="F1232" s="38"/>
    </row>
    <row r="1233" spans="6:6" x14ac:dyDescent="0.25">
      <c r="F1233" s="38"/>
    </row>
    <row r="1234" spans="6:6" x14ac:dyDescent="0.25">
      <c r="F1234" s="38"/>
    </row>
    <row r="1235" spans="6:6" x14ac:dyDescent="0.25">
      <c r="F1235" s="38"/>
    </row>
    <row r="1236" spans="6:6" x14ac:dyDescent="0.25">
      <c r="F1236" s="38"/>
    </row>
    <row r="1237" spans="6:6" x14ac:dyDescent="0.25">
      <c r="F1237" s="38"/>
    </row>
    <row r="1238" spans="6:6" x14ac:dyDescent="0.25">
      <c r="F1238" s="38"/>
    </row>
    <row r="1239" spans="6:6" x14ac:dyDescent="0.25">
      <c r="F1239" s="38"/>
    </row>
    <row r="1240" spans="6:6" x14ac:dyDescent="0.25">
      <c r="F1240" s="38"/>
    </row>
    <row r="1241" spans="6:6" x14ac:dyDescent="0.25">
      <c r="F1241" s="38"/>
    </row>
    <row r="1242" spans="6:6" x14ac:dyDescent="0.25">
      <c r="F1242" s="38"/>
    </row>
    <row r="1243" spans="6:6" x14ac:dyDescent="0.25">
      <c r="F1243" s="38"/>
    </row>
    <row r="1244" spans="6:6" x14ac:dyDescent="0.25">
      <c r="F1244" s="38"/>
    </row>
    <row r="1245" spans="6:6" x14ac:dyDescent="0.25">
      <c r="F1245" s="38"/>
    </row>
    <row r="1246" spans="6:6" x14ac:dyDescent="0.25">
      <c r="F1246" s="38"/>
    </row>
    <row r="1247" spans="6:6" x14ac:dyDescent="0.25">
      <c r="F1247" s="38"/>
    </row>
    <row r="1248" spans="6:6" x14ac:dyDescent="0.25">
      <c r="F1248" s="38"/>
    </row>
    <row r="1249" spans="6:6" x14ac:dyDescent="0.25">
      <c r="F1249" s="38"/>
    </row>
    <row r="1250" spans="6:6" x14ac:dyDescent="0.25">
      <c r="F1250" s="38"/>
    </row>
    <row r="1251" spans="6:6" x14ac:dyDescent="0.25">
      <c r="F1251" s="38"/>
    </row>
    <row r="1252" spans="6:6" x14ac:dyDescent="0.25">
      <c r="F1252" s="38"/>
    </row>
    <row r="1253" spans="6:6" x14ac:dyDescent="0.25">
      <c r="F1253" s="38"/>
    </row>
    <row r="1254" spans="6:6" x14ac:dyDescent="0.25">
      <c r="F1254" s="38"/>
    </row>
    <row r="1255" spans="6:6" x14ac:dyDescent="0.25">
      <c r="F1255" s="38"/>
    </row>
    <row r="1256" spans="6:6" x14ac:dyDescent="0.25">
      <c r="F1256" s="38"/>
    </row>
    <row r="1257" spans="6:6" x14ac:dyDescent="0.25">
      <c r="F1257" s="38"/>
    </row>
    <row r="1258" spans="6:6" x14ac:dyDescent="0.25">
      <c r="F1258" s="38"/>
    </row>
    <row r="1259" spans="6:6" x14ac:dyDescent="0.25">
      <c r="F1259" s="38"/>
    </row>
    <row r="1260" spans="6:6" x14ac:dyDescent="0.25">
      <c r="F1260" s="38"/>
    </row>
    <row r="1261" spans="6:6" x14ac:dyDescent="0.25">
      <c r="F1261" s="38"/>
    </row>
    <row r="1262" spans="6:6" x14ac:dyDescent="0.25">
      <c r="F1262" s="38"/>
    </row>
    <row r="1263" spans="6:6" x14ac:dyDescent="0.25">
      <c r="F1263" s="38"/>
    </row>
    <row r="1264" spans="6:6" x14ac:dyDescent="0.25">
      <c r="F1264" s="38"/>
    </row>
    <row r="1265" spans="6:6" x14ac:dyDescent="0.25">
      <c r="F1265" s="38"/>
    </row>
    <row r="1266" spans="6:6" x14ac:dyDescent="0.25">
      <c r="F1266" s="38"/>
    </row>
    <row r="1267" spans="6:6" x14ac:dyDescent="0.25">
      <c r="F1267" s="38"/>
    </row>
    <row r="1268" spans="6:6" x14ac:dyDescent="0.25">
      <c r="F1268" s="38"/>
    </row>
    <row r="1269" spans="6:6" x14ac:dyDescent="0.25">
      <c r="F1269" s="38"/>
    </row>
    <row r="1270" spans="6:6" x14ac:dyDescent="0.25">
      <c r="F1270" s="38"/>
    </row>
    <row r="1271" spans="6:6" x14ac:dyDescent="0.25">
      <c r="F1271" s="38"/>
    </row>
    <row r="1272" spans="6:6" x14ac:dyDescent="0.25">
      <c r="F1272" s="38"/>
    </row>
    <row r="1273" spans="6:6" x14ac:dyDescent="0.25">
      <c r="F1273" s="38"/>
    </row>
    <row r="1274" spans="6:6" x14ac:dyDescent="0.25">
      <c r="F1274" s="38"/>
    </row>
    <row r="1275" spans="6:6" x14ac:dyDescent="0.25">
      <c r="F1275" s="38"/>
    </row>
    <row r="1276" spans="6:6" x14ac:dyDescent="0.25">
      <c r="F1276" s="38"/>
    </row>
    <row r="1277" spans="6:6" x14ac:dyDescent="0.25">
      <c r="F1277" s="38"/>
    </row>
    <row r="1278" spans="6:6" x14ac:dyDescent="0.25">
      <c r="F1278" s="38"/>
    </row>
    <row r="1279" spans="6:6" x14ac:dyDescent="0.25">
      <c r="F1279" s="38"/>
    </row>
    <row r="1280" spans="6:6" x14ac:dyDescent="0.25">
      <c r="F1280" s="38"/>
    </row>
    <row r="1281" spans="6:6" x14ac:dyDescent="0.25">
      <c r="F1281" s="38"/>
    </row>
    <row r="1282" spans="6:6" x14ac:dyDescent="0.25">
      <c r="F1282" s="38"/>
    </row>
    <row r="1283" spans="6:6" x14ac:dyDescent="0.25">
      <c r="F1283" s="38"/>
    </row>
    <row r="1284" spans="6:6" x14ac:dyDescent="0.25">
      <c r="F1284" s="38"/>
    </row>
    <row r="1285" spans="6:6" x14ac:dyDescent="0.25">
      <c r="F1285" s="38"/>
    </row>
    <row r="1286" spans="6:6" x14ac:dyDescent="0.25">
      <c r="F1286" s="38"/>
    </row>
    <row r="1287" spans="6:6" x14ac:dyDescent="0.25">
      <c r="F1287" s="38"/>
    </row>
    <row r="1288" spans="6:6" x14ac:dyDescent="0.25">
      <c r="F1288" s="38"/>
    </row>
    <row r="1289" spans="6:6" x14ac:dyDescent="0.25">
      <c r="F1289" s="38"/>
    </row>
    <row r="1290" spans="6:6" x14ac:dyDescent="0.25">
      <c r="F1290" s="38"/>
    </row>
    <row r="1291" spans="6:6" x14ac:dyDescent="0.25">
      <c r="F1291" s="38"/>
    </row>
    <row r="1292" spans="6:6" x14ac:dyDescent="0.25">
      <c r="F1292" s="38"/>
    </row>
    <row r="1293" spans="6:6" x14ac:dyDescent="0.25">
      <c r="F1293" s="38"/>
    </row>
    <row r="1294" spans="6:6" x14ac:dyDescent="0.25">
      <c r="F1294" s="38"/>
    </row>
    <row r="1295" spans="6:6" x14ac:dyDescent="0.25">
      <c r="F1295" s="38"/>
    </row>
    <row r="1296" spans="6:6" x14ac:dyDescent="0.25">
      <c r="F1296" s="38"/>
    </row>
    <row r="1297" spans="6:6" x14ac:dyDescent="0.25">
      <c r="F1297" s="38"/>
    </row>
    <row r="1298" spans="6:6" x14ac:dyDescent="0.25">
      <c r="F1298" s="38"/>
    </row>
    <row r="1299" spans="6:6" x14ac:dyDescent="0.25">
      <c r="F1299" s="38"/>
    </row>
    <row r="1300" spans="6:6" x14ac:dyDescent="0.25">
      <c r="F1300" s="38"/>
    </row>
    <row r="1301" spans="6:6" x14ac:dyDescent="0.25">
      <c r="F1301" s="38"/>
    </row>
    <row r="1302" spans="6:6" x14ac:dyDescent="0.25">
      <c r="F1302" s="38"/>
    </row>
    <row r="1303" spans="6:6" x14ac:dyDescent="0.25">
      <c r="F1303" s="38"/>
    </row>
    <row r="1304" spans="6:6" x14ac:dyDescent="0.25">
      <c r="F1304" s="38"/>
    </row>
    <row r="1305" spans="6:6" x14ac:dyDescent="0.25">
      <c r="F1305" s="38"/>
    </row>
    <row r="1306" spans="6:6" x14ac:dyDescent="0.25">
      <c r="F1306" s="38"/>
    </row>
    <row r="1307" spans="6:6" x14ac:dyDescent="0.25">
      <c r="F1307" s="38"/>
    </row>
    <row r="1308" spans="6:6" x14ac:dyDescent="0.25">
      <c r="F1308" s="38"/>
    </row>
    <row r="1309" spans="6:6" x14ac:dyDescent="0.25">
      <c r="F1309" s="38"/>
    </row>
    <row r="1310" spans="6:6" x14ac:dyDescent="0.25">
      <c r="F1310" s="38"/>
    </row>
    <row r="1311" spans="6:6" x14ac:dyDescent="0.25">
      <c r="F1311" s="38"/>
    </row>
    <row r="1312" spans="6:6" x14ac:dyDescent="0.25">
      <c r="F1312" s="38"/>
    </row>
    <row r="1313" spans="6:6" x14ac:dyDescent="0.25">
      <c r="F1313" s="38"/>
    </row>
    <row r="1314" spans="6:6" x14ac:dyDescent="0.25">
      <c r="F1314" s="38"/>
    </row>
    <row r="1315" spans="6:6" x14ac:dyDescent="0.25">
      <c r="F1315" s="38"/>
    </row>
    <row r="1316" spans="6:6" x14ac:dyDescent="0.25">
      <c r="F1316" s="38"/>
    </row>
    <row r="1317" spans="6:6" x14ac:dyDescent="0.25">
      <c r="F1317" s="38"/>
    </row>
    <row r="1318" spans="6:6" x14ac:dyDescent="0.25">
      <c r="F1318" s="38"/>
    </row>
    <row r="1319" spans="6:6" x14ac:dyDescent="0.25">
      <c r="F1319" s="38"/>
    </row>
    <row r="1320" spans="6:6" x14ac:dyDescent="0.25">
      <c r="F1320" s="38"/>
    </row>
    <row r="1321" spans="6:6" x14ac:dyDescent="0.25">
      <c r="F1321" s="38"/>
    </row>
    <row r="1322" spans="6:6" x14ac:dyDescent="0.25">
      <c r="F1322" s="38"/>
    </row>
    <row r="1323" spans="6:6" x14ac:dyDescent="0.25">
      <c r="F1323" s="38"/>
    </row>
    <row r="1324" spans="6:6" x14ac:dyDescent="0.25">
      <c r="F1324" s="38"/>
    </row>
    <row r="1325" spans="6:6" x14ac:dyDescent="0.25">
      <c r="F1325" s="38"/>
    </row>
    <row r="1326" spans="6:6" x14ac:dyDescent="0.25">
      <c r="F1326" s="38"/>
    </row>
    <row r="1327" spans="6:6" x14ac:dyDescent="0.25">
      <c r="F1327" s="38"/>
    </row>
    <row r="1328" spans="6:6" x14ac:dyDescent="0.25">
      <c r="F1328" s="38"/>
    </row>
    <row r="1329" spans="6:6" x14ac:dyDescent="0.25">
      <c r="F1329" s="38"/>
    </row>
    <row r="1330" spans="6:6" x14ac:dyDescent="0.25">
      <c r="F1330" s="38"/>
    </row>
    <row r="1331" spans="6:6" x14ac:dyDescent="0.25">
      <c r="F1331" s="38"/>
    </row>
    <row r="1332" spans="6:6" x14ac:dyDescent="0.25">
      <c r="F1332" s="38"/>
    </row>
    <row r="1333" spans="6:6" x14ac:dyDescent="0.25">
      <c r="F1333" s="38"/>
    </row>
    <row r="1334" spans="6:6" x14ac:dyDescent="0.25">
      <c r="F1334" s="38"/>
    </row>
    <row r="1335" spans="6:6" x14ac:dyDescent="0.25">
      <c r="F1335" s="38"/>
    </row>
    <row r="1336" spans="6:6" x14ac:dyDescent="0.25">
      <c r="F1336" s="38"/>
    </row>
    <row r="1337" spans="6:6" x14ac:dyDescent="0.25">
      <c r="F1337" s="38"/>
    </row>
    <row r="1338" spans="6:6" x14ac:dyDescent="0.25">
      <c r="F1338" s="38"/>
    </row>
    <row r="1339" spans="6:6" x14ac:dyDescent="0.25">
      <c r="F1339" s="38"/>
    </row>
    <row r="1340" spans="6:6" x14ac:dyDescent="0.25">
      <c r="F1340" s="38"/>
    </row>
    <row r="1341" spans="6:6" x14ac:dyDescent="0.25">
      <c r="F1341" s="38"/>
    </row>
    <row r="1342" spans="6:6" x14ac:dyDescent="0.25">
      <c r="F1342" s="38"/>
    </row>
    <row r="1343" spans="6:6" x14ac:dyDescent="0.25">
      <c r="F1343" s="38"/>
    </row>
    <row r="1344" spans="6:6" x14ac:dyDescent="0.25">
      <c r="F1344" s="38"/>
    </row>
    <row r="1345" spans="6:6" x14ac:dyDescent="0.25">
      <c r="F1345" s="38"/>
    </row>
    <row r="1346" spans="6:6" x14ac:dyDescent="0.25">
      <c r="F1346" s="38"/>
    </row>
    <row r="1347" spans="6:6" x14ac:dyDescent="0.25">
      <c r="F1347" s="38"/>
    </row>
    <row r="1348" spans="6:6" x14ac:dyDescent="0.25">
      <c r="F1348" s="38"/>
    </row>
    <row r="1349" spans="6:6" x14ac:dyDescent="0.25">
      <c r="F1349" s="38"/>
    </row>
    <row r="1350" spans="6:6" x14ac:dyDescent="0.25">
      <c r="F1350" s="38"/>
    </row>
    <row r="1351" spans="6:6" x14ac:dyDescent="0.25">
      <c r="F1351" s="38"/>
    </row>
    <row r="1352" spans="6:6" x14ac:dyDescent="0.25">
      <c r="F1352" s="38"/>
    </row>
    <row r="1353" spans="6:6" x14ac:dyDescent="0.25">
      <c r="F1353" s="38"/>
    </row>
    <row r="1354" spans="6:6" x14ac:dyDescent="0.25">
      <c r="F1354" s="38"/>
    </row>
    <row r="1355" spans="6:6" x14ac:dyDescent="0.25">
      <c r="F1355" s="38"/>
    </row>
    <row r="1356" spans="6:6" x14ac:dyDescent="0.25">
      <c r="F1356" s="38"/>
    </row>
    <row r="1357" spans="6:6" x14ac:dyDescent="0.25">
      <c r="F1357" s="38"/>
    </row>
    <row r="1358" spans="6:6" x14ac:dyDescent="0.25">
      <c r="F1358" s="38"/>
    </row>
    <row r="1359" spans="6:6" x14ac:dyDescent="0.25">
      <c r="F1359" s="38"/>
    </row>
    <row r="1360" spans="6:6" x14ac:dyDescent="0.25">
      <c r="F1360" s="38"/>
    </row>
    <row r="1361" spans="6:6" x14ac:dyDescent="0.25">
      <c r="F1361" s="38"/>
    </row>
    <row r="1362" spans="6:6" x14ac:dyDescent="0.25">
      <c r="F1362" s="38"/>
    </row>
    <row r="1363" spans="6:6" x14ac:dyDescent="0.25">
      <c r="F1363" s="38"/>
    </row>
    <row r="1364" spans="6:6" x14ac:dyDescent="0.25">
      <c r="F1364" s="38"/>
    </row>
    <row r="1365" spans="6:6" x14ac:dyDescent="0.25">
      <c r="F1365" s="38"/>
    </row>
    <row r="1366" spans="6:6" x14ac:dyDescent="0.25">
      <c r="F1366" s="38"/>
    </row>
    <row r="1367" spans="6:6" x14ac:dyDescent="0.25">
      <c r="F1367" s="38"/>
    </row>
    <row r="1368" spans="6:6" x14ac:dyDescent="0.25">
      <c r="F1368" s="38"/>
    </row>
    <row r="1369" spans="6:6" x14ac:dyDescent="0.25">
      <c r="F1369" s="38"/>
    </row>
    <row r="1370" spans="6:6" x14ac:dyDescent="0.25">
      <c r="F1370" s="38"/>
    </row>
    <row r="1371" spans="6:6" x14ac:dyDescent="0.25">
      <c r="F1371" s="38"/>
    </row>
    <row r="1372" spans="6:6" x14ac:dyDescent="0.25">
      <c r="F1372" s="38"/>
    </row>
    <row r="1373" spans="6:6" x14ac:dyDescent="0.25">
      <c r="F1373" s="38"/>
    </row>
    <row r="1374" spans="6:6" x14ac:dyDescent="0.25">
      <c r="F1374" s="38"/>
    </row>
    <row r="1375" spans="6:6" x14ac:dyDescent="0.25">
      <c r="F1375" s="38"/>
    </row>
    <row r="1376" spans="6:6" x14ac:dyDescent="0.25">
      <c r="F1376" s="38"/>
    </row>
    <row r="1377" spans="6:6" x14ac:dyDescent="0.25">
      <c r="F1377" s="38"/>
    </row>
    <row r="1378" spans="6:6" x14ac:dyDescent="0.25">
      <c r="F1378" s="38"/>
    </row>
    <row r="1379" spans="6:6" x14ac:dyDescent="0.25">
      <c r="F1379" s="38"/>
    </row>
    <row r="1380" spans="6:6" x14ac:dyDescent="0.25">
      <c r="F1380" s="38"/>
    </row>
    <row r="1381" spans="6:6" x14ac:dyDescent="0.25">
      <c r="F1381" s="38"/>
    </row>
    <row r="1382" spans="6:6" x14ac:dyDescent="0.25">
      <c r="F1382" s="38"/>
    </row>
    <row r="1383" spans="6:6" x14ac:dyDescent="0.25">
      <c r="F1383" s="38"/>
    </row>
    <row r="1384" spans="6:6" x14ac:dyDescent="0.25">
      <c r="F1384" s="38"/>
    </row>
    <row r="1385" spans="6:6" x14ac:dyDescent="0.25">
      <c r="F1385" s="38"/>
    </row>
    <row r="1386" spans="6:6" x14ac:dyDescent="0.25">
      <c r="F1386" s="38"/>
    </row>
    <row r="1387" spans="6:6" x14ac:dyDescent="0.25">
      <c r="F1387" s="38"/>
    </row>
    <row r="1388" spans="6:6" x14ac:dyDescent="0.25">
      <c r="F1388" s="38"/>
    </row>
    <row r="1389" spans="6:6" x14ac:dyDescent="0.25">
      <c r="F1389" s="38"/>
    </row>
    <row r="1390" spans="6:6" x14ac:dyDescent="0.25">
      <c r="F1390" s="38"/>
    </row>
    <row r="1391" spans="6:6" x14ac:dyDescent="0.25">
      <c r="F1391" s="38"/>
    </row>
    <row r="1392" spans="6:6" x14ac:dyDescent="0.25">
      <c r="F1392" s="38"/>
    </row>
    <row r="1393" spans="6:6" x14ac:dyDescent="0.25">
      <c r="F1393" s="38"/>
    </row>
    <row r="1394" spans="6:6" x14ac:dyDescent="0.25">
      <c r="F1394" s="38"/>
    </row>
    <row r="1395" spans="6:6" x14ac:dyDescent="0.25">
      <c r="F1395" s="38"/>
    </row>
    <row r="1396" spans="6:6" x14ac:dyDescent="0.25">
      <c r="F1396" s="38"/>
    </row>
    <row r="1397" spans="6:6" x14ac:dyDescent="0.25">
      <c r="F1397" s="38"/>
    </row>
    <row r="1398" spans="6:6" x14ac:dyDescent="0.25">
      <c r="F1398" s="38"/>
    </row>
    <row r="1399" spans="6:6" x14ac:dyDescent="0.25">
      <c r="F1399" s="38"/>
    </row>
    <row r="1400" spans="6:6" x14ac:dyDescent="0.25">
      <c r="F1400" s="38"/>
    </row>
    <row r="1401" spans="6:6" x14ac:dyDescent="0.25">
      <c r="F1401" s="38"/>
    </row>
    <row r="1402" spans="6:6" x14ac:dyDescent="0.25">
      <c r="F1402" s="38"/>
    </row>
    <row r="1403" spans="6:6" x14ac:dyDescent="0.25">
      <c r="F1403" s="38"/>
    </row>
    <row r="1404" spans="6:6" x14ac:dyDescent="0.25">
      <c r="F1404" s="38"/>
    </row>
    <row r="1405" spans="6:6" x14ac:dyDescent="0.25">
      <c r="F1405" s="38"/>
    </row>
    <row r="1406" spans="6:6" x14ac:dyDescent="0.25">
      <c r="F1406" s="38"/>
    </row>
    <row r="1407" spans="6:6" x14ac:dyDescent="0.25">
      <c r="F1407" s="38"/>
    </row>
    <row r="1408" spans="6:6" x14ac:dyDescent="0.25">
      <c r="F1408" s="38"/>
    </row>
    <row r="1409" spans="6:6" x14ac:dyDescent="0.25">
      <c r="F1409" s="38"/>
    </row>
    <row r="1410" spans="6:6" x14ac:dyDescent="0.25">
      <c r="F1410" s="38"/>
    </row>
    <row r="1411" spans="6:6" x14ac:dyDescent="0.25">
      <c r="F1411" s="38"/>
    </row>
    <row r="1412" spans="6:6" x14ac:dyDescent="0.25">
      <c r="F1412" s="38"/>
    </row>
    <row r="1413" spans="6:6" x14ac:dyDescent="0.25">
      <c r="F1413" s="38"/>
    </row>
    <row r="1414" spans="6:6" x14ac:dyDescent="0.25">
      <c r="F1414" s="38"/>
    </row>
    <row r="1415" spans="6:6" x14ac:dyDescent="0.25">
      <c r="F1415" s="38"/>
    </row>
    <row r="1416" spans="6:6" x14ac:dyDescent="0.25">
      <c r="F1416" s="38"/>
    </row>
    <row r="1417" spans="6:6" x14ac:dyDescent="0.25">
      <c r="F1417" s="38"/>
    </row>
    <row r="1418" spans="6:6" x14ac:dyDescent="0.25">
      <c r="F1418" s="38"/>
    </row>
    <row r="1419" spans="6:6" x14ac:dyDescent="0.25">
      <c r="F1419" s="38"/>
    </row>
    <row r="1420" spans="6:6" x14ac:dyDescent="0.25">
      <c r="F1420" s="38"/>
    </row>
    <row r="1421" spans="6:6" x14ac:dyDescent="0.25">
      <c r="F1421" s="38"/>
    </row>
    <row r="1422" spans="6:6" x14ac:dyDescent="0.25">
      <c r="F1422" s="38"/>
    </row>
    <row r="1423" spans="6:6" x14ac:dyDescent="0.25">
      <c r="F1423" s="38"/>
    </row>
    <row r="1424" spans="6:6" x14ac:dyDescent="0.25">
      <c r="F1424" s="38"/>
    </row>
    <row r="1425" spans="6:6" x14ac:dyDescent="0.25">
      <c r="F1425" s="38"/>
    </row>
    <row r="1426" spans="6:6" x14ac:dyDescent="0.25">
      <c r="F1426" s="38"/>
    </row>
    <row r="1427" spans="6:6" x14ac:dyDescent="0.25">
      <c r="F1427" s="38"/>
    </row>
    <row r="1428" spans="6:6" x14ac:dyDescent="0.25">
      <c r="F1428" s="38"/>
    </row>
    <row r="1429" spans="6:6" x14ac:dyDescent="0.25">
      <c r="F1429" s="38"/>
    </row>
    <row r="1430" spans="6:6" x14ac:dyDescent="0.25">
      <c r="F1430" s="38"/>
    </row>
    <row r="1431" spans="6:6" x14ac:dyDescent="0.25">
      <c r="F1431" s="38"/>
    </row>
    <row r="1432" spans="6:6" x14ac:dyDescent="0.25">
      <c r="F1432" s="38"/>
    </row>
    <row r="1433" spans="6:6" x14ac:dyDescent="0.25">
      <c r="F1433" s="38"/>
    </row>
    <row r="1434" spans="6:6" x14ac:dyDescent="0.25">
      <c r="F1434" s="38"/>
    </row>
    <row r="1435" spans="6:6" x14ac:dyDescent="0.25">
      <c r="F1435" s="38"/>
    </row>
    <row r="1436" spans="6:6" x14ac:dyDescent="0.25">
      <c r="F1436" s="38"/>
    </row>
    <row r="1437" spans="6:6" x14ac:dyDescent="0.25">
      <c r="F1437" s="38"/>
    </row>
    <row r="1438" spans="6:6" x14ac:dyDescent="0.25">
      <c r="F1438" s="38"/>
    </row>
    <row r="1439" spans="6:6" x14ac:dyDescent="0.25">
      <c r="F1439" s="38"/>
    </row>
    <row r="1440" spans="6:6" x14ac:dyDescent="0.25">
      <c r="F1440" s="38"/>
    </row>
    <row r="1441" spans="6:6" x14ac:dyDescent="0.25">
      <c r="F1441" s="38"/>
    </row>
    <row r="1442" spans="6:6" x14ac:dyDescent="0.25">
      <c r="F1442" s="38"/>
    </row>
    <row r="1443" spans="6:6" x14ac:dyDescent="0.25">
      <c r="F1443" s="38"/>
    </row>
    <row r="1444" spans="6:6" x14ac:dyDescent="0.25">
      <c r="F1444" s="38"/>
    </row>
    <row r="1445" spans="6:6" x14ac:dyDescent="0.25">
      <c r="F1445" s="38"/>
    </row>
    <row r="1446" spans="6:6" x14ac:dyDescent="0.25">
      <c r="F1446" s="38"/>
    </row>
    <row r="1447" spans="6:6" x14ac:dyDescent="0.25">
      <c r="F1447" s="38"/>
    </row>
    <row r="1448" spans="6:6" x14ac:dyDescent="0.25">
      <c r="F1448" s="38"/>
    </row>
    <row r="1449" spans="6:6" x14ac:dyDescent="0.25">
      <c r="F1449" s="38"/>
    </row>
    <row r="1450" spans="6:6" x14ac:dyDescent="0.25">
      <c r="F1450" s="38"/>
    </row>
    <row r="1451" spans="6:6" x14ac:dyDescent="0.25">
      <c r="F1451" s="38"/>
    </row>
    <row r="1452" spans="6:6" x14ac:dyDescent="0.25">
      <c r="F1452" s="38"/>
    </row>
    <row r="1453" spans="6:6" x14ac:dyDescent="0.25">
      <c r="F1453" s="38"/>
    </row>
    <row r="1454" spans="6:6" x14ac:dyDescent="0.25">
      <c r="F1454" s="38"/>
    </row>
    <row r="1455" spans="6:6" x14ac:dyDescent="0.25">
      <c r="F1455" s="38"/>
    </row>
    <row r="1456" spans="6:6" x14ac:dyDescent="0.25">
      <c r="F1456" s="38"/>
    </row>
    <row r="1457" spans="6:6" x14ac:dyDescent="0.25">
      <c r="F1457" s="38"/>
    </row>
    <row r="1458" spans="6:6" x14ac:dyDescent="0.25">
      <c r="F1458" s="38"/>
    </row>
    <row r="1459" spans="6:6" x14ac:dyDescent="0.25">
      <c r="F1459" s="38"/>
    </row>
    <row r="1460" spans="6:6" x14ac:dyDescent="0.25">
      <c r="F1460" s="38"/>
    </row>
    <row r="1461" spans="6:6" x14ac:dyDescent="0.25">
      <c r="F1461" s="38"/>
    </row>
    <row r="1462" spans="6:6" x14ac:dyDescent="0.25">
      <c r="F1462" s="38"/>
    </row>
    <row r="1463" spans="6:6" x14ac:dyDescent="0.25">
      <c r="F1463" s="38"/>
    </row>
    <row r="1464" spans="6:6" x14ac:dyDescent="0.25">
      <c r="F1464" s="38"/>
    </row>
    <row r="1465" spans="6:6" x14ac:dyDescent="0.25">
      <c r="F1465" s="38"/>
    </row>
    <row r="1466" spans="6:6" x14ac:dyDescent="0.25">
      <c r="F1466" s="38"/>
    </row>
    <row r="1467" spans="6:6" x14ac:dyDescent="0.25">
      <c r="F1467" s="38"/>
    </row>
    <row r="1468" spans="6:6" x14ac:dyDescent="0.25">
      <c r="F1468" s="38"/>
    </row>
    <row r="1469" spans="6:6" x14ac:dyDescent="0.25">
      <c r="F1469" s="38"/>
    </row>
    <row r="1470" spans="6:6" x14ac:dyDescent="0.25">
      <c r="F1470" s="38"/>
    </row>
    <row r="1471" spans="6:6" x14ac:dyDescent="0.25">
      <c r="F1471" s="38"/>
    </row>
    <row r="1472" spans="6:6" x14ac:dyDescent="0.25">
      <c r="F1472" s="38"/>
    </row>
    <row r="1473" spans="6:6" x14ac:dyDescent="0.25">
      <c r="F1473" s="38"/>
    </row>
    <row r="1474" spans="6:6" x14ac:dyDescent="0.25">
      <c r="F1474" s="38"/>
    </row>
    <row r="1475" spans="6:6" x14ac:dyDescent="0.25">
      <c r="F1475" s="38"/>
    </row>
    <row r="1476" spans="6:6" x14ac:dyDescent="0.25">
      <c r="F1476" s="38"/>
    </row>
    <row r="1477" spans="6:6" x14ac:dyDescent="0.25">
      <c r="F1477" s="38"/>
    </row>
    <row r="1478" spans="6:6" x14ac:dyDescent="0.25">
      <c r="F1478" s="38"/>
    </row>
    <row r="1479" spans="6:6" x14ac:dyDescent="0.25">
      <c r="F1479" s="38"/>
    </row>
    <row r="1480" spans="6:6" x14ac:dyDescent="0.25">
      <c r="F1480" s="38"/>
    </row>
    <row r="1481" spans="6:6" x14ac:dyDescent="0.25">
      <c r="F1481" s="38"/>
    </row>
    <row r="1482" spans="6:6" x14ac:dyDescent="0.25">
      <c r="F1482" s="38"/>
    </row>
    <row r="1483" spans="6:6" x14ac:dyDescent="0.25">
      <c r="F1483" s="38"/>
    </row>
    <row r="1484" spans="6:6" x14ac:dyDescent="0.25">
      <c r="F1484" s="38"/>
    </row>
    <row r="1485" spans="6:6" x14ac:dyDescent="0.25">
      <c r="F1485" s="38"/>
    </row>
    <row r="1486" spans="6:6" x14ac:dyDescent="0.25">
      <c r="F1486" s="38"/>
    </row>
    <row r="1487" spans="6:6" x14ac:dyDescent="0.25">
      <c r="F1487" s="38"/>
    </row>
    <row r="1488" spans="6:6" x14ac:dyDescent="0.25">
      <c r="F1488" s="38"/>
    </row>
    <row r="1489" spans="6:6" x14ac:dyDescent="0.25">
      <c r="F1489" s="38"/>
    </row>
    <row r="1490" spans="6:6" x14ac:dyDescent="0.25">
      <c r="F1490" s="38"/>
    </row>
    <row r="1491" spans="6:6" x14ac:dyDescent="0.25">
      <c r="F1491" s="38"/>
    </row>
    <row r="1492" spans="6:6" x14ac:dyDescent="0.25">
      <c r="F1492" s="38"/>
    </row>
    <row r="1493" spans="6:6" x14ac:dyDescent="0.25">
      <c r="F1493" s="38"/>
    </row>
    <row r="1494" spans="6:6" x14ac:dyDescent="0.25">
      <c r="F1494" s="38"/>
    </row>
    <row r="1495" spans="6:6" x14ac:dyDescent="0.25">
      <c r="F1495" s="38"/>
    </row>
    <row r="1496" spans="6:6" x14ac:dyDescent="0.25">
      <c r="F1496" s="38"/>
    </row>
    <row r="1497" spans="6:6" x14ac:dyDescent="0.25">
      <c r="F1497" s="38"/>
    </row>
    <row r="1498" spans="6:6" x14ac:dyDescent="0.25">
      <c r="F1498" s="38"/>
    </row>
    <row r="1499" spans="6:6" x14ac:dyDescent="0.25">
      <c r="F1499" s="38"/>
    </row>
    <row r="1500" spans="6:6" x14ac:dyDescent="0.25">
      <c r="F1500" s="38"/>
    </row>
    <row r="1501" spans="6:6" x14ac:dyDescent="0.25">
      <c r="F1501" s="38"/>
    </row>
    <row r="1502" spans="6:6" x14ac:dyDescent="0.25">
      <c r="F1502" s="38"/>
    </row>
    <row r="1503" spans="6:6" x14ac:dyDescent="0.25">
      <c r="F1503" s="38"/>
    </row>
    <row r="1504" spans="6:6" x14ac:dyDescent="0.25">
      <c r="F1504" s="38"/>
    </row>
    <row r="1505" spans="6:6" x14ac:dyDescent="0.25">
      <c r="F1505" s="38"/>
    </row>
    <row r="1506" spans="6:6" x14ac:dyDescent="0.25">
      <c r="F1506" s="38"/>
    </row>
    <row r="1507" spans="6:6" x14ac:dyDescent="0.25">
      <c r="F1507" s="38"/>
    </row>
    <row r="1508" spans="6:6" x14ac:dyDescent="0.25">
      <c r="F1508" s="38"/>
    </row>
    <row r="1509" spans="6:6" x14ac:dyDescent="0.25">
      <c r="F1509" s="38"/>
    </row>
    <row r="1510" spans="6:6" x14ac:dyDescent="0.25">
      <c r="F1510" s="38"/>
    </row>
    <row r="1511" spans="6:6" x14ac:dyDescent="0.25">
      <c r="F1511" s="38"/>
    </row>
    <row r="1512" spans="6:6" x14ac:dyDescent="0.25">
      <c r="F1512" s="38"/>
    </row>
    <row r="1513" spans="6:6" x14ac:dyDescent="0.25">
      <c r="F1513" s="38"/>
    </row>
    <row r="1514" spans="6:6" x14ac:dyDescent="0.25">
      <c r="F1514" s="38"/>
    </row>
    <row r="1515" spans="6:6" x14ac:dyDescent="0.25">
      <c r="F1515" s="38"/>
    </row>
    <row r="1516" spans="6:6" x14ac:dyDescent="0.25">
      <c r="F1516" s="38"/>
    </row>
    <row r="1517" spans="6:6" x14ac:dyDescent="0.25">
      <c r="F1517" s="38"/>
    </row>
    <row r="1518" spans="6:6" x14ac:dyDescent="0.25">
      <c r="F1518" s="38"/>
    </row>
    <row r="1519" spans="6:6" x14ac:dyDescent="0.25">
      <c r="F1519" s="38"/>
    </row>
    <row r="1520" spans="6:6" x14ac:dyDescent="0.25">
      <c r="F1520" s="38"/>
    </row>
    <row r="1521" spans="6:6" x14ac:dyDescent="0.25">
      <c r="F1521" s="38"/>
    </row>
    <row r="1522" spans="6:6" x14ac:dyDescent="0.25">
      <c r="F1522" s="38"/>
    </row>
    <row r="1523" spans="6:6" x14ac:dyDescent="0.25">
      <c r="F1523" s="38"/>
    </row>
    <row r="1524" spans="6:6" x14ac:dyDescent="0.25">
      <c r="F1524" s="38"/>
    </row>
    <row r="1525" spans="6:6" x14ac:dyDescent="0.25">
      <c r="F1525" s="38"/>
    </row>
    <row r="1526" spans="6:6" x14ac:dyDescent="0.25">
      <c r="F1526" s="38"/>
    </row>
    <row r="1527" spans="6:6" x14ac:dyDescent="0.25">
      <c r="F1527" s="38"/>
    </row>
    <row r="1528" spans="6:6" x14ac:dyDescent="0.25">
      <c r="F1528" s="38"/>
    </row>
    <row r="1529" spans="6:6" x14ac:dyDescent="0.25">
      <c r="F1529" s="38"/>
    </row>
    <row r="1530" spans="6:6" x14ac:dyDescent="0.25">
      <c r="F1530" s="38"/>
    </row>
    <row r="1531" spans="6:6" x14ac:dyDescent="0.25">
      <c r="F1531" s="38"/>
    </row>
    <row r="1532" spans="6:6" x14ac:dyDescent="0.25">
      <c r="F1532" s="38"/>
    </row>
    <row r="1533" spans="6:6" x14ac:dyDescent="0.25">
      <c r="F1533" s="38"/>
    </row>
    <row r="1534" spans="6:6" x14ac:dyDescent="0.25">
      <c r="F1534" s="38"/>
    </row>
    <row r="1535" spans="6:6" x14ac:dyDescent="0.25">
      <c r="F1535" s="38"/>
    </row>
    <row r="1536" spans="6:6" x14ac:dyDescent="0.25">
      <c r="F1536" s="38"/>
    </row>
    <row r="1537" spans="6:6" x14ac:dyDescent="0.25">
      <c r="F1537" s="38"/>
    </row>
    <row r="1538" spans="6:6" x14ac:dyDescent="0.25">
      <c r="F1538" s="38"/>
    </row>
    <row r="1539" spans="6:6" x14ac:dyDescent="0.25">
      <c r="F1539" s="38"/>
    </row>
    <row r="1540" spans="6:6" x14ac:dyDescent="0.25">
      <c r="F1540" s="38"/>
    </row>
    <row r="1541" spans="6:6" x14ac:dyDescent="0.25">
      <c r="F1541" s="38"/>
    </row>
    <row r="1542" spans="6:6" x14ac:dyDescent="0.25">
      <c r="F1542" s="38"/>
    </row>
    <row r="1543" spans="6:6" x14ac:dyDescent="0.25">
      <c r="F1543" s="38"/>
    </row>
    <row r="1544" spans="6:6" x14ac:dyDescent="0.25">
      <c r="F1544" s="38"/>
    </row>
    <row r="1545" spans="6:6" x14ac:dyDescent="0.25">
      <c r="F1545" s="38"/>
    </row>
    <row r="1546" spans="6:6" x14ac:dyDescent="0.25">
      <c r="F1546" s="38"/>
    </row>
    <row r="1547" spans="6:6" x14ac:dyDescent="0.25">
      <c r="F1547" s="38"/>
    </row>
    <row r="1548" spans="6:6" x14ac:dyDescent="0.25">
      <c r="F1548" s="38"/>
    </row>
    <row r="1549" spans="6:6" x14ac:dyDescent="0.25">
      <c r="F1549" s="38"/>
    </row>
    <row r="1550" spans="6:6" x14ac:dyDescent="0.25">
      <c r="F1550" s="38"/>
    </row>
    <row r="1551" spans="6:6" x14ac:dyDescent="0.25">
      <c r="F1551" s="38"/>
    </row>
    <row r="1552" spans="6:6" x14ac:dyDescent="0.25">
      <c r="F1552" s="38"/>
    </row>
    <row r="1553" spans="6:6" x14ac:dyDescent="0.25">
      <c r="F1553" s="38"/>
    </row>
    <row r="1554" spans="6:6" x14ac:dyDescent="0.25">
      <c r="F1554" s="38"/>
    </row>
    <row r="1555" spans="6:6" x14ac:dyDescent="0.25">
      <c r="F1555" s="38"/>
    </row>
    <row r="1556" spans="6:6" x14ac:dyDescent="0.25">
      <c r="F1556" s="38"/>
    </row>
    <row r="1557" spans="6:6" x14ac:dyDescent="0.25">
      <c r="F1557" s="38"/>
    </row>
    <row r="1558" spans="6:6" x14ac:dyDescent="0.25">
      <c r="F1558" s="38"/>
    </row>
    <row r="1559" spans="6:6" x14ac:dyDescent="0.25">
      <c r="F1559" s="38"/>
    </row>
    <row r="1560" spans="6:6" x14ac:dyDescent="0.25">
      <c r="F1560" s="38"/>
    </row>
    <row r="1561" spans="6:6" x14ac:dyDescent="0.25">
      <c r="F1561" s="38"/>
    </row>
    <row r="1562" spans="6:6" x14ac:dyDescent="0.25">
      <c r="F1562" s="38"/>
    </row>
    <row r="1563" spans="6:6" x14ac:dyDescent="0.25">
      <c r="F1563" s="38"/>
    </row>
    <row r="1564" spans="6:6" x14ac:dyDescent="0.25">
      <c r="F1564" s="38"/>
    </row>
    <row r="1565" spans="6:6" x14ac:dyDescent="0.25">
      <c r="F1565" s="38"/>
    </row>
    <row r="1566" spans="6:6" x14ac:dyDescent="0.25">
      <c r="F1566" s="38"/>
    </row>
    <row r="1567" spans="6:6" x14ac:dyDescent="0.25">
      <c r="F1567" s="38"/>
    </row>
    <row r="1568" spans="6:6" x14ac:dyDescent="0.25">
      <c r="F1568" s="38"/>
    </row>
    <row r="1569" spans="6:6" x14ac:dyDescent="0.25">
      <c r="F1569" s="38"/>
    </row>
    <row r="1570" spans="6:6" x14ac:dyDescent="0.25">
      <c r="F1570" s="38"/>
    </row>
    <row r="1571" spans="6:6" x14ac:dyDescent="0.25">
      <c r="F1571" s="38"/>
    </row>
    <row r="1572" spans="6:6" x14ac:dyDescent="0.25">
      <c r="F1572" s="38"/>
    </row>
    <row r="1573" spans="6:6" x14ac:dyDescent="0.25">
      <c r="F1573" s="38"/>
    </row>
    <row r="1574" spans="6:6" x14ac:dyDescent="0.25">
      <c r="F1574" s="38"/>
    </row>
    <row r="1575" spans="6:6" x14ac:dyDescent="0.25">
      <c r="F1575" s="38"/>
    </row>
    <row r="1576" spans="6:6" x14ac:dyDescent="0.25">
      <c r="F1576" s="38"/>
    </row>
    <row r="1577" spans="6:6" x14ac:dyDescent="0.25">
      <c r="F1577" s="38"/>
    </row>
    <row r="1578" spans="6:6" x14ac:dyDescent="0.25">
      <c r="F1578" s="38"/>
    </row>
    <row r="1579" spans="6:6" x14ac:dyDescent="0.25">
      <c r="F1579" s="38"/>
    </row>
    <row r="1580" spans="6:6" x14ac:dyDescent="0.25">
      <c r="F1580" s="38"/>
    </row>
    <row r="1581" spans="6:6" x14ac:dyDescent="0.25">
      <c r="F1581" s="38"/>
    </row>
    <row r="1582" spans="6:6" x14ac:dyDescent="0.25">
      <c r="F1582" s="38"/>
    </row>
    <row r="1583" spans="6:6" x14ac:dyDescent="0.25">
      <c r="F1583" s="38"/>
    </row>
    <row r="1584" spans="6:6" x14ac:dyDescent="0.25">
      <c r="F1584" s="38"/>
    </row>
    <row r="1585" spans="6:6" x14ac:dyDescent="0.25">
      <c r="F1585" s="38"/>
    </row>
    <row r="1586" spans="6:6" x14ac:dyDescent="0.25">
      <c r="F1586" s="38"/>
    </row>
    <row r="1587" spans="6:6" x14ac:dyDescent="0.25">
      <c r="F1587" s="38"/>
    </row>
    <row r="1588" spans="6:6" x14ac:dyDescent="0.25">
      <c r="F1588" s="38"/>
    </row>
    <row r="1589" spans="6:6" x14ac:dyDescent="0.25">
      <c r="F1589" s="38"/>
    </row>
    <row r="1590" spans="6:6" x14ac:dyDescent="0.25">
      <c r="F1590" s="38"/>
    </row>
    <row r="1591" spans="6:6" x14ac:dyDescent="0.25">
      <c r="F1591" s="38"/>
    </row>
    <row r="1592" spans="6:6" x14ac:dyDescent="0.25">
      <c r="F1592" s="38"/>
    </row>
    <row r="1593" spans="6:6" x14ac:dyDescent="0.25">
      <c r="F1593" s="38"/>
    </row>
    <row r="1594" spans="6:6" x14ac:dyDescent="0.25">
      <c r="F1594" s="38"/>
    </row>
    <row r="1595" spans="6:6" x14ac:dyDescent="0.25">
      <c r="F1595" s="38"/>
    </row>
    <row r="1596" spans="6:6" x14ac:dyDescent="0.25">
      <c r="F1596" s="38"/>
    </row>
    <row r="1597" spans="6:6" x14ac:dyDescent="0.25">
      <c r="F1597" s="38"/>
    </row>
    <row r="1598" spans="6:6" x14ac:dyDescent="0.25">
      <c r="F1598" s="38"/>
    </row>
    <row r="1599" spans="6:6" x14ac:dyDescent="0.25">
      <c r="F1599" s="38"/>
    </row>
    <row r="1600" spans="6:6" x14ac:dyDescent="0.25">
      <c r="F1600" s="38"/>
    </row>
    <row r="1601" spans="6:6" x14ac:dyDescent="0.25">
      <c r="F1601" s="38"/>
    </row>
    <row r="1602" spans="6:6" x14ac:dyDescent="0.25">
      <c r="F1602" s="38"/>
    </row>
    <row r="1603" spans="6:6" x14ac:dyDescent="0.25">
      <c r="F1603" s="38"/>
    </row>
    <row r="1604" spans="6:6" x14ac:dyDescent="0.25">
      <c r="F1604" s="38"/>
    </row>
    <row r="1605" spans="6:6" x14ac:dyDescent="0.25">
      <c r="F1605" s="38"/>
    </row>
    <row r="1606" spans="6:6" x14ac:dyDescent="0.25">
      <c r="F1606" s="38"/>
    </row>
    <row r="1607" spans="6:6" x14ac:dyDescent="0.25">
      <c r="F1607" s="38"/>
    </row>
    <row r="1608" spans="6:6" x14ac:dyDescent="0.25">
      <c r="F1608" s="38"/>
    </row>
    <row r="1609" spans="6:6" x14ac:dyDescent="0.25">
      <c r="F1609" s="38"/>
    </row>
    <row r="1610" spans="6:6" x14ac:dyDescent="0.25">
      <c r="F1610" s="38"/>
    </row>
    <row r="1611" spans="6:6" x14ac:dyDescent="0.25">
      <c r="F1611" s="38"/>
    </row>
    <row r="1612" spans="6:6" x14ac:dyDescent="0.25">
      <c r="F1612" s="38"/>
    </row>
    <row r="1613" spans="6:6" x14ac:dyDescent="0.25">
      <c r="F1613" s="38"/>
    </row>
    <row r="1614" spans="6:6" x14ac:dyDescent="0.25">
      <c r="F1614" s="38"/>
    </row>
    <row r="1615" spans="6:6" x14ac:dyDescent="0.25">
      <c r="F1615" s="38"/>
    </row>
    <row r="1616" spans="6:6" x14ac:dyDescent="0.25">
      <c r="F1616" s="38"/>
    </row>
    <row r="1617" spans="6:6" x14ac:dyDescent="0.25">
      <c r="F1617" s="38"/>
    </row>
    <row r="1618" spans="6:6" x14ac:dyDescent="0.25">
      <c r="F1618" s="38"/>
    </row>
    <row r="1619" spans="6:6" x14ac:dyDescent="0.25">
      <c r="F1619" s="38"/>
    </row>
    <row r="1620" spans="6:6" x14ac:dyDescent="0.25">
      <c r="F1620" s="38"/>
    </row>
    <row r="1621" spans="6:6" x14ac:dyDescent="0.25">
      <c r="F1621" s="38"/>
    </row>
    <row r="1622" spans="6:6" x14ac:dyDescent="0.25">
      <c r="F1622" s="38"/>
    </row>
    <row r="1623" spans="6:6" x14ac:dyDescent="0.25">
      <c r="F1623" s="38"/>
    </row>
    <row r="1624" spans="6:6" x14ac:dyDescent="0.25">
      <c r="F1624" s="38"/>
    </row>
    <row r="1625" spans="6:6" x14ac:dyDescent="0.25">
      <c r="F1625" s="38"/>
    </row>
    <row r="1626" spans="6:6" x14ac:dyDescent="0.25">
      <c r="F1626" s="38"/>
    </row>
    <row r="1627" spans="6:6" x14ac:dyDescent="0.25">
      <c r="F1627" s="38"/>
    </row>
    <row r="1628" spans="6:6" x14ac:dyDescent="0.25">
      <c r="F1628" s="38"/>
    </row>
    <row r="1629" spans="6:6" x14ac:dyDescent="0.25">
      <c r="F1629" s="38"/>
    </row>
    <row r="1630" spans="6:6" x14ac:dyDescent="0.25">
      <c r="F1630" s="38"/>
    </row>
    <row r="1631" spans="6:6" x14ac:dyDescent="0.25">
      <c r="F1631" s="38"/>
    </row>
    <row r="1632" spans="6:6" x14ac:dyDescent="0.25">
      <c r="F1632" s="38"/>
    </row>
    <row r="1633" spans="6:6" x14ac:dyDescent="0.25">
      <c r="F1633" s="38"/>
    </row>
    <row r="1634" spans="6:6" x14ac:dyDescent="0.25">
      <c r="F1634" s="38"/>
    </row>
    <row r="1635" spans="6:6" x14ac:dyDescent="0.25">
      <c r="F1635" s="38"/>
    </row>
    <row r="1636" spans="6:6" x14ac:dyDescent="0.25">
      <c r="F1636" s="38"/>
    </row>
    <row r="1637" spans="6:6" x14ac:dyDescent="0.25">
      <c r="F1637" s="38"/>
    </row>
    <row r="1638" spans="6:6" x14ac:dyDescent="0.25">
      <c r="F1638" s="38"/>
    </row>
    <row r="1639" spans="6:6" x14ac:dyDescent="0.25">
      <c r="F1639" s="38"/>
    </row>
    <row r="1640" spans="6:6" x14ac:dyDescent="0.25">
      <c r="F1640" s="38"/>
    </row>
    <row r="1641" spans="6:6" x14ac:dyDescent="0.25">
      <c r="F1641" s="38"/>
    </row>
    <row r="1642" spans="6:6" x14ac:dyDescent="0.25">
      <c r="F1642" s="38"/>
    </row>
    <row r="1643" spans="6:6" x14ac:dyDescent="0.25">
      <c r="F1643" s="38"/>
    </row>
    <row r="1644" spans="6:6" x14ac:dyDescent="0.25">
      <c r="F1644" s="38"/>
    </row>
    <row r="1645" spans="6:6" x14ac:dyDescent="0.25">
      <c r="F1645" s="38"/>
    </row>
    <row r="1646" spans="6:6" x14ac:dyDescent="0.25">
      <c r="F1646" s="38"/>
    </row>
    <row r="1647" spans="6:6" x14ac:dyDescent="0.25">
      <c r="F1647" s="38"/>
    </row>
    <row r="1648" spans="6:6" x14ac:dyDescent="0.25">
      <c r="F1648" s="38"/>
    </row>
    <row r="1649" spans="6:6" x14ac:dyDescent="0.25">
      <c r="F1649" s="38"/>
    </row>
    <row r="1650" spans="6:6" x14ac:dyDescent="0.25">
      <c r="F1650" s="38"/>
    </row>
    <row r="1651" spans="6:6" x14ac:dyDescent="0.25">
      <c r="F1651" s="38"/>
    </row>
    <row r="1652" spans="6:6" x14ac:dyDescent="0.25">
      <c r="F1652" s="38"/>
    </row>
    <row r="1653" spans="6:6" x14ac:dyDescent="0.25">
      <c r="F1653" s="38"/>
    </row>
    <row r="1654" spans="6:6" x14ac:dyDescent="0.25">
      <c r="F1654" s="38"/>
    </row>
    <row r="1655" spans="6:6" x14ac:dyDescent="0.25">
      <c r="F1655" s="38"/>
    </row>
    <row r="1656" spans="6:6" x14ac:dyDescent="0.25">
      <c r="F1656" s="38"/>
    </row>
    <row r="1657" spans="6:6" x14ac:dyDescent="0.25">
      <c r="F1657" s="38"/>
    </row>
    <row r="1658" spans="6:6" x14ac:dyDescent="0.25">
      <c r="F1658" s="38"/>
    </row>
    <row r="1659" spans="6:6" x14ac:dyDescent="0.25">
      <c r="F1659" s="38"/>
    </row>
    <row r="1660" spans="6:6" x14ac:dyDescent="0.25">
      <c r="F1660" s="38"/>
    </row>
    <row r="1661" spans="6:6" x14ac:dyDescent="0.25">
      <c r="F1661" s="38"/>
    </row>
    <row r="1662" spans="6:6" x14ac:dyDescent="0.25">
      <c r="F1662" s="38"/>
    </row>
    <row r="1663" spans="6:6" x14ac:dyDescent="0.25">
      <c r="F1663" s="38"/>
    </row>
    <row r="1664" spans="6:6" x14ac:dyDescent="0.25">
      <c r="F1664" s="38"/>
    </row>
    <row r="1665" spans="6:6" x14ac:dyDescent="0.25">
      <c r="F1665" s="38"/>
    </row>
    <row r="1666" spans="6:6" x14ac:dyDescent="0.25">
      <c r="F1666" s="38"/>
    </row>
    <row r="1667" spans="6:6" x14ac:dyDescent="0.25">
      <c r="F1667" s="38"/>
    </row>
    <row r="1668" spans="6:6" x14ac:dyDescent="0.25">
      <c r="F1668" s="38"/>
    </row>
    <row r="1669" spans="6:6" x14ac:dyDescent="0.25">
      <c r="F1669" s="38"/>
    </row>
    <row r="1670" spans="6:6" x14ac:dyDescent="0.25">
      <c r="F1670" s="38"/>
    </row>
    <row r="1671" spans="6:6" x14ac:dyDescent="0.25">
      <c r="F1671" s="38"/>
    </row>
    <row r="1672" spans="6:6" x14ac:dyDescent="0.25">
      <c r="F1672" s="38"/>
    </row>
    <row r="1673" spans="6:6" x14ac:dyDescent="0.25">
      <c r="F1673" s="38"/>
    </row>
    <row r="1674" spans="6:6" x14ac:dyDescent="0.25">
      <c r="F1674" s="38"/>
    </row>
    <row r="1675" spans="6:6" x14ac:dyDescent="0.25">
      <c r="F1675" s="38"/>
    </row>
    <row r="1676" spans="6:6" x14ac:dyDescent="0.25">
      <c r="F1676" s="38"/>
    </row>
    <row r="1677" spans="6:6" x14ac:dyDescent="0.25">
      <c r="F1677" s="38"/>
    </row>
    <row r="1678" spans="6:6" x14ac:dyDescent="0.25">
      <c r="F1678" s="38"/>
    </row>
    <row r="1679" spans="6:6" x14ac:dyDescent="0.25">
      <c r="F1679" s="38"/>
    </row>
    <row r="1680" spans="6:6" x14ac:dyDescent="0.25">
      <c r="F1680" s="38"/>
    </row>
    <row r="1681" spans="6:6" x14ac:dyDescent="0.25">
      <c r="F1681" s="38"/>
    </row>
    <row r="1682" spans="6:6" x14ac:dyDescent="0.25">
      <c r="F1682" s="38"/>
    </row>
    <row r="1683" spans="6:6" x14ac:dyDescent="0.25">
      <c r="F1683" s="38"/>
    </row>
    <row r="1684" spans="6:6" x14ac:dyDescent="0.25">
      <c r="F1684" s="38"/>
    </row>
    <row r="1685" spans="6:6" x14ac:dyDescent="0.25">
      <c r="F1685" s="38"/>
    </row>
    <row r="1686" spans="6:6" x14ac:dyDescent="0.25">
      <c r="F1686" s="38"/>
    </row>
    <row r="1687" spans="6:6" x14ac:dyDescent="0.25">
      <c r="F1687" s="38"/>
    </row>
    <row r="1688" spans="6:6" x14ac:dyDescent="0.25">
      <c r="F1688" s="38"/>
    </row>
    <row r="1689" spans="6:6" x14ac:dyDescent="0.25">
      <c r="F1689" s="38"/>
    </row>
    <row r="1690" spans="6:6" x14ac:dyDescent="0.25">
      <c r="F1690" s="38"/>
    </row>
    <row r="1691" spans="6:6" x14ac:dyDescent="0.25">
      <c r="F1691" s="38"/>
    </row>
    <row r="1692" spans="6:6" x14ac:dyDescent="0.25">
      <c r="F1692" s="38"/>
    </row>
    <row r="1693" spans="6:6" x14ac:dyDescent="0.25">
      <c r="F1693" s="38"/>
    </row>
    <row r="1694" spans="6:6" x14ac:dyDescent="0.25">
      <c r="F1694" s="38"/>
    </row>
    <row r="1695" spans="6:6" x14ac:dyDescent="0.25">
      <c r="F1695" s="38"/>
    </row>
    <row r="1696" spans="6:6" x14ac:dyDescent="0.25">
      <c r="F1696" s="38"/>
    </row>
    <row r="1697" spans="6:6" x14ac:dyDescent="0.25">
      <c r="F1697" s="38"/>
    </row>
    <row r="1698" spans="6:6" x14ac:dyDescent="0.25">
      <c r="F1698" s="38"/>
    </row>
    <row r="1699" spans="6:6" x14ac:dyDescent="0.25">
      <c r="F1699" s="38"/>
    </row>
    <row r="1700" spans="6:6" x14ac:dyDescent="0.25">
      <c r="F1700" s="38"/>
    </row>
    <row r="1701" spans="6:6" x14ac:dyDescent="0.25">
      <c r="F1701" s="38"/>
    </row>
    <row r="1702" spans="6:6" x14ac:dyDescent="0.25">
      <c r="F1702" s="38"/>
    </row>
    <row r="1703" spans="6:6" x14ac:dyDescent="0.25">
      <c r="F1703" s="38"/>
    </row>
    <row r="1704" spans="6:6" x14ac:dyDescent="0.25">
      <c r="F1704" s="38"/>
    </row>
    <row r="1705" spans="6:6" x14ac:dyDescent="0.25">
      <c r="F1705" s="38"/>
    </row>
    <row r="1706" spans="6:6" x14ac:dyDescent="0.25">
      <c r="F1706" s="38"/>
    </row>
    <row r="1707" spans="6:6" x14ac:dyDescent="0.25">
      <c r="F1707" s="38"/>
    </row>
    <row r="1708" spans="6:6" x14ac:dyDescent="0.25">
      <c r="F1708" s="38"/>
    </row>
    <row r="1709" spans="6:6" x14ac:dyDescent="0.25">
      <c r="F1709" s="38"/>
    </row>
    <row r="1710" spans="6:6" x14ac:dyDescent="0.25">
      <c r="F1710" s="38"/>
    </row>
    <row r="1711" spans="6:6" x14ac:dyDescent="0.25">
      <c r="F1711" s="38"/>
    </row>
    <row r="1712" spans="6:6" x14ac:dyDescent="0.25">
      <c r="F1712" s="38"/>
    </row>
    <row r="1713" spans="6:6" x14ac:dyDescent="0.25">
      <c r="F1713" s="38"/>
    </row>
    <row r="1714" spans="6:6" x14ac:dyDescent="0.25">
      <c r="F1714" s="38"/>
    </row>
    <row r="1715" spans="6:6" x14ac:dyDescent="0.25">
      <c r="F1715" s="38"/>
    </row>
    <row r="1716" spans="6:6" x14ac:dyDescent="0.25">
      <c r="F1716" s="38"/>
    </row>
    <row r="1717" spans="6:6" x14ac:dyDescent="0.25">
      <c r="F1717" s="38"/>
    </row>
    <row r="1718" spans="6:6" x14ac:dyDescent="0.25">
      <c r="F1718" s="38"/>
    </row>
    <row r="1719" spans="6:6" x14ac:dyDescent="0.25">
      <c r="F1719" s="38"/>
    </row>
    <row r="1720" spans="6:6" x14ac:dyDescent="0.25">
      <c r="F1720" s="38"/>
    </row>
    <row r="1721" spans="6:6" x14ac:dyDescent="0.25">
      <c r="F1721" s="38"/>
    </row>
    <row r="1722" spans="6:6" x14ac:dyDescent="0.25">
      <c r="F1722" s="38"/>
    </row>
    <row r="1723" spans="6:6" x14ac:dyDescent="0.25">
      <c r="F1723" s="38"/>
    </row>
    <row r="1724" spans="6:6" x14ac:dyDescent="0.25">
      <c r="F1724" s="38"/>
    </row>
    <row r="1725" spans="6:6" x14ac:dyDescent="0.25">
      <c r="F1725" s="38"/>
    </row>
    <row r="1726" spans="6:6" x14ac:dyDescent="0.25">
      <c r="F1726" s="38"/>
    </row>
    <row r="1727" spans="6:6" x14ac:dyDescent="0.25">
      <c r="F1727" s="38"/>
    </row>
    <row r="1728" spans="6:6" x14ac:dyDescent="0.25">
      <c r="F1728" s="38"/>
    </row>
    <row r="1729" spans="6:6" x14ac:dyDescent="0.25">
      <c r="F1729" s="38"/>
    </row>
    <row r="1730" spans="6:6" x14ac:dyDescent="0.25">
      <c r="F1730" s="38"/>
    </row>
    <row r="1731" spans="6:6" x14ac:dyDescent="0.25">
      <c r="F1731" s="38"/>
    </row>
    <row r="1732" spans="6:6" x14ac:dyDescent="0.25">
      <c r="F1732" s="38"/>
    </row>
    <row r="1733" spans="6:6" x14ac:dyDescent="0.25">
      <c r="F1733" s="38"/>
    </row>
    <row r="1734" spans="6:6" x14ac:dyDescent="0.25">
      <c r="F1734" s="38"/>
    </row>
    <row r="1735" spans="6:6" x14ac:dyDescent="0.25">
      <c r="F1735" s="38"/>
    </row>
    <row r="1736" spans="6:6" x14ac:dyDescent="0.25">
      <c r="F1736" s="38"/>
    </row>
    <row r="1737" spans="6:6" x14ac:dyDescent="0.25">
      <c r="F1737" s="38"/>
    </row>
    <row r="1738" spans="6:6" x14ac:dyDescent="0.25">
      <c r="F1738" s="38"/>
    </row>
    <row r="1739" spans="6:6" x14ac:dyDescent="0.25">
      <c r="F1739" s="38"/>
    </row>
    <row r="1740" spans="6:6" x14ac:dyDescent="0.25">
      <c r="F1740" s="38"/>
    </row>
    <row r="1741" spans="6:6" x14ac:dyDescent="0.25">
      <c r="F1741" s="38"/>
    </row>
    <row r="1742" spans="6:6" x14ac:dyDescent="0.25">
      <c r="F1742" s="38"/>
    </row>
    <row r="1743" spans="6:6" x14ac:dyDescent="0.25">
      <c r="F1743" s="38"/>
    </row>
    <row r="1744" spans="6:6" x14ac:dyDescent="0.25">
      <c r="F1744" s="38"/>
    </row>
    <row r="1745" spans="6:6" x14ac:dyDescent="0.25">
      <c r="F1745" s="38"/>
    </row>
    <row r="1746" spans="6:6" x14ac:dyDescent="0.25">
      <c r="F1746" s="38"/>
    </row>
    <row r="1747" spans="6:6" x14ac:dyDescent="0.25">
      <c r="F1747" s="38"/>
    </row>
    <row r="1748" spans="6:6" x14ac:dyDescent="0.25">
      <c r="F1748" s="38"/>
    </row>
    <row r="1749" spans="6:6" x14ac:dyDescent="0.25">
      <c r="F1749" s="38"/>
    </row>
    <row r="1750" spans="6:6" x14ac:dyDescent="0.25">
      <c r="F1750" s="38"/>
    </row>
    <row r="1751" spans="6:6" x14ac:dyDescent="0.25">
      <c r="F1751" s="38"/>
    </row>
    <row r="1752" spans="6:6" x14ac:dyDescent="0.25">
      <c r="F1752" s="38"/>
    </row>
    <row r="1753" spans="6:6" x14ac:dyDescent="0.25">
      <c r="F1753" s="38"/>
    </row>
    <row r="1754" spans="6:6" x14ac:dyDescent="0.25">
      <c r="F1754" s="38"/>
    </row>
    <row r="1755" spans="6:6" x14ac:dyDescent="0.25">
      <c r="F1755" s="38"/>
    </row>
    <row r="1756" spans="6:6" x14ac:dyDescent="0.25">
      <c r="F1756" s="38"/>
    </row>
    <row r="1757" spans="6:6" x14ac:dyDescent="0.25">
      <c r="F1757" s="38"/>
    </row>
    <row r="1758" spans="6:6" x14ac:dyDescent="0.25">
      <c r="F1758" s="38"/>
    </row>
    <row r="1759" spans="6:6" x14ac:dyDescent="0.25">
      <c r="F1759" s="38"/>
    </row>
    <row r="1760" spans="6:6" x14ac:dyDescent="0.25">
      <c r="F1760" s="38"/>
    </row>
    <row r="1761" spans="6:6" x14ac:dyDescent="0.25">
      <c r="F1761" s="38"/>
    </row>
    <row r="1762" spans="6:6" x14ac:dyDescent="0.25">
      <c r="F1762" s="38"/>
    </row>
    <row r="1763" spans="6:6" x14ac:dyDescent="0.25">
      <c r="F1763" s="38"/>
    </row>
    <row r="1764" spans="6:6" x14ac:dyDescent="0.25">
      <c r="F1764" s="38"/>
    </row>
    <row r="1765" spans="6:6" x14ac:dyDescent="0.25">
      <c r="F1765" s="38"/>
    </row>
    <row r="1766" spans="6:6" x14ac:dyDescent="0.25">
      <c r="F1766" s="38"/>
    </row>
    <row r="1767" spans="6:6" x14ac:dyDescent="0.25">
      <c r="F1767" s="38"/>
    </row>
    <row r="1768" spans="6:6" x14ac:dyDescent="0.25">
      <c r="F1768" s="38"/>
    </row>
    <row r="1769" spans="6:6" x14ac:dyDescent="0.25">
      <c r="F1769" s="38"/>
    </row>
    <row r="1770" spans="6:6" x14ac:dyDescent="0.25">
      <c r="F1770" s="38"/>
    </row>
    <row r="1771" spans="6:6" x14ac:dyDescent="0.25">
      <c r="F1771" s="38"/>
    </row>
    <row r="1772" spans="6:6" x14ac:dyDescent="0.25">
      <c r="F1772" s="38"/>
    </row>
    <row r="1773" spans="6:6" x14ac:dyDescent="0.25">
      <c r="F1773" s="38"/>
    </row>
    <row r="1774" spans="6:6" x14ac:dyDescent="0.25">
      <c r="F1774" s="38"/>
    </row>
    <row r="1775" spans="6:6" x14ac:dyDescent="0.25">
      <c r="F1775" s="38"/>
    </row>
    <row r="1776" spans="6:6" x14ac:dyDescent="0.25">
      <c r="F1776" s="38"/>
    </row>
    <row r="1777" spans="6:6" x14ac:dyDescent="0.25">
      <c r="F1777" s="38"/>
    </row>
    <row r="1778" spans="6:6" x14ac:dyDescent="0.25">
      <c r="F1778" s="38"/>
    </row>
    <row r="1779" spans="6:6" x14ac:dyDescent="0.25">
      <c r="F1779" s="38"/>
    </row>
    <row r="1780" spans="6:6" x14ac:dyDescent="0.25">
      <c r="F1780" s="38"/>
    </row>
    <row r="1781" spans="6:6" x14ac:dyDescent="0.25">
      <c r="F1781" s="38"/>
    </row>
    <row r="1782" spans="6:6" x14ac:dyDescent="0.25">
      <c r="F1782" s="38"/>
    </row>
    <row r="1783" spans="6:6" x14ac:dyDescent="0.25">
      <c r="F1783" s="38"/>
    </row>
    <row r="1784" spans="6:6" x14ac:dyDescent="0.25">
      <c r="F1784" s="38"/>
    </row>
    <row r="1785" spans="6:6" x14ac:dyDescent="0.25">
      <c r="F1785" s="38"/>
    </row>
    <row r="1786" spans="6:6" x14ac:dyDescent="0.25">
      <c r="F1786" s="38"/>
    </row>
    <row r="1787" spans="6:6" x14ac:dyDescent="0.25">
      <c r="F1787" s="38"/>
    </row>
    <row r="1788" spans="6:6" x14ac:dyDescent="0.25">
      <c r="F1788" s="38"/>
    </row>
    <row r="1789" spans="6:6" x14ac:dyDescent="0.25">
      <c r="F1789" s="38"/>
    </row>
    <row r="1790" spans="6:6" x14ac:dyDescent="0.25">
      <c r="F1790" s="38"/>
    </row>
    <row r="1791" spans="6:6" x14ac:dyDescent="0.25">
      <c r="F1791" s="38"/>
    </row>
    <row r="1792" spans="6:6" x14ac:dyDescent="0.25">
      <c r="F1792" s="38"/>
    </row>
    <row r="1793" spans="6:6" x14ac:dyDescent="0.25">
      <c r="F1793" s="38"/>
    </row>
    <row r="1794" spans="6:6" x14ac:dyDescent="0.25">
      <c r="F1794" s="38"/>
    </row>
    <row r="1795" spans="6:6" x14ac:dyDescent="0.25">
      <c r="F1795" s="38"/>
    </row>
    <row r="1796" spans="6:6" x14ac:dyDescent="0.25">
      <c r="F1796" s="38"/>
    </row>
    <row r="1797" spans="6:6" x14ac:dyDescent="0.25">
      <c r="F1797" s="38"/>
    </row>
    <row r="1798" spans="6:6" x14ac:dyDescent="0.25">
      <c r="F1798" s="38"/>
    </row>
    <row r="1799" spans="6:6" x14ac:dyDescent="0.25">
      <c r="F1799" s="38"/>
    </row>
    <row r="1800" spans="6:6" x14ac:dyDescent="0.25">
      <c r="F1800" s="38"/>
    </row>
    <row r="1801" spans="6:6" x14ac:dyDescent="0.25">
      <c r="F1801" s="38"/>
    </row>
    <row r="1802" spans="6:6" x14ac:dyDescent="0.25">
      <c r="F1802" s="38"/>
    </row>
    <row r="1803" spans="6:6" x14ac:dyDescent="0.25">
      <c r="F1803" s="38"/>
    </row>
    <row r="1804" spans="6:6" x14ac:dyDescent="0.25">
      <c r="F1804" s="38"/>
    </row>
    <row r="1805" spans="6:6" x14ac:dyDescent="0.25">
      <c r="F1805" s="38"/>
    </row>
    <row r="1806" spans="6:6" x14ac:dyDescent="0.25">
      <c r="F1806" s="38"/>
    </row>
    <row r="1807" spans="6:6" x14ac:dyDescent="0.25">
      <c r="F1807" s="38"/>
    </row>
    <row r="1808" spans="6:6" x14ac:dyDescent="0.25">
      <c r="F1808" s="38"/>
    </row>
    <row r="1809" spans="6:6" x14ac:dyDescent="0.25">
      <c r="F1809" s="38"/>
    </row>
    <row r="1810" spans="6:6" x14ac:dyDescent="0.25">
      <c r="F1810" s="38"/>
    </row>
    <row r="1811" spans="6:6" x14ac:dyDescent="0.25">
      <c r="F1811" s="38"/>
    </row>
    <row r="1812" spans="6:6" x14ac:dyDescent="0.25">
      <c r="F1812" s="38"/>
    </row>
    <row r="1813" spans="6:6" x14ac:dyDescent="0.25">
      <c r="F1813" s="38"/>
    </row>
    <row r="1814" spans="6:6" x14ac:dyDescent="0.25">
      <c r="F1814" s="38"/>
    </row>
    <row r="1815" spans="6:6" x14ac:dyDescent="0.25">
      <c r="F1815" s="38"/>
    </row>
    <row r="1816" spans="6:6" x14ac:dyDescent="0.25">
      <c r="F1816" s="38"/>
    </row>
    <row r="1817" spans="6:6" x14ac:dyDescent="0.25">
      <c r="F1817" s="38"/>
    </row>
    <row r="1818" spans="6:6" x14ac:dyDescent="0.25">
      <c r="F1818" s="38"/>
    </row>
    <row r="1819" spans="6:6" x14ac:dyDescent="0.25">
      <c r="F1819" s="38"/>
    </row>
    <row r="1820" spans="6:6" x14ac:dyDescent="0.25">
      <c r="F1820" s="38"/>
    </row>
    <row r="1821" spans="6:6" x14ac:dyDescent="0.25">
      <c r="F1821" s="38"/>
    </row>
    <row r="1822" spans="6:6" x14ac:dyDescent="0.25">
      <c r="F1822" s="38"/>
    </row>
    <row r="1823" spans="6:6" x14ac:dyDescent="0.25">
      <c r="F1823" s="38"/>
    </row>
    <row r="1824" spans="6:6" x14ac:dyDescent="0.25">
      <c r="F1824" s="38"/>
    </row>
    <row r="1825" spans="6:6" x14ac:dyDescent="0.25">
      <c r="F1825" s="38"/>
    </row>
    <row r="1826" spans="6:6" x14ac:dyDescent="0.25">
      <c r="F1826" s="38"/>
    </row>
    <row r="1827" spans="6:6" x14ac:dyDescent="0.25">
      <c r="F1827" s="38"/>
    </row>
    <row r="1828" spans="6:6" x14ac:dyDescent="0.25">
      <c r="F1828" s="38"/>
    </row>
    <row r="1829" spans="6:6" x14ac:dyDescent="0.25">
      <c r="F1829" s="38"/>
    </row>
    <row r="1830" spans="6:6" x14ac:dyDescent="0.25">
      <c r="F1830" s="38"/>
    </row>
    <row r="1831" spans="6:6" x14ac:dyDescent="0.25">
      <c r="F1831" s="38"/>
    </row>
    <row r="1832" spans="6:6" x14ac:dyDescent="0.25">
      <c r="F1832" s="38"/>
    </row>
    <row r="1833" spans="6:6" x14ac:dyDescent="0.25">
      <c r="F1833" s="38"/>
    </row>
    <row r="1834" spans="6:6" x14ac:dyDescent="0.25">
      <c r="F1834" s="38"/>
    </row>
    <row r="1835" spans="6:6" x14ac:dyDescent="0.25">
      <c r="F1835" s="38"/>
    </row>
    <row r="1836" spans="6:6" x14ac:dyDescent="0.25">
      <c r="F1836" s="38"/>
    </row>
    <row r="1837" spans="6:6" x14ac:dyDescent="0.25">
      <c r="F1837" s="38"/>
    </row>
    <row r="1838" spans="6:6" x14ac:dyDescent="0.25">
      <c r="F1838" s="38"/>
    </row>
    <row r="1839" spans="6:6" x14ac:dyDescent="0.25">
      <c r="F1839" s="38"/>
    </row>
    <row r="1840" spans="6:6" x14ac:dyDescent="0.25">
      <c r="F1840" s="38"/>
    </row>
    <row r="1841" spans="6:6" x14ac:dyDescent="0.25">
      <c r="F1841" s="38"/>
    </row>
    <row r="1842" spans="6:6" x14ac:dyDescent="0.25">
      <c r="F1842" s="38"/>
    </row>
    <row r="1843" spans="6:6" x14ac:dyDescent="0.25">
      <c r="F1843" s="38"/>
    </row>
    <row r="1844" spans="6:6" x14ac:dyDescent="0.25">
      <c r="F1844" s="38"/>
    </row>
    <row r="1845" spans="6:6" x14ac:dyDescent="0.25">
      <c r="F1845" s="38"/>
    </row>
    <row r="1846" spans="6:6" x14ac:dyDescent="0.25">
      <c r="F1846" s="38"/>
    </row>
    <row r="1847" spans="6:6" x14ac:dyDescent="0.25">
      <c r="F1847" s="38"/>
    </row>
    <row r="1848" spans="6:6" x14ac:dyDescent="0.25">
      <c r="F1848" s="38"/>
    </row>
    <row r="1849" spans="6:6" x14ac:dyDescent="0.25">
      <c r="F1849" s="38"/>
    </row>
    <row r="1850" spans="6:6" x14ac:dyDescent="0.25">
      <c r="F1850" s="38"/>
    </row>
    <row r="1851" spans="6:6" x14ac:dyDescent="0.25">
      <c r="F1851" s="38"/>
    </row>
    <row r="1852" spans="6:6" x14ac:dyDescent="0.25">
      <c r="F1852" s="38"/>
    </row>
    <row r="1853" spans="6:6" x14ac:dyDescent="0.25">
      <c r="F1853" s="38"/>
    </row>
    <row r="1854" spans="6:6" x14ac:dyDescent="0.25">
      <c r="F1854" s="38"/>
    </row>
    <row r="1855" spans="6:6" x14ac:dyDescent="0.25">
      <c r="F1855" s="38"/>
    </row>
    <row r="1856" spans="6:6" x14ac:dyDescent="0.25">
      <c r="F1856" s="38"/>
    </row>
    <row r="1857" spans="6:6" x14ac:dyDescent="0.25">
      <c r="F1857" s="38"/>
    </row>
    <row r="1858" spans="6:6" x14ac:dyDescent="0.25">
      <c r="F1858" s="38"/>
    </row>
    <row r="1859" spans="6:6" x14ac:dyDescent="0.25">
      <c r="F1859" s="38"/>
    </row>
    <row r="1860" spans="6:6" x14ac:dyDescent="0.25">
      <c r="F1860" s="38"/>
    </row>
    <row r="1861" spans="6:6" x14ac:dyDescent="0.25">
      <c r="F1861" s="38"/>
    </row>
  </sheetData>
  <phoneticPr fontId="12" type="noConversion"/>
  <pageMargins left="0.71" right="0.26" top="0.83" bottom="0.87" header="0.36" footer="0.5"/>
  <pageSetup scale="75" orientation="portrait" r:id="rId1"/>
  <headerFooter alignWithMargins="0">
    <oddHeader>&amp;R&amp;A</oddHeader>
    <oddFooter>&amp;L&amp;8&amp;Z&amp;F&amp;A&amp;R&amp;8&amp;T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76"/>
  <sheetViews>
    <sheetView zoomScale="75" zoomScaleNormal="75" workbookViewId="0">
      <selection activeCell="G29" sqref="G29"/>
    </sheetView>
  </sheetViews>
  <sheetFormatPr defaultColWidth="8.90625" defaultRowHeight="15" x14ac:dyDescent="0.25"/>
  <cols>
    <col min="1" max="2" width="8.90625" style="241"/>
    <col min="3" max="3" width="11.08984375" style="241" customWidth="1"/>
    <col min="4" max="4" width="21.6328125" style="241" bestFit="1" customWidth="1"/>
    <col min="5" max="5" width="15.81640625" style="634" hidden="1" customWidth="1"/>
    <col min="6" max="6" width="16.36328125" style="241" hidden="1" customWidth="1"/>
    <col min="7" max="7" width="19" style="241" customWidth="1"/>
    <col min="8" max="8" width="15.08984375" style="120" bestFit="1" customWidth="1"/>
    <col min="9" max="9" width="18.81640625" style="120" bestFit="1" customWidth="1"/>
    <col min="10" max="11" width="8.90625" style="241"/>
    <col min="12" max="12" width="14.453125" style="241" bestFit="1" customWidth="1"/>
    <col min="13" max="13" width="9.54296875" style="241" bestFit="1" customWidth="1"/>
    <col min="14" max="16384" width="8.90625" style="241"/>
  </cols>
  <sheetData>
    <row r="1" spans="1:14" ht="17.399999999999999" x14ac:dyDescent="0.3">
      <c r="A1" s="620" t="s">
        <v>747</v>
      </c>
      <c r="B1" s="620"/>
      <c r="C1" s="557"/>
      <c r="D1" s="557"/>
      <c r="E1" s="632"/>
      <c r="F1" s="392"/>
      <c r="G1" s="392"/>
      <c r="H1" s="557"/>
      <c r="I1" s="557"/>
      <c r="J1" s="392"/>
    </row>
    <row r="2" spans="1:14" ht="17.399999999999999" x14ac:dyDescent="0.3">
      <c r="A2" s="621" t="s">
        <v>836</v>
      </c>
      <c r="B2" s="621"/>
      <c r="C2" s="557"/>
      <c r="D2" s="557"/>
      <c r="E2" s="632"/>
      <c r="F2" s="392"/>
      <c r="G2" s="392"/>
      <c r="H2" s="557"/>
      <c r="I2" s="557"/>
      <c r="J2" s="392"/>
    </row>
    <row r="3" spans="1:14" ht="17.399999999999999" x14ac:dyDescent="0.3">
      <c r="A3" s="621" t="s">
        <v>837</v>
      </c>
      <c r="B3" s="621"/>
      <c r="C3" s="557"/>
      <c r="D3" s="557"/>
      <c r="E3" s="632"/>
      <c r="F3" s="392"/>
      <c r="G3" s="392"/>
      <c r="H3" s="557"/>
      <c r="I3" s="557"/>
      <c r="J3" s="392"/>
    </row>
    <row r="4" spans="1:14" ht="17.399999999999999" x14ac:dyDescent="0.3">
      <c r="A4" s="557"/>
      <c r="B4" s="557"/>
      <c r="C4" s="557"/>
      <c r="D4" s="557"/>
      <c r="E4" s="632"/>
      <c r="F4" s="557"/>
      <c r="G4" s="392"/>
      <c r="H4" s="557"/>
      <c r="I4" s="557"/>
      <c r="J4" s="392"/>
    </row>
    <row r="5" spans="1:14" ht="17.399999999999999" x14ac:dyDescent="0.3">
      <c r="A5" s="557"/>
      <c r="B5" s="557"/>
      <c r="C5" s="557"/>
      <c r="D5" s="838" t="s">
        <v>799</v>
      </c>
      <c r="E5" s="632"/>
      <c r="F5" s="838" t="s">
        <v>800</v>
      </c>
      <c r="G5" s="838" t="s">
        <v>801</v>
      </c>
      <c r="H5" s="838" t="s">
        <v>802</v>
      </c>
      <c r="I5" s="838" t="s">
        <v>803</v>
      </c>
      <c r="J5" s="518"/>
    </row>
    <row r="6" spans="1:14" ht="17.399999999999999" x14ac:dyDescent="0.3">
      <c r="A6" s="557"/>
      <c r="B6" s="557" t="s">
        <v>140</v>
      </c>
      <c r="C6" s="838" t="s">
        <v>804</v>
      </c>
      <c r="D6" s="838" t="s">
        <v>805</v>
      </c>
      <c r="E6" s="839" t="s">
        <v>806</v>
      </c>
      <c r="F6" s="838" t="s">
        <v>807</v>
      </c>
      <c r="G6" s="869">
        <v>44742</v>
      </c>
      <c r="H6" s="838" t="s">
        <v>808</v>
      </c>
      <c r="I6" s="838" t="s">
        <v>809</v>
      </c>
      <c r="J6" s="392"/>
    </row>
    <row r="7" spans="1:14" ht="17.399999999999999" x14ac:dyDescent="0.3">
      <c r="A7" s="557"/>
      <c r="B7" s="557"/>
      <c r="C7" s="557"/>
      <c r="D7" s="557"/>
      <c r="E7" s="632"/>
      <c r="F7" s="840"/>
      <c r="G7" s="840"/>
      <c r="H7" s="557"/>
      <c r="I7" s="557"/>
      <c r="J7" s="392"/>
    </row>
    <row r="8" spans="1:14" ht="17.399999999999999" x14ac:dyDescent="0.3">
      <c r="A8" s="557"/>
      <c r="B8" s="557"/>
      <c r="C8" s="557"/>
      <c r="D8" s="557"/>
      <c r="E8" s="632"/>
      <c r="F8" s="557"/>
      <c r="G8" s="546"/>
      <c r="H8" s="557"/>
      <c r="I8" s="557"/>
      <c r="J8" s="392"/>
    </row>
    <row r="9" spans="1:14" s="203" customFormat="1" ht="17.399999999999999" x14ac:dyDescent="0.3">
      <c r="A9" s="558" t="s">
        <v>810</v>
      </c>
      <c r="B9" s="558">
        <v>224.02</v>
      </c>
      <c r="C9" s="558" t="s">
        <v>813</v>
      </c>
      <c r="D9" s="841">
        <v>2005</v>
      </c>
      <c r="E9" s="842">
        <v>4.1250000000000002E-2</v>
      </c>
      <c r="F9" s="843">
        <v>7320000</v>
      </c>
      <c r="G9" s="1039">
        <v>3167383.66</v>
      </c>
      <c r="H9" s="866">
        <f t="shared" ref="H9:H50" si="0">+G9/$G$66</f>
        <v>8.7548898605610048E-2</v>
      </c>
      <c r="I9" s="866">
        <f t="shared" ref="I9:I17" si="1">+E9*H9</f>
        <v>3.6113920674814147E-3</v>
      </c>
      <c r="J9" s="447"/>
      <c r="L9" s="547"/>
      <c r="M9" s="519"/>
      <c r="N9" s="519"/>
    </row>
    <row r="10" spans="1:14" ht="17.399999999999999" x14ac:dyDescent="0.3">
      <c r="A10" s="557" t="s">
        <v>814</v>
      </c>
      <c r="B10" s="557" t="s">
        <v>47</v>
      </c>
      <c r="C10" s="557" t="s">
        <v>815</v>
      </c>
      <c r="D10" s="558" t="s">
        <v>816</v>
      </c>
      <c r="E10" s="844">
        <v>6.0749999999999998E-2</v>
      </c>
      <c r="F10" s="843">
        <v>463247</v>
      </c>
      <c r="G10" s="1039">
        <v>0</v>
      </c>
      <c r="H10" s="867">
        <f t="shared" si="0"/>
        <v>0</v>
      </c>
      <c r="I10" s="867">
        <f t="shared" si="1"/>
        <v>0</v>
      </c>
      <c r="J10" s="392"/>
      <c r="L10" s="547"/>
      <c r="M10" s="519"/>
      <c r="N10" s="519"/>
    </row>
    <row r="11" spans="1:14" ht="17.399999999999999" x14ac:dyDescent="0.3">
      <c r="A11" s="557" t="s">
        <v>814</v>
      </c>
      <c r="B11" s="557" t="s">
        <v>47</v>
      </c>
      <c r="C11" s="557" t="s">
        <v>817</v>
      </c>
      <c r="D11" s="558" t="s">
        <v>818</v>
      </c>
      <c r="E11" s="844">
        <v>6.225E-2</v>
      </c>
      <c r="F11" s="843">
        <v>447423</v>
      </c>
      <c r="G11" s="1039">
        <v>0</v>
      </c>
      <c r="H11" s="867">
        <f t="shared" si="0"/>
        <v>0</v>
      </c>
      <c r="I11" s="867">
        <f t="shared" si="1"/>
        <v>0</v>
      </c>
      <c r="J11" s="392"/>
      <c r="L11" s="547"/>
      <c r="M11" s="519"/>
      <c r="N11" s="519"/>
    </row>
    <row r="12" spans="1:14" ht="17.399999999999999" x14ac:dyDescent="0.3">
      <c r="A12" s="557" t="s">
        <v>814</v>
      </c>
      <c r="B12" s="557">
        <v>224.12</v>
      </c>
      <c r="C12" s="557" t="s">
        <v>819</v>
      </c>
      <c r="D12" s="558" t="s">
        <v>820</v>
      </c>
      <c r="E12" s="844">
        <v>6.275E-2</v>
      </c>
      <c r="F12" s="843">
        <v>604167</v>
      </c>
      <c r="G12" s="1039">
        <v>21140.18</v>
      </c>
      <c r="H12" s="867">
        <f t="shared" si="0"/>
        <v>5.843306886682447E-4</v>
      </c>
      <c r="I12" s="867">
        <f t="shared" si="1"/>
        <v>3.6666750713932354E-5</v>
      </c>
      <c r="J12" s="392"/>
      <c r="L12" s="547"/>
      <c r="M12" s="519"/>
      <c r="N12" s="519"/>
    </row>
    <row r="13" spans="1:14" ht="17.399999999999999" x14ac:dyDescent="0.3">
      <c r="A13" s="557" t="s">
        <v>814</v>
      </c>
      <c r="B13" s="557">
        <v>224.12</v>
      </c>
      <c r="C13" s="557" t="s">
        <v>821</v>
      </c>
      <c r="D13" s="558" t="s">
        <v>822</v>
      </c>
      <c r="E13" s="844">
        <v>6.3250000000000001E-2</v>
      </c>
      <c r="F13" s="843">
        <v>667000</v>
      </c>
      <c r="G13" s="1039">
        <v>166767.29</v>
      </c>
      <c r="H13" s="867">
        <f t="shared" si="0"/>
        <v>4.6095750089657174E-3</v>
      </c>
      <c r="I13" s="867">
        <f t="shared" si="1"/>
        <v>2.9155561931708165E-4</v>
      </c>
      <c r="J13" s="392"/>
      <c r="L13" s="547"/>
      <c r="M13" s="519"/>
      <c r="N13" s="519"/>
    </row>
    <row r="14" spans="1:14" ht="17.399999999999999" x14ac:dyDescent="0.3">
      <c r="A14" s="557" t="s">
        <v>814</v>
      </c>
      <c r="B14" s="557">
        <v>224.12</v>
      </c>
      <c r="C14" s="557" t="s">
        <v>823</v>
      </c>
      <c r="D14" s="558" t="s">
        <v>811</v>
      </c>
      <c r="E14" s="844">
        <v>6.3250000000000001E-2</v>
      </c>
      <c r="F14" s="843">
        <v>400000</v>
      </c>
      <c r="G14" s="1039">
        <v>140538.15</v>
      </c>
      <c r="H14" s="867">
        <f t="shared" si="0"/>
        <v>3.8845815869903225E-3</v>
      </c>
      <c r="I14" s="867">
        <f t="shared" si="1"/>
        <v>2.4569978537713788E-4</v>
      </c>
      <c r="J14" s="392"/>
      <c r="L14" s="547"/>
      <c r="M14" s="519"/>
      <c r="N14" s="519"/>
    </row>
    <row r="15" spans="1:14" ht="17.399999999999999" x14ac:dyDescent="0.3">
      <c r="A15" s="557" t="s">
        <v>814</v>
      </c>
      <c r="B15" s="557">
        <v>224.12</v>
      </c>
      <c r="C15" s="557" t="s">
        <v>824</v>
      </c>
      <c r="D15" s="558" t="s">
        <v>825</v>
      </c>
      <c r="E15" s="844">
        <v>6.3250000000000001E-2</v>
      </c>
      <c r="F15" s="843">
        <v>200000</v>
      </c>
      <c r="G15" s="1039">
        <v>70910.320000000007</v>
      </c>
      <c r="H15" s="867">
        <f t="shared" si="0"/>
        <v>1.9600152940649328E-3</v>
      </c>
      <c r="I15" s="867">
        <f t="shared" si="1"/>
        <v>1.2397096734960701E-4</v>
      </c>
      <c r="J15" s="392"/>
      <c r="L15" s="547"/>
      <c r="M15" s="519"/>
      <c r="N15" s="519"/>
    </row>
    <row r="16" spans="1:14" ht="17.399999999999999" x14ac:dyDescent="0.3">
      <c r="A16" s="557" t="s">
        <v>814</v>
      </c>
      <c r="B16" s="557">
        <v>224.12</v>
      </c>
      <c r="C16" s="557" t="s">
        <v>826</v>
      </c>
      <c r="D16" s="558" t="s">
        <v>812</v>
      </c>
      <c r="E16" s="844">
        <v>6.3250000000000001E-2</v>
      </c>
      <c r="F16" s="843">
        <v>125000</v>
      </c>
      <c r="G16" s="1039">
        <v>44319.39</v>
      </c>
      <c r="H16" s="867">
        <f t="shared" si="0"/>
        <v>1.2250217207259596E-3</v>
      </c>
      <c r="I16" s="867">
        <f t="shared" si="1"/>
        <v>7.748262383591694E-5</v>
      </c>
      <c r="J16" s="392"/>
      <c r="L16" s="547"/>
      <c r="M16" s="519"/>
      <c r="N16" s="519"/>
    </row>
    <row r="17" spans="1:14" ht="17.399999999999999" x14ac:dyDescent="0.3">
      <c r="A17" s="557" t="s">
        <v>814</v>
      </c>
      <c r="B17" s="1160">
        <v>221</v>
      </c>
      <c r="C17" s="845">
        <v>29001</v>
      </c>
      <c r="D17" s="846" t="s">
        <v>827</v>
      </c>
      <c r="E17" s="844">
        <v>0</v>
      </c>
      <c r="F17" s="843">
        <v>98698</v>
      </c>
      <c r="G17" s="1039">
        <v>9252.7199999999993</v>
      </c>
      <c r="H17" s="867">
        <f t="shared" si="0"/>
        <v>2.5575223340834564E-4</v>
      </c>
      <c r="I17" s="867">
        <f t="shared" si="1"/>
        <v>0</v>
      </c>
      <c r="J17" s="392"/>
      <c r="L17" s="547"/>
      <c r="M17" s="519"/>
      <c r="N17" s="519"/>
    </row>
    <row r="18" spans="1:14" ht="17.399999999999999" x14ac:dyDescent="0.3">
      <c r="A18" s="557" t="s">
        <v>814</v>
      </c>
      <c r="B18" s="1160">
        <v>221</v>
      </c>
      <c r="C18" s="845">
        <v>29002</v>
      </c>
      <c r="D18" s="846" t="s">
        <v>827</v>
      </c>
      <c r="E18" s="844">
        <v>4.0000000000000001E-3</v>
      </c>
      <c r="F18" s="843">
        <v>1107473</v>
      </c>
      <c r="G18" s="1039">
        <v>103825.34</v>
      </c>
      <c r="H18" s="867">
        <f t="shared" si="0"/>
        <v>2.8698115353518587E-3</v>
      </c>
      <c r="I18" s="867">
        <f t="shared" ref="I18:I50" si="2">+E18*H18</f>
        <v>1.1479246141407435E-5</v>
      </c>
      <c r="J18" s="392"/>
      <c r="L18" s="547"/>
      <c r="M18" s="519"/>
      <c r="N18" s="519"/>
    </row>
    <row r="19" spans="1:14" ht="17.399999999999999" x14ac:dyDescent="0.3">
      <c r="A19" s="557" t="s">
        <v>814</v>
      </c>
      <c r="B19" s="1160">
        <v>221</v>
      </c>
      <c r="C19" s="845" t="s">
        <v>1253</v>
      </c>
      <c r="D19" s="846" t="s">
        <v>1254</v>
      </c>
      <c r="E19" s="844">
        <v>3.6999999999999998E-2</v>
      </c>
      <c r="F19" s="843">
        <v>1712366</v>
      </c>
      <c r="G19" s="1039">
        <v>1136366</v>
      </c>
      <c r="H19" s="867">
        <f t="shared" si="0"/>
        <v>3.1410022400905693E-2</v>
      </c>
      <c r="I19" s="867">
        <f t="shared" si="2"/>
        <v>1.1621708288335106E-3</v>
      </c>
      <c r="J19" s="392"/>
      <c r="L19" s="547"/>
      <c r="M19" s="519"/>
      <c r="N19" s="519"/>
    </row>
    <row r="20" spans="1:14" ht="17.399999999999999" x14ac:dyDescent="0.3">
      <c r="A20" s="557" t="s">
        <v>814</v>
      </c>
      <c r="B20" s="557">
        <v>224.12</v>
      </c>
      <c r="C20" s="847" t="s">
        <v>1090</v>
      </c>
      <c r="D20" s="848" t="s">
        <v>1089</v>
      </c>
      <c r="E20" s="849">
        <v>3.7999999999999999E-2</v>
      </c>
      <c r="F20" s="850">
        <v>838881.39</v>
      </c>
      <c r="G20" s="1276">
        <v>838881</v>
      </c>
      <c r="H20" s="867">
        <f t="shared" si="0"/>
        <v>2.3187310251885546E-2</v>
      </c>
      <c r="I20" s="867">
        <f t="shared" si="2"/>
        <v>8.8111778957165074E-4</v>
      </c>
      <c r="J20" s="446"/>
      <c r="L20" s="548"/>
      <c r="M20" s="519"/>
      <c r="N20" s="519"/>
    </row>
    <row r="21" spans="1:14" ht="17.399999999999999" x14ac:dyDescent="0.3">
      <c r="A21" s="557" t="s">
        <v>814</v>
      </c>
      <c r="B21" s="557">
        <v>224.12</v>
      </c>
      <c r="C21" s="847" t="s">
        <v>1091</v>
      </c>
      <c r="D21" s="848" t="s">
        <v>1089</v>
      </c>
      <c r="E21" s="849">
        <v>3.9E-2</v>
      </c>
      <c r="F21" s="850">
        <v>836688.59</v>
      </c>
      <c r="G21" s="1276">
        <v>836689</v>
      </c>
      <c r="H21" s="867">
        <f t="shared" si="0"/>
        <v>2.3126721701099282E-2</v>
      </c>
      <c r="I21" s="867">
        <f t="shared" si="2"/>
        <v>9.0194214634287204E-4</v>
      </c>
      <c r="J21" s="446"/>
      <c r="L21" s="548"/>
      <c r="M21" s="519"/>
      <c r="N21" s="519"/>
    </row>
    <row r="22" spans="1:14" ht="17.399999999999999" x14ac:dyDescent="0.3">
      <c r="A22" s="557" t="s">
        <v>814</v>
      </c>
      <c r="B22" s="557">
        <v>224.12</v>
      </c>
      <c r="C22" s="847" t="s">
        <v>1092</v>
      </c>
      <c r="D22" s="848" t="s">
        <v>1089</v>
      </c>
      <c r="E22" s="849">
        <v>3.95E-2</v>
      </c>
      <c r="F22" s="850">
        <v>869021.57</v>
      </c>
      <c r="G22" s="1276">
        <v>869022</v>
      </c>
      <c r="H22" s="867">
        <f t="shared" si="0"/>
        <v>2.4020430465958916E-2</v>
      </c>
      <c r="I22" s="867">
        <f t="shared" si="2"/>
        <v>9.4880700340537719E-4</v>
      </c>
      <c r="J22" s="446"/>
      <c r="L22" s="548"/>
      <c r="M22" s="519"/>
      <c r="N22" s="519"/>
    </row>
    <row r="23" spans="1:14" ht="17.399999999999999" x14ac:dyDescent="0.3">
      <c r="A23" s="557" t="s">
        <v>814</v>
      </c>
      <c r="B23" s="557">
        <v>224.12</v>
      </c>
      <c r="C23" s="847" t="s">
        <v>1093</v>
      </c>
      <c r="D23" s="848" t="s">
        <v>1089</v>
      </c>
      <c r="E23" s="849">
        <v>4.0500000000000001E-2</v>
      </c>
      <c r="F23" s="850">
        <v>902519.92</v>
      </c>
      <c r="G23" s="1276">
        <v>902520</v>
      </c>
      <c r="H23" s="867">
        <f t="shared" si="0"/>
        <v>2.4946340718804864E-2</v>
      </c>
      <c r="I23" s="867">
        <f t="shared" si="2"/>
        <v>1.010326799111597E-3</v>
      </c>
      <c r="J23" s="446"/>
      <c r="L23" s="548"/>
      <c r="M23" s="519"/>
      <c r="N23" s="519"/>
    </row>
    <row r="24" spans="1:14" ht="17.399999999999999" x14ac:dyDescent="0.3">
      <c r="A24" s="557" t="s">
        <v>814</v>
      </c>
      <c r="B24" s="557">
        <v>224.12</v>
      </c>
      <c r="C24" s="847" t="s">
        <v>1094</v>
      </c>
      <c r="D24" s="848" t="s">
        <v>1089</v>
      </c>
      <c r="E24" s="849">
        <v>4.1000000000000002E-2</v>
      </c>
      <c r="F24" s="850">
        <v>866855.47</v>
      </c>
      <c r="G24" s="1276">
        <v>866855</v>
      </c>
      <c r="H24" s="867">
        <f t="shared" si="0"/>
        <v>2.3960532934228149E-2</v>
      </c>
      <c r="I24" s="867">
        <f t="shared" si="2"/>
        <v>9.8238185030335426E-4</v>
      </c>
      <c r="J24" s="446"/>
      <c r="L24" s="548"/>
      <c r="M24" s="519"/>
      <c r="N24" s="519"/>
    </row>
    <row r="25" spans="1:14" ht="17.399999999999999" x14ac:dyDescent="0.3">
      <c r="A25" s="557" t="s">
        <v>814</v>
      </c>
      <c r="B25" s="557">
        <v>224.12</v>
      </c>
      <c r="C25" s="847" t="s">
        <v>1095</v>
      </c>
      <c r="D25" s="848" t="s">
        <v>1089</v>
      </c>
      <c r="E25" s="849">
        <v>4.2000000000000003E-2</v>
      </c>
      <c r="F25" s="850">
        <v>863184.17</v>
      </c>
      <c r="G25" s="1276">
        <v>863184</v>
      </c>
      <c r="H25" s="867">
        <f t="shared" si="0"/>
        <v>2.3859063696118489E-2</v>
      </c>
      <c r="I25" s="867">
        <f t="shared" si="2"/>
        <v>1.0020806752369766E-3</v>
      </c>
      <c r="J25" s="446"/>
      <c r="L25" s="548"/>
      <c r="M25" s="519"/>
      <c r="N25" s="519"/>
    </row>
    <row r="26" spans="1:14" ht="17.399999999999999" x14ac:dyDescent="0.3">
      <c r="A26" s="557" t="s">
        <v>814</v>
      </c>
      <c r="B26" s="557">
        <v>224.12</v>
      </c>
      <c r="C26" s="847" t="s">
        <v>1096</v>
      </c>
      <c r="D26" s="848" t="s">
        <v>1089</v>
      </c>
      <c r="E26" s="849">
        <v>4.2500000000000003E-2</v>
      </c>
      <c r="F26" s="850">
        <v>802073.02</v>
      </c>
      <c r="G26" s="1276">
        <v>802073</v>
      </c>
      <c r="H26" s="867">
        <f t="shared" si="0"/>
        <v>2.216990907609136E-2</v>
      </c>
      <c r="I26" s="867">
        <f t="shared" si="2"/>
        <v>9.4222113573388293E-4</v>
      </c>
      <c r="J26" s="446"/>
      <c r="L26" s="548"/>
      <c r="M26" s="519"/>
      <c r="N26" s="519"/>
    </row>
    <row r="27" spans="1:14" ht="17.399999999999999" x14ac:dyDescent="0.3">
      <c r="A27" s="557" t="s">
        <v>814</v>
      </c>
      <c r="B27" s="557">
        <v>224.12</v>
      </c>
      <c r="C27" s="847" t="s">
        <v>1097</v>
      </c>
      <c r="D27" s="848" t="s">
        <v>1089</v>
      </c>
      <c r="E27" s="849">
        <v>4.2999999999999997E-2</v>
      </c>
      <c r="F27" s="850">
        <v>835164.81</v>
      </c>
      <c r="G27" s="1276">
        <v>835165</v>
      </c>
      <c r="H27" s="867">
        <f t="shared" si="0"/>
        <v>2.3084597179475985E-2</v>
      </c>
      <c r="I27" s="867">
        <f t="shared" si="2"/>
        <v>9.926376787174672E-4</v>
      </c>
      <c r="J27" s="446"/>
      <c r="L27" s="548"/>
      <c r="M27" s="519"/>
      <c r="N27" s="519"/>
    </row>
    <row r="28" spans="1:14" ht="17.399999999999999" x14ac:dyDescent="0.3">
      <c r="A28" s="557" t="s">
        <v>814</v>
      </c>
      <c r="B28" s="557">
        <v>224.12</v>
      </c>
      <c r="C28" s="847" t="s">
        <v>1098</v>
      </c>
      <c r="D28" s="848" t="s">
        <v>1089</v>
      </c>
      <c r="E28" s="849">
        <v>4.3499999999999997E-2</v>
      </c>
      <c r="F28" s="850">
        <v>397282.25</v>
      </c>
      <c r="G28" s="1276">
        <v>397282</v>
      </c>
      <c r="H28" s="867">
        <f t="shared" si="0"/>
        <v>1.0981177296290646E-2</v>
      </c>
      <c r="I28" s="867">
        <f t="shared" si="2"/>
        <v>4.7768121238864311E-4</v>
      </c>
      <c r="J28" s="446"/>
      <c r="L28" s="548"/>
      <c r="M28" s="519"/>
      <c r="N28" s="519"/>
    </row>
    <row r="29" spans="1:14" ht="17.399999999999999" x14ac:dyDescent="0.3">
      <c r="A29" s="557" t="s">
        <v>814</v>
      </c>
      <c r="B29" s="557">
        <v>224.12</v>
      </c>
      <c r="C29" s="847">
        <v>9033</v>
      </c>
      <c r="D29" s="851" t="s">
        <v>1099</v>
      </c>
      <c r="E29" s="849">
        <v>0.03</v>
      </c>
      <c r="F29" s="850">
        <v>1694453</v>
      </c>
      <c r="G29" s="1039">
        <v>197379.49</v>
      </c>
      <c r="H29" s="867">
        <f t="shared" si="0"/>
        <v>5.4557195501971564E-3</v>
      </c>
      <c r="I29" s="867">
        <f t="shared" si="2"/>
        <v>1.6367158650591469E-4</v>
      </c>
      <c r="J29" s="446"/>
      <c r="L29" s="547"/>
      <c r="M29" s="519"/>
      <c r="N29" s="519"/>
    </row>
    <row r="30" spans="1:14" ht="17.399999999999999" x14ac:dyDescent="0.3">
      <c r="A30" s="557" t="s">
        <v>1103</v>
      </c>
      <c r="B30" s="557">
        <v>224.08</v>
      </c>
      <c r="C30" s="852" t="s">
        <v>828</v>
      </c>
      <c r="D30" s="853">
        <v>2009</v>
      </c>
      <c r="E30" s="854">
        <v>4.3470000000000002E-2</v>
      </c>
      <c r="F30" s="855">
        <v>2953000</v>
      </c>
      <c r="G30" s="1040">
        <v>1923924.34</v>
      </c>
      <c r="H30" s="867">
        <f t="shared" si="0"/>
        <v>5.3178735211232744E-2</v>
      </c>
      <c r="I30" s="867">
        <f t="shared" si="2"/>
        <v>2.3116796196322874E-3</v>
      </c>
      <c r="J30" s="446"/>
      <c r="L30" s="547"/>
      <c r="M30" s="519"/>
      <c r="N30" s="519"/>
    </row>
    <row r="31" spans="1:14" ht="17.399999999999999" x14ac:dyDescent="0.3">
      <c r="A31" s="557" t="s">
        <v>1103</v>
      </c>
      <c r="B31" s="557">
        <v>224.08</v>
      </c>
      <c r="C31" s="852" t="s">
        <v>829</v>
      </c>
      <c r="D31" s="856">
        <v>2009</v>
      </c>
      <c r="E31" s="854">
        <v>4.3659999999999997E-2</v>
      </c>
      <c r="F31" s="855">
        <v>3135000</v>
      </c>
      <c r="G31" s="1040">
        <v>1567499.86</v>
      </c>
      <c r="H31" s="867">
        <f t="shared" si="0"/>
        <v>4.3326890910161467E-2</v>
      </c>
      <c r="I31" s="867">
        <f t="shared" si="2"/>
        <v>1.8916520571376496E-3</v>
      </c>
      <c r="J31" s="446"/>
      <c r="L31" s="547"/>
      <c r="M31" s="519"/>
      <c r="N31" s="519"/>
    </row>
    <row r="32" spans="1:14" ht="17.399999999999999" x14ac:dyDescent="0.3">
      <c r="A32" s="557" t="s">
        <v>1103</v>
      </c>
      <c r="B32" s="557">
        <v>224.08</v>
      </c>
      <c r="C32" s="852" t="s">
        <v>872</v>
      </c>
      <c r="D32" s="857">
        <v>2010</v>
      </c>
      <c r="E32" s="854">
        <v>4.2720000000000001E-2</v>
      </c>
      <c r="F32" s="855">
        <v>1196000</v>
      </c>
      <c r="G32" s="1040">
        <v>779211.94</v>
      </c>
      <c r="H32" s="867">
        <f t="shared" si="0"/>
        <v>2.153801195253394E-2</v>
      </c>
      <c r="I32" s="867">
        <f t="shared" si="2"/>
        <v>9.2010387061224996E-4</v>
      </c>
      <c r="J32" s="446"/>
      <c r="L32" s="547"/>
      <c r="M32" s="519"/>
      <c r="N32" s="519"/>
    </row>
    <row r="33" spans="1:14" ht="17.399999999999999" x14ac:dyDescent="0.3">
      <c r="A33" s="557" t="s">
        <v>1103</v>
      </c>
      <c r="B33" s="557">
        <v>224.08</v>
      </c>
      <c r="C33" s="852" t="s">
        <v>873</v>
      </c>
      <c r="D33" s="857">
        <v>2010</v>
      </c>
      <c r="E33" s="854">
        <v>3.7069999999999999E-2</v>
      </c>
      <c r="F33" s="855">
        <v>832000</v>
      </c>
      <c r="G33" s="1040">
        <v>542060.62</v>
      </c>
      <c r="H33" s="867">
        <f t="shared" si="0"/>
        <v>1.4982968706252061E-2</v>
      </c>
      <c r="I33" s="867">
        <f t="shared" si="2"/>
        <v>5.5541864994076387E-4</v>
      </c>
      <c r="J33" s="446"/>
      <c r="L33" s="547"/>
      <c r="M33" s="519"/>
      <c r="N33" s="519"/>
    </row>
    <row r="34" spans="1:14" ht="17.399999999999999" x14ac:dyDescent="0.3">
      <c r="A34" s="557" t="s">
        <v>1103</v>
      </c>
      <c r="B34" s="557">
        <v>224.08</v>
      </c>
      <c r="C34" s="858" t="s">
        <v>874</v>
      </c>
      <c r="D34" s="859">
        <v>2010</v>
      </c>
      <c r="E34" s="854">
        <v>3.3279999999999997E-2</v>
      </c>
      <c r="F34" s="855">
        <v>638000</v>
      </c>
      <c r="G34" s="1040">
        <v>415666.82</v>
      </c>
      <c r="H34" s="867">
        <f t="shared" si="0"/>
        <v>1.148934773436836E-2</v>
      </c>
      <c r="I34" s="867">
        <f t="shared" si="2"/>
        <v>3.8236549259977896E-4</v>
      </c>
      <c r="J34" s="446"/>
      <c r="L34" s="547"/>
      <c r="M34" s="519"/>
      <c r="N34" s="519"/>
    </row>
    <row r="35" spans="1:14" ht="17.399999999999999" x14ac:dyDescent="0.3">
      <c r="A35" s="557" t="s">
        <v>1103</v>
      </c>
      <c r="B35" s="557">
        <v>224.08</v>
      </c>
      <c r="C35" s="858" t="s">
        <v>875</v>
      </c>
      <c r="D35" s="859">
        <v>2011</v>
      </c>
      <c r="E35" s="854">
        <v>4.1930000000000002E-2</v>
      </c>
      <c r="F35" s="855">
        <v>678000</v>
      </c>
      <c r="G35" s="1040">
        <v>445099.35</v>
      </c>
      <c r="H35" s="867">
        <f t="shared" si="0"/>
        <v>1.2302885297631717E-2</v>
      </c>
      <c r="I35" s="867">
        <f t="shared" si="2"/>
        <v>5.1585998052969793E-4</v>
      </c>
      <c r="J35" s="446"/>
      <c r="L35" s="547"/>
      <c r="M35" s="519"/>
      <c r="N35" s="519"/>
    </row>
    <row r="36" spans="1:14" ht="17.399999999999999" x14ac:dyDescent="0.3">
      <c r="A36" s="557" t="s">
        <v>1103</v>
      </c>
      <c r="B36" s="557">
        <v>224.08</v>
      </c>
      <c r="C36" s="858" t="s">
        <v>876</v>
      </c>
      <c r="D36" s="859">
        <v>2011</v>
      </c>
      <c r="E36" s="854">
        <v>3.9989999999999998E-2</v>
      </c>
      <c r="F36" s="855">
        <v>1230000</v>
      </c>
      <c r="G36" s="1040">
        <f>666667.01+153333.15</f>
        <v>820000.16</v>
      </c>
      <c r="H36" s="867">
        <f t="shared" si="0"/>
        <v>2.2665429442931463E-2</v>
      </c>
      <c r="I36" s="867">
        <f t="shared" si="2"/>
        <v>9.0639052342282914E-4</v>
      </c>
      <c r="J36" s="446"/>
      <c r="L36" s="547"/>
      <c r="M36" s="519"/>
      <c r="N36" s="519"/>
    </row>
    <row r="37" spans="1:14" ht="17.399999999999999" x14ac:dyDescent="0.3">
      <c r="A37" s="557" t="s">
        <v>1103</v>
      </c>
      <c r="B37" s="557">
        <v>224.08</v>
      </c>
      <c r="C37" s="858" t="s">
        <v>877</v>
      </c>
      <c r="D37" s="859">
        <v>2011</v>
      </c>
      <c r="E37" s="854">
        <v>3.134E-2</v>
      </c>
      <c r="F37" s="855">
        <v>373000</v>
      </c>
      <c r="G37" s="1040">
        <v>248666.79</v>
      </c>
      <c r="H37" s="867">
        <f t="shared" si="0"/>
        <v>6.8733396144035576E-3</v>
      </c>
      <c r="I37" s="867">
        <f t="shared" si="2"/>
        <v>2.1541046351540748E-4</v>
      </c>
      <c r="J37" s="446"/>
      <c r="L37" s="547"/>
      <c r="M37" s="519"/>
      <c r="N37" s="519"/>
    </row>
    <row r="38" spans="1:14" ht="17.399999999999999" x14ac:dyDescent="0.3">
      <c r="A38" s="557" t="s">
        <v>1103</v>
      </c>
      <c r="B38" s="557">
        <v>224.08</v>
      </c>
      <c r="C38" s="858" t="s">
        <v>885</v>
      </c>
      <c r="D38" s="859">
        <v>2012</v>
      </c>
      <c r="E38" s="854">
        <v>2.281E-2</v>
      </c>
      <c r="F38" s="855">
        <v>500000</v>
      </c>
      <c r="G38" s="1040">
        <v>371212.08</v>
      </c>
      <c r="H38" s="867">
        <f t="shared" si="0"/>
        <v>1.0260584836475923E-2</v>
      </c>
      <c r="I38" s="867">
        <f t="shared" si="2"/>
        <v>2.3404394012001579E-4</v>
      </c>
      <c r="J38" s="446"/>
      <c r="L38" s="547"/>
      <c r="M38" s="519"/>
      <c r="N38" s="519"/>
    </row>
    <row r="39" spans="1:14" ht="17.399999999999999" x14ac:dyDescent="0.3">
      <c r="A39" s="557" t="s">
        <v>1103</v>
      </c>
      <c r="B39" s="557">
        <v>224.08</v>
      </c>
      <c r="C39" s="858" t="s">
        <v>886</v>
      </c>
      <c r="D39" s="859">
        <v>2012</v>
      </c>
      <c r="E39" s="854">
        <v>2.418E-2</v>
      </c>
      <c r="F39" s="855">
        <v>800000</v>
      </c>
      <c r="G39" s="1040">
        <v>593939.26</v>
      </c>
      <c r="H39" s="867">
        <f t="shared" si="0"/>
        <v>1.6416933858789645E-2</v>
      </c>
      <c r="I39" s="867">
        <f t="shared" si="2"/>
        <v>3.969614607055336E-4</v>
      </c>
      <c r="J39" s="446"/>
      <c r="L39" s="547"/>
      <c r="M39" s="519"/>
      <c r="N39" s="519"/>
    </row>
    <row r="40" spans="1:14" ht="17.399999999999999" x14ac:dyDescent="0.3">
      <c r="A40" s="557" t="s">
        <v>1103</v>
      </c>
      <c r="B40" s="557">
        <v>224.08</v>
      </c>
      <c r="C40" s="858" t="s">
        <v>1100</v>
      </c>
      <c r="D40" s="859">
        <v>2012</v>
      </c>
      <c r="E40" s="854">
        <v>2.6249999999999999E-2</v>
      </c>
      <c r="F40" s="855">
        <v>500000</v>
      </c>
      <c r="G40" s="1040">
        <v>371212.08</v>
      </c>
      <c r="H40" s="867">
        <f t="shared" si="0"/>
        <v>1.0260584836475923E-2</v>
      </c>
      <c r="I40" s="867">
        <f t="shared" si="2"/>
        <v>2.6934035195749296E-4</v>
      </c>
      <c r="J40" s="446"/>
      <c r="L40" s="547"/>
      <c r="M40" s="519"/>
      <c r="N40" s="519"/>
    </row>
    <row r="41" spans="1:14" ht="17.399999999999999" x14ac:dyDescent="0.3">
      <c r="A41" s="557" t="s">
        <v>1103</v>
      </c>
      <c r="B41" s="557">
        <v>224.08</v>
      </c>
      <c r="C41" s="858" t="s">
        <v>1101</v>
      </c>
      <c r="D41" s="859">
        <v>2013</v>
      </c>
      <c r="E41" s="854">
        <v>2.6329999999999999E-2</v>
      </c>
      <c r="F41" s="855">
        <v>900000</v>
      </c>
      <c r="G41" s="1040">
        <v>668181.88</v>
      </c>
      <c r="H41" s="867">
        <f t="shared" si="0"/>
        <v>1.8469056464800321E-2</v>
      </c>
      <c r="I41" s="867">
        <f t="shared" si="2"/>
        <v>4.8629025671819245E-4</v>
      </c>
      <c r="J41" s="446"/>
      <c r="L41" s="547"/>
      <c r="M41" s="519"/>
      <c r="N41" s="519"/>
    </row>
    <row r="42" spans="1:14" ht="17.399999999999999" x14ac:dyDescent="0.3">
      <c r="A42" s="557" t="s">
        <v>1103</v>
      </c>
      <c r="B42" s="557">
        <v>224.08</v>
      </c>
      <c r="C42" s="858" t="s">
        <v>1102</v>
      </c>
      <c r="D42" s="859">
        <v>2013</v>
      </c>
      <c r="E42" s="854">
        <v>3.4110000000000001E-2</v>
      </c>
      <c r="F42" s="855">
        <v>1000000</v>
      </c>
      <c r="G42" s="1040">
        <v>742424.16</v>
      </c>
      <c r="H42" s="867">
        <f t="shared" si="0"/>
        <v>2.0521169672951846E-2</v>
      </c>
      <c r="I42" s="867">
        <f t="shared" si="2"/>
        <v>6.9997709754438745E-4</v>
      </c>
      <c r="J42" s="446"/>
      <c r="L42" s="547"/>
      <c r="M42" s="519"/>
      <c r="N42" s="519"/>
    </row>
    <row r="43" spans="1:14" ht="17.399999999999999" x14ac:dyDescent="0.3">
      <c r="A43" s="558" t="s">
        <v>1103</v>
      </c>
      <c r="B43" s="558">
        <v>224.08</v>
      </c>
      <c r="C43" s="860" t="s">
        <v>1185</v>
      </c>
      <c r="D43" s="859">
        <v>2014</v>
      </c>
      <c r="E43" s="861">
        <v>3.2579999999999998E-2</v>
      </c>
      <c r="F43" s="862">
        <v>800000</v>
      </c>
      <c r="G43" s="1040">
        <v>670894.57999999996</v>
      </c>
      <c r="H43" s="866">
        <f t="shared" si="0"/>
        <v>1.8544037560474545E-2</v>
      </c>
      <c r="I43" s="866">
        <f t="shared" si="2"/>
        <v>6.0416474372026064E-4</v>
      </c>
      <c r="J43" s="447"/>
      <c r="L43" s="547"/>
      <c r="M43" s="519"/>
      <c r="N43" s="519"/>
    </row>
    <row r="44" spans="1:14" ht="17.399999999999999" x14ac:dyDescent="0.3">
      <c r="A44" s="558" t="s">
        <v>1103</v>
      </c>
      <c r="B44" s="558">
        <v>224.08</v>
      </c>
      <c r="C44" s="860" t="s">
        <v>1140</v>
      </c>
      <c r="D44" s="859">
        <v>2014</v>
      </c>
      <c r="E44" s="861">
        <v>2.7969999999999998E-2</v>
      </c>
      <c r="F44" s="862">
        <v>850000</v>
      </c>
      <c r="G44" s="1241">
        <v>711527.63</v>
      </c>
      <c r="H44" s="866">
        <f t="shared" si="0"/>
        <v>1.9667166033798388E-2</v>
      </c>
      <c r="I44" s="866">
        <f t="shared" si="2"/>
        <v>5.5009063396534088E-4</v>
      </c>
      <c r="J44" s="447"/>
      <c r="L44" s="547"/>
      <c r="M44" s="519"/>
      <c r="N44" s="519"/>
    </row>
    <row r="45" spans="1:14" ht="17.399999999999999" x14ac:dyDescent="0.3">
      <c r="A45" s="558" t="s">
        <v>1103</v>
      </c>
      <c r="B45" s="558">
        <v>224.08</v>
      </c>
      <c r="C45" s="860" t="s">
        <v>1186</v>
      </c>
      <c r="D45" s="859">
        <v>2015</v>
      </c>
      <c r="E45" s="861">
        <v>2.6550000000000001E-2</v>
      </c>
      <c r="F45" s="862">
        <v>800000</v>
      </c>
      <c r="G45" s="1241">
        <v>679717.68</v>
      </c>
      <c r="H45" s="866">
        <f t="shared" si="0"/>
        <v>1.8787914769617931E-2</v>
      </c>
      <c r="I45" s="866">
        <f t="shared" si="2"/>
        <v>4.9881913713335606E-4</v>
      </c>
      <c r="J45" s="447"/>
      <c r="L45" s="547"/>
      <c r="M45" s="519"/>
      <c r="N45" s="519"/>
    </row>
    <row r="46" spans="1:14" ht="17.399999999999999" x14ac:dyDescent="0.3">
      <c r="A46" s="558" t="s">
        <v>1103</v>
      </c>
      <c r="B46" s="558">
        <v>224.08</v>
      </c>
      <c r="C46" s="860" t="s">
        <v>1220</v>
      </c>
      <c r="D46" s="859">
        <v>2016</v>
      </c>
      <c r="E46" s="861">
        <v>2.3990000000000001E-2</v>
      </c>
      <c r="F46" s="862">
        <v>250000</v>
      </c>
      <c r="G46" s="1241">
        <v>213445.02</v>
      </c>
      <c r="H46" s="866">
        <f t="shared" si="0"/>
        <v>5.8997830448656186E-3</v>
      </c>
      <c r="I46" s="866">
        <f t="shared" si="2"/>
        <v>1.4153579524632621E-4</v>
      </c>
      <c r="J46" s="447"/>
      <c r="L46" s="547"/>
      <c r="M46" s="519"/>
      <c r="N46" s="519"/>
    </row>
    <row r="47" spans="1:14" ht="17.399999999999999" x14ac:dyDescent="0.3">
      <c r="A47" s="558" t="s">
        <v>1103</v>
      </c>
      <c r="B47" s="558">
        <v>224.08</v>
      </c>
      <c r="C47" s="860" t="s">
        <v>1249</v>
      </c>
      <c r="D47" s="859">
        <v>2016</v>
      </c>
      <c r="E47" s="861">
        <f>0.01919+0.00125</f>
        <v>2.044E-2</v>
      </c>
      <c r="F47" s="862">
        <v>800000</v>
      </c>
      <c r="G47" s="1241">
        <v>682109.57</v>
      </c>
      <c r="H47" s="866">
        <f t="shared" si="0"/>
        <v>1.8854028432364354E-2</v>
      </c>
      <c r="I47" s="866">
        <f t="shared" si="2"/>
        <v>3.853763411575274E-4</v>
      </c>
      <c r="J47" s="447"/>
      <c r="L47" s="547"/>
      <c r="M47" s="519"/>
      <c r="N47" s="519"/>
    </row>
    <row r="48" spans="1:14" ht="17.399999999999999" x14ac:dyDescent="0.3">
      <c r="A48" s="558" t="s">
        <v>1103</v>
      </c>
      <c r="B48" s="558">
        <v>224.08</v>
      </c>
      <c r="C48" s="860" t="s">
        <v>1250</v>
      </c>
      <c r="D48" s="859">
        <v>2016</v>
      </c>
      <c r="E48" s="861">
        <f>0.02818+0.00125</f>
        <v>2.9430000000000001E-2</v>
      </c>
      <c r="F48" s="862">
        <v>200000</v>
      </c>
      <c r="G48" s="1241">
        <v>175100.93</v>
      </c>
      <c r="H48" s="866">
        <f t="shared" si="0"/>
        <v>4.8399231706328944E-3</v>
      </c>
      <c r="I48" s="866">
        <f t="shared" si="2"/>
        <v>1.4243893891172608E-4</v>
      </c>
      <c r="J48" s="447"/>
      <c r="L48" s="547"/>
      <c r="M48" s="519"/>
      <c r="N48" s="519"/>
    </row>
    <row r="49" spans="1:14" ht="17.399999999999999" x14ac:dyDescent="0.3">
      <c r="A49" s="558" t="s">
        <v>1103</v>
      </c>
      <c r="B49" s="558">
        <v>224.08</v>
      </c>
      <c r="C49" s="860" t="s">
        <v>1251</v>
      </c>
      <c r="D49" s="859">
        <v>2017</v>
      </c>
      <c r="E49" s="861">
        <f>0.02802+0.00125</f>
        <v>2.9270000000000001E-2</v>
      </c>
      <c r="F49" s="862">
        <v>400000</v>
      </c>
      <c r="G49" s="1241">
        <v>357953.27</v>
      </c>
      <c r="H49" s="866">
        <f t="shared" si="0"/>
        <v>9.8941012219456101E-3</v>
      </c>
      <c r="I49" s="866">
        <f t="shared" si="2"/>
        <v>2.8960034276634801E-4</v>
      </c>
      <c r="J49" s="447"/>
      <c r="L49" s="547"/>
      <c r="M49" s="519"/>
      <c r="N49" s="519"/>
    </row>
    <row r="50" spans="1:14" ht="17.399999999999999" x14ac:dyDescent="0.3">
      <c r="A50" s="558" t="s">
        <v>1103</v>
      </c>
      <c r="B50" s="558">
        <v>224.08</v>
      </c>
      <c r="C50" s="860" t="s">
        <v>1252</v>
      </c>
      <c r="D50" s="859">
        <v>2017</v>
      </c>
      <c r="E50" s="861">
        <f>0.02507+0.00125</f>
        <v>2.632E-2</v>
      </c>
      <c r="F50" s="862">
        <v>500000</v>
      </c>
      <c r="G50" s="1241">
        <v>447097.77</v>
      </c>
      <c r="H50" s="866">
        <f t="shared" si="0"/>
        <v>1.2358123149667433E-2</v>
      </c>
      <c r="I50" s="866">
        <f t="shared" si="2"/>
        <v>3.2526580129924683E-4</v>
      </c>
      <c r="J50" s="447"/>
      <c r="L50" s="547"/>
      <c r="M50" s="519"/>
      <c r="N50" s="519"/>
    </row>
    <row r="51" spans="1:14" ht="17.399999999999999" x14ac:dyDescent="0.3">
      <c r="A51" s="558" t="s">
        <v>1103</v>
      </c>
      <c r="B51" s="558">
        <v>224.08</v>
      </c>
      <c r="C51" s="863" t="s">
        <v>1264</v>
      </c>
      <c r="D51" s="859">
        <v>2017</v>
      </c>
      <c r="E51" s="864">
        <v>2.622E-2</v>
      </c>
      <c r="F51" s="855">
        <v>900000</v>
      </c>
      <c r="G51" s="1241">
        <v>809842.57</v>
      </c>
      <c r="H51" s="866">
        <f t="shared" ref="H51" si="3">+G51/$G$66</f>
        <v>2.2384665913013094E-2</v>
      </c>
      <c r="I51" s="866">
        <f t="shared" ref="I51" si="4">+E51*H51</f>
        <v>5.869259402392033E-4</v>
      </c>
      <c r="J51" s="447"/>
      <c r="L51" s="547"/>
      <c r="M51" s="519"/>
      <c r="N51" s="519"/>
    </row>
    <row r="52" spans="1:14" ht="17.399999999999999" x14ac:dyDescent="0.3">
      <c r="A52" s="558" t="s">
        <v>1103</v>
      </c>
      <c r="B52" s="558">
        <v>224.08</v>
      </c>
      <c r="C52" s="863" t="s">
        <v>1307</v>
      </c>
      <c r="D52" s="859">
        <v>2018</v>
      </c>
      <c r="E52" s="864">
        <f>0.02724+0.00125</f>
        <v>2.8490000000000001E-2</v>
      </c>
      <c r="F52" s="855">
        <v>900000</v>
      </c>
      <c r="G52" s="1241">
        <v>819387.41</v>
      </c>
      <c r="H52" s="866">
        <f t="shared" ref="H52:H53" si="5">+G52/$G$66</f>
        <v>2.264849256588115E-2</v>
      </c>
      <c r="I52" s="866">
        <f t="shared" ref="I52:I53" si="6">+E52*H52</f>
        <v>6.4525555320195404E-4</v>
      </c>
      <c r="J52" s="447"/>
      <c r="L52" s="547"/>
      <c r="M52" s="519"/>
      <c r="N52" s="519"/>
    </row>
    <row r="53" spans="1:14" ht="17.399999999999999" x14ac:dyDescent="0.3">
      <c r="A53" s="558" t="s">
        <v>1103</v>
      </c>
      <c r="B53" s="558">
        <v>224.08</v>
      </c>
      <c r="C53" s="863" t="s">
        <v>1308</v>
      </c>
      <c r="D53" s="859">
        <v>2018</v>
      </c>
      <c r="E53" s="864">
        <f>0.03133+0.00125</f>
        <v>3.2579999999999998E-2</v>
      </c>
      <c r="F53" s="855">
        <v>750000</v>
      </c>
      <c r="G53" s="1241">
        <v>690260.59</v>
      </c>
      <c r="H53" s="866">
        <f t="shared" si="5"/>
        <v>1.9079328838034912E-2</v>
      </c>
      <c r="I53" s="866">
        <f t="shared" si="6"/>
        <v>6.2160453354317741E-4</v>
      </c>
      <c r="J53" s="447"/>
      <c r="L53" s="547"/>
      <c r="M53" s="519"/>
      <c r="N53" s="519"/>
    </row>
    <row r="54" spans="1:14" ht="17.399999999999999" x14ac:dyDescent="0.3">
      <c r="A54" s="558" t="s">
        <v>1103</v>
      </c>
      <c r="B54" s="558">
        <v>224.08</v>
      </c>
      <c r="C54" s="863" t="s">
        <v>1309</v>
      </c>
      <c r="D54" s="859">
        <v>2018</v>
      </c>
      <c r="E54" s="865">
        <f>0.03302+0.00125</f>
        <v>3.4270000000000002E-2</v>
      </c>
      <c r="F54" s="862">
        <v>900000</v>
      </c>
      <c r="G54" s="1241">
        <v>837914.24</v>
      </c>
      <c r="H54" s="866">
        <f t="shared" ref="H54:H63" si="7">+G54/$G$66</f>
        <v>2.3160588268601727E-2</v>
      </c>
      <c r="I54" s="866">
        <f t="shared" ref="I54:I63" si="8">+E54*H54</f>
        <v>7.9371335996498125E-4</v>
      </c>
      <c r="J54" s="447"/>
      <c r="L54" s="547"/>
      <c r="M54" s="519"/>
      <c r="N54" s="519"/>
    </row>
    <row r="55" spans="1:14" ht="17.399999999999999" x14ac:dyDescent="0.3">
      <c r="A55" s="558" t="s">
        <v>1103</v>
      </c>
      <c r="B55" s="558">
        <v>224.08</v>
      </c>
      <c r="C55" s="863" t="s">
        <v>1348</v>
      </c>
      <c r="D55" s="859">
        <v>2019</v>
      </c>
      <c r="E55" s="865">
        <v>3.1399999999999997E-2</v>
      </c>
      <c r="F55" s="862">
        <v>800000</v>
      </c>
      <c r="G55" s="1241">
        <v>743438.91</v>
      </c>
      <c r="H55" s="866">
        <f t="shared" si="7"/>
        <v>2.0549218136414603E-2</v>
      </c>
      <c r="I55" s="866">
        <f t="shared" si="8"/>
        <v>6.452454494834185E-4</v>
      </c>
      <c r="J55" s="447"/>
      <c r="L55" s="547"/>
      <c r="M55" s="519"/>
      <c r="N55" s="519"/>
    </row>
    <row r="56" spans="1:14" ht="17.399999999999999" x14ac:dyDescent="0.3">
      <c r="A56" s="558" t="s">
        <v>1103</v>
      </c>
      <c r="B56" s="558">
        <v>224.08</v>
      </c>
      <c r="C56" s="863" t="s">
        <v>1349</v>
      </c>
      <c r="D56" s="859">
        <v>2019</v>
      </c>
      <c r="E56" s="865">
        <f>0.02803+0.00125</f>
        <v>2.928E-2</v>
      </c>
      <c r="F56" s="862">
        <v>850000</v>
      </c>
      <c r="G56" s="1241">
        <v>794633.33</v>
      </c>
      <c r="H56" s="866">
        <f t="shared" si="7"/>
        <v>2.1964270926626006E-2</v>
      </c>
      <c r="I56" s="866">
        <f t="shared" si="8"/>
        <v>6.4311385273160945E-4</v>
      </c>
      <c r="J56" s="447"/>
      <c r="L56" s="547"/>
      <c r="M56" s="519"/>
      <c r="N56" s="519"/>
    </row>
    <row r="57" spans="1:14" ht="17.399999999999999" x14ac:dyDescent="0.3">
      <c r="A57" s="558" t="s">
        <v>1103</v>
      </c>
      <c r="B57" s="558">
        <v>224.08</v>
      </c>
      <c r="C57" s="863" t="s">
        <v>1350</v>
      </c>
      <c r="D57" s="859">
        <v>2019</v>
      </c>
      <c r="E57" s="865">
        <f>0.02428+0.00125</f>
        <v>2.5530000000000001E-2</v>
      </c>
      <c r="F57" s="862">
        <v>700000</v>
      </c>
      <c r="G57" s="1241">
        <v>652765.76</v>
      </c>
      <c r="H57" s="866">
        <f t="shared" si="7"/>
        <v>1.8042943157525155E-2</v>
      </c>
      <c r="I57" s="866">
        <f t="shared" si="8"/>
        <v>4.6063633881161722E-4</v>
      </c>
      <c r="J57" s="447"/>
      <c r="L57" s="547"/>
      <c r="M57" s="519"/>
      <c r="N57" s="519"/>
    </row>
    <row r="58" spans="1:14" ht="17.399999999999999" x14ac:dyDescent="0.3">
      <c r="A58" s="558" t="s">
        <v>1103</v>
      </c>
      <c r="B58" s="558">
        <v>224.08</v>
      </c>
      <c r="C58" s="1041" t="s">
        <v>1421</v>
      </c>
      <c r="D58" s="859">
        <v>2019</v>
      </c>
      <c r="E58" s="865">
        <v>2.1229999999999999E-2</v>
      </c>
      <c r="F58" s="862">
        <v>441000</v>
      </c>
      <c r="G58" s="1241">
        <v>411073.79</v>
      </c>
      <c r="H58" s="866">
        <f t="shared" si="7"/>
        <v>1.136239288426898E-2</v>
      </c>
      <c r="I58" s="866">
        <f t="shared" si="8"/>
        <v>2.4122360093303043E-4</v>
      </c>
      <c r="J58" s="447"/>
      <c r="L58" s="547"/>
      <c r="M58" s="519"/>
      <c r="N58" s="519"/>
    </row>
    <row r="59" spans="1:14" ht="17.399999999999999" x14ac:dyDescent="0.3">
      <c r="A59" s="558" t="s">
        <v>1103</v>
      </c>
      <c r="B59" s="558">
        <v>224.08</v>
      </c>
      <c r="C59" s="1041" t="s">
        <v>1420</v>
      </c>
      <c r="D59" s="859">
        <v>2020</v>
      </c>
      <c r="E59" s="865">
        <v>1.2200000000000001E-2</v>
      </c>
      <c r="F59" s="862">
        <v>1200000</v>
      </c>
      <c r="G59" s="1241">
        <v>1169081.45</v>
      </c>
      <c r="H59" s="866">
        <f t="shared" si="7"/>
        <v>3.2314302375276376E-2</v>
      </c>
      <c r="I59" s="866">
        <f t="shared" si="8"/>
        <v>3.9423448897837182E-4</v>
      </c>
      <c r="J59" s="447"/>
      <c r="L59" s="547"/>
      <c r="M59" s="519"/>
      <c r="N59" s="519"/>
    </row>
    <row r="60" spans="1:14" ht="17.399999999999999" x14ac:dyDescent="0.3">
      <c r="A60" s="558" t="s">
        <v>1103</v>
      </c>
      <c r="B60" s="558">
        <v>224.08</v>
      </c>
      <c r="C60" s="1041" t="s">
        <v>1419</v>
      </c>
      <c r="D60" s="859">
        <v>2020</v>
      </c>
      <c r="E60" s="865">
        <v>1.3350000000000001E-2</v>
      </c>
      <c r="F60" s="862">
        <v>1201600</v>
      </c>
      <c r="G60" s="1241">
        <v>1171229.52</v>
      </c>
      <c r="H60" s="866">
        <f t="shared" si="7"/>
        <v>3.2373676667378316E-2</v>
      </c>
      <c r="I60" s="866">
        <f t="shared" si="8"/>
        <v>4.3218858350950055E-4</v>
      </c>
      <c r="J60" s="447"/>
      <c r="L60" s="547"/>
      <c r="M60" s="519"/>
      <c r="N60" s="519"/>
    </row>
    <row r="61" spans="1:14" ht="17.399999999999999" x14ac:dyDescent="0.3">
      <c r="A61" s="558" t="s">
        <v>1103</v>
      </c>
      <c r="B61" s="558">
        <v>224.08</v>
      </c>
      <c r="C61" s="1041" t="s">
        <v>1418</v>
      </c>
      <c r="D61" s="859">
        <v>2021</v>
      </c>
      <c r="E61" s="865">
        <v>1.3350000000000001E-2</v>
      </c>
      <c r="F61" s="862">
        <v>800000</v>
      </c>
      <c r="G61" s="1241">
        <v>790638.46</v>
      </c>
      <c r="H61" s="866">
        <f t="shared" si="7"/>
        <v>2.1853849674856148E-2</v>
      </c>
      <c r="I61" s="866">
        <f t="shared" si="8"/>
        <v>2.9174889315932958E-4</v>
      </c>
      <c r="J61" s="447"/>
      <c r="L61" s="547"/>
      <c r="M61" s="519"/>
      <c r="N61" s="519"/>
    </row>
    <row r="62" spans="1:14" ht="17.399999999999999" x14ac:dyDescent="0.3">
      <c r="A62" s="558" t="s">
        <v>1103</v>
      </c>
      <c r="B62" s="558">
        <v>224.08</v>
      </c>
      <c r="C62" s="1041" t="s">
        <v>1417</v>
      </c>
      <c r="D62" s="859">
        <v>2022</v>
      </c>
      <c r="E62" s="865">
        <v>2.1649999999999999E-2</v>
      </c>
      <c r="F62" s="862">
        <v>800000</v>
      </c>
      <c r="G62" s="1242">
        <v>795495</v>
      </c>
      <c r="H62" s="866">
        <f t="shared" si="7"/>
        <v>2.1988088142208123E-2</v>
      </c>
      <c r="I62" s="866">
        <f t="shared" si="8"/>
        <v>4.7604210827880582E-4</v>
      </c>
      <c r="J62" s="447"/>
      <c r="L62" s="547"/>
      <c r="M62" s="519"/>
      <c r="N62" s="519"/>
    </row>
    <row r="63" spans="1:14" ht="17.399999999999999" x14ac:dyDescent="0.3">
      <c r="A63" s="558" t="s">
        <v>1103</v>
      </c>
      <c r="B63" s="558">
        <v>224.08</v>
      </c>
      <c r="C63" s="1041" t="s">
        <v>1416</v>
      </c>
      <c r="D63" s="859">
        <v>2022</v>
      </c>
      <c r="E63" s="865">
        <v>2.656E-2</v>
      </c>
      <c r="F63" s="862">
        <v>800000</v>
      </c>
      <c r="G63" s="1242">
        <v>796192.03</v>
      </c>
      <c r="H63" s="866">
        <f t="shared" si="7"/>
        <v>2.2007354582698341E-2</v>
      </c>
      <c r="I63" s="866">
        <f t="shared" si="8"/>
        <v>5.8451533771646793E-4</v>
      </c>
      <c r="J63" s="447"/>
      <c r="L63" s="547"/>
      <c r="M63" s="519"/>
      <c r="N63" s="519"/>
    </row>
    <row r="64" spans="1:14" ht="17.399999999999999" x14ac:dyDescent="0.3">
      <c r="A64" s="558"/>
      <c r="B64" s="558"/>
      <c r="C64" s="1043"/>
      <c r="D64" s="734"/>
      <c r="E64" s="1044"/>
      <c r="F64" s="1045"/>
      <c r="G64" s="1042"/>
      <c r="H64" s="866"/>
      <c r="I64" s="866"/>
      <c r="J64" s="447"/>
      <c r="L64" s="547"/>
      <c r="M64" s="519"/>
      <c r="N64" s="519"/>
    </row>
    <row r="65" spans="1:15" ht="17.399999999999999" x14ac:dyDescent="0.3">
      <c r="A65" s="557"/>
      <c r="B65" s="557"/>
      <c r="C65" s="392"/>
      <c r="D65" s="392"/>
      <c r="E65" s="633"/>
      <c r="F65" s="392"/>
      <c r="G65" s="557"/>
      <c r="H65" s="557"/>
      <c r="I65" s="557"/>
      <c r="J65" s="392"/>
      <c r="L65" s="547"/>
      <c r="M65" s="519"/>
    </row>
    <row r="66" spans="1:15" ht="17.399999999999999" x14ac:dyDescent="0.3">
      <c r="A66" s="557"/>
      <c r="B66" s="557"/>
      <c r="C66" s="392"/>
      <c r="D66" s="392"/>
      <c r="E66" s="870" t="s">
        <v>830</v>
      </c>
      <c r="F66" s="735"/>
      <c r="G66" s="871">
        <f>SUM(G9:G65)</f>
        <v>36178452.389999993</v>
      </c>
      <c r="H66" s="868">
        <f>SUM(H9:H65)</f>
        <v>1.0000000000000002</v>
      </c>
      <c r="I66" s="868">
        <f>SUM(I9:I65)</f>
        <v>3.3402519305555628E-2</v>
      </c>
      <c r="J66" s="559" t="s">
        <v>831</v>
      </c>
      <c r="K66" s="120"/>
      <c r="L66" s="120"/>
      <c r="N66" s="549"/>
    </row>
    <row r="67" spans="1:15" ht="17.399999999999999" x14ac:dyDescent="0.3">
      <c r="A67" s="392"/>
      <c r="B67" s="392"/>
      <c r="C67" s="392"/>
      <c r="D67" s="392"/>
      <c r="E67" s="633"/>
      <c r="F67" s="392"/>
      <c r="G67" s="392"/>
      <c r="H67" s="557"/>
      <c r="I67" s="557"/>
      <c r="J67" s="557"/>
      <c r="K67" s="120"/>
      <c r="L67" s="120"/>
    </row>
    <row r="68" spans="1:15" ht="17.399999999999999" x14ac:dyDescent="0.3">
      <c r="A68" s="392"/>
      <c r="B68" s="392"/>
      <c r="C68" s="392"/>
      <c r="D68" s="392"/>
      <c r="E68" s="633"/>
      <c r="F68" s="392"/>
      <c r="G68" s="392"/>
      <c r="H68" s="557"/>
      <c r="I68" s="557"/>
      <c r="J68" s="392"/>
    </row>
    <row r="69" spans="1:15" ht="17.399999999999999" x14ac:dyDescent="0.3">
      <c r="A69" s="392"/>
      <c r="B69" s="392"/>
      <c r="C69" s="392"/>
      <c r="D69" s="392"/>
      <c r="E69" s="633"/>
      <c r="F69" s="392"/>
      <c r="G69" s="392"/>
      <c r="H69" s="557"/>
      <c r="I69" s="557"/>
      <c r="J69" s="392"/>
    </row>
    <row r="70" spans="1:15" ht="17.399999999999999" x14ac:dyDescent="0.3">
      <c r="A70" s="559" t="s">
        <v>832</v>
      </c>
      <c r="B70" s="559"/>
      <c r="C70" s="392"/>
      <c r="D70" s="392"/>
      <c r="E70" s="633"/>
      <c r="F70" s="392"/>
      <c r="G70" s="392"/>
      <c r="H70" s="557"/>
      <c r="I70" s="557"/>
      <c r="J70" s="392"/>
    </row>
    <row r="71" spans="1:15" ht="17.399999999999999" x14ac:dyDescent="0.3">
      <c r="A71" s="557"/>
      <c r="B71" s="557"/>
      <c r="C71" s="557"/>
      <c r="D71" s="557"/>
      <c r="E71" s="872" t="s">
        <v>833</v>
      </c>
      <c r="F71" s="559"/>
      <c r="G71" s="874" t="s">
        <v>803</v>
      </c>
      <c r="H71" s="559"/>
      <c r="I71" s="557"/>
      <c r="J71" s="392"/>
    </row>
    <row r="72" spans="1:15" ht="17.399999999999999" x14ac:dyDescent="0.3">
      <c r="A72" s="392"/>
      <c r="B72" s="392"/>
      <c r="C72" s="557"/>
      <c r="D72" s="873" t="s">
        <v>1422</v>
      </c>
      <c r="E72" s="872" t="s">
        <v>834</v>
      </c>
      <c r="F72" s="874" t="s">
        <v>809</v>
      </c>
      <c r="G72" s="874" t="s">
        <v>809</v>
      </c>
      <c r="H72" s="559"/>
      <c r="I72" s="557"/>
      <c r="J72" s="392"/>
      <c r="L72" s="550"/>
      <c r="M72" s="446"/>
      <c r="N72" s="551"/>
      <c r="O72" s="486"/>
    </row>
    <row r="73" spans="1:15" ht="17.399999999999999" x14ac:dyDescent="0.3">
      <c r="A73" s="392"/>
      <c r="B73" s="392"/>
      <c r="C73" s="557" t="s">
        <v>808</v>
      </c>
      <c r="D73" s="875">
        <f>SUM(G9:G65)</f>
        <v>36178452.389999993</v>
      </c>
      <c r="E73" s="876">
        <f>+D73/D75</f>
        <v>0.58624571862807662</v>
      </c>
      <c r="F73" s="877">
        <f>+I66</f>
        <v>3.3402519305555628E-2</v>
      </c>
      <c r="G73" s="867">
        <f>+E73*F73</f>
        <v>1.9582083934273662E-2</v>
      </c>
      <c r="H73" s="557"/>
      <c r="I73" s="557"/>
      <c r="J73" s="392"/>
      <c r="L73" s="547"/>
      <c r="M73" s="553"/>
      <c r="N73" s="551"/>
      <c r="O73" s="485"/>
    </row>
    <row r="74" spans="1:15" ht="17.399999999999999" x14ac:dyDescent="0.3">
      <c r="A74" s="392"/>
      <c r="B74" s="392"/>
      <c r="C74" s="557" t="s">
        <v>835</v>
      </c>
      <c r="D74" s="878">
        <v>25533644.16</v>
      </c>
      <c r="E74" s="879">
        <f>+D74/D75</f>
        <v>0.41375428137192338</v>
      </c>
      <c r="F74" s="866">
        <f>+'S13 ROE'!F19</f>
        <v>4.4367149896450582E-2</v>
      </c>
      <c r="G74" s="880">
        <f>+E74*F74</f>
        <v>1.8357098221926316E-2</v>
      </c>
      <c r="H74" s="557"/>
      <c r="I74" s="557"/>
      <c r="J74" s="392"/>
      <c r="L74" s="550"/>
      <c r="M74" s="552"/>
      <c r="O74" s="486"/>
    </row>
    <row r="75" spans="1:15" ht="17.399999999999999" x14ac:dyDescent="0.3">
      <c r="A75" s="392"/>
      <c r="B75" s="392"/>
      <c r="C75" s="557"/>
      <c r="D75" s="875">
        <f>SUM(D73:D74)</f>
        <v>61712096.549999997</v>
      </c>
      <c r="E75" s="632">
        <f>SUM(E73:E74)</f>
        <v>1</v>
      </c>
      <c r="F75" s="558"/>
      <c r="G75" s="866">
        <f>SUM(G73:G74)</f>
        <v>3.7939182156199978E-2</v>
      </c>
      <c r="H75" s="557"/>
      <c r="I75" s="557"/>
      <c r="J75" s="392"/>
    </row>
    <row r="76" spans="1:15" x14ac:dyDescent="0.25">
      <c r="F76" s="203"/>
      <c r="G76" s="203"/>
    </row>
  </sheetData>
  <pageMargins left="0.7" right="0.7" top="0.75" bottom="0.75" header="0.3" footer="0.3"/>
  <pageSetup scale="38" orientation="portrait" r:id="rId1"/>
  <headerFooter>
    <oddHeader>&amp;RS9-A</oddHeader>
    <oddFooter>&amp;L&amp;Z&amp;F&amp;R&amp;T&amp;D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AB71"/>
  <sheetViews>
    <sheetView showGridLines="0" zoomScaleNormal="100" workbookViewId="0">
      <selection activeCell="D17" sqref="D17"/>
    </sheetView>
  </sheetViews>
  <sheetFormatPr defaultColWidth="8" defaultRowHeight="13.2" x14ac:dyDescent="0.25"/>
  <cols>
    <col min="1" max="1" width="6.6328125" style="38" customWidth="1"/>
    <col min="2" max="2" width="13.6328125" style="38" customWidth="1"/>
    <col min="3" max="3" width="12.453125" style="38" customWidth="1"/>
    <col min="4" max="4" width="14.08984375" style="38" bestFit="1" customWidth="1"/>
    <col min="5" max="5" width="10.6328125" style="38" customWidth="1"/>
    <col min="6" max="6" width="14" style="38" bestFit="1" customWidth="1"/>
    <col min="7" max="7" width="2.08984375" style="38" customWidth="1"/>
    <col min="8" max="8" width="40.54296875" style="38" customWidth="1"/>
    <col min="9" max="9" width="10.6328125" style="38" customWidth="1"/>
    <col min="10" max="10" width="9.54296875" style="38" customWidth="1"/>
    <col min="11" max="11" width="9.08984375" style="38" customWidth="1"/>
    <col min="12" max="12" width="10.90625" style="38" customWidth="1"/>
    <col min="13" max="13" width="9.81640625" style="38" customWidth="1"/>
    <col min="14" max="14" width="10.6328125" style="38" customWidth="1"/>
    <col min="15" max="15" width="9.36328125" style="38" customWidth="1"/>
    <col min="16" max="16" width="7.6328125" style="38" customWidth="1"/>
    <col min="17" max="16384" width="8" style="38"/>
  </cols>
  <sheetData>
    <row r="1" spans="1:28" ht="15" x14ac:dyDescent="0.25">
      <c r="A1" s="62" t="s">
        <v>747</v>
      </c>
      <c r="B1" s="33"/>
      <c r="C1" s="33"/>
      <c r="D1" s="33"/>
      <c r="E1"/>
      <c r="F1" s="33"/>
      <c r="G1" s="33"/>
      <c r="H1" s="33"/>
      <c r="I1" s="33"/>
      <c r="L1" s="54"/>
      <c r="M1" s="54"/>
      <c r="N1" s="54"/>
    </row>
    <row r="2" spans="1:28" ht="15" x14ac:dyDescent="0.25">
      <c r="A2" s="62" t="s">
        <v>99</v>
      </c>
      <c r="B2" s="33"/>
      <c r="C2" s="33"/>
      <c r="D2" s="33"/>
      <c r="E2"/>
      <c r="F2" s="33"/>
      <c r="G2" s="36"/>
      <c r="H2" s="36"/>
      <c r="I2" s="36"/>
      <c r="L2" s="54"/>
      <c r="M2" s="54"/>
      <c r="N2" s="54"/>
    </row>
    <row r="3" spans="1:28" ht="15" x14ac:dyDescent="0.25">
      <c r="A3" s="33" t="s">
        <v>618</v>
      </c>
      <c r="B3" s="33"/>
      <c r="C3" s="33"/>
      <c r="D3" s="33"/>
      <c r="E3"/>
      <c r="F3" s="33"/>
      <c r="G3" s="33"/>
      <c r="H3" s="36"/>
      <c r="I3" s="36"/>
      <c r="L3" s="54"/>
      <c r="M3" s="54"/>
      <c r="N3" s="54"/>
    </row>
    <row r="4" spans="1:28" x14ac:dyDescent="0.25">
      <c r="A4" s="62" t="s">
        <v>102</v>
      </c>
      <c r="B4" s="33"/>
      <c r="C4" s="33"/>
      <c r="D4" s="33"/>
      <c r="E4" s="33"/>
      <c r="F4" s="33"/>
      <c r="G4" s="33"/>
      <c r="H4" s="36"/>
      <c r="I4" s="36"/>
      <c r="L4" s="458"/>
      <c r="M4" s="459"/>
      <c r="N4" s="54"/>
    </row>
    <row r="5" spans="1:28" x14ac:dyDescent="0.25">
      <c r="A5" s="63"/>
      <c r="B5" s="1301"/>
      <c r="C5" s="1302"/>
      <c r="D5" s="60" t="s">
        <v>114</v>
      </c>
      <c r="E5" s="60" t="s">
        <v>342</v>
      </c>
      <c r="F5" s="60" t="str">
        <f>+'S1-Revenue Requirement'!E6</f>
        <v>11/1/22-10/31/23</v>
      </c>
      <c r="G5" s="64"/>
      <c r="H5" s="1301"/>
      <c r="I5" s="1303"/>
      <c r="L5" s="458"/>
      <c r="M5" s="459"/>
      <c r="N5" s="54"/>
    </row>
    <row r="6" spans="1:28" ht="15.6" x14ac:dyDescent="0.3">
      <c r="A6" s="59" t="s">
        <v>236</v>
      </c>
      <c r="B6" s="59" t="s">
        <v>201</v>
      </c>
      <c r="C6" s="33"/>
      <c r="D6" s="61" t="str">
        <f>+'S1-Revenue Requirement'!C6</f>
        <v>7/1/21 - 6/30/22</v>
      </c>
      <c r="E6" s="61" t="s">
        <v>343</v>
      </c>
      <c r="F6" s="61" t="s">
        <v>614</v>
      </c>
      <c r="G6" s="64"/>
      <c r="H6" s="78" t="s">
        <v>216</v>
      </c>
      <c r="I6" s="36"/>
      <c r="L6" s="458"/>
      <c r="M6" s="459"/>
      <c r="N6" s="54"/>
    </row>
    <row r="7" spans="1:28" x14ac:dyDescent="0.25">
      <c r="A7" s="33">
        <v>419.01</v>
      </c>
      <c r="B7" s="1301" t="s">
        <v>181</v>
      </c>
      <c r="C7" s="1302"/>
      <c r="D7" s="1256">
        <f>-'Trial Balance'!C235</f>
        <v>1114602.33</v>
      </c>
      <c r="E7" s="812">
        <f>+F7-D7</f>
        <v>27281.909999999916</v>
      </c>
      <c r="F7" s="812">
        <v>1141884.24</v>
      </c>
      <c r="G7" s="309"/>
      <c r="H7" s="1298" t="s">
        <v>1437</v>
      </c>
      <c r="I7" s="1300"/>
      <c r="N7" s="54"/>
    </row>
    <row r="8" spans="1:28" x14ac:dyDescent="0.25">
      <c r="A8" s="33"/>
      <c r="B8" s="1298"/>
      <c r="C8" s="1299"/>
      <c r="D8" s="812"/>
      <c r="E8" s="812"/>
      <c r="F8" s="812"/>
      <c r="G8" s="309"/>
      <c r="H8" s="1298"/>
      <c r="I8" s="1300"/>
      <c r="N8" s="54"/>
    </row>
    <row r="9" spans="1:28" x14ac:dyDescent="0.25">
      <c r="A9" s="33">
        <v>419.01</v>
      </c>
      <c r="B9" s="1298" t="s">
        <v>1314</v>
      </c>
      <c r="C9" s="1299"/>
      <c r="D9" s="812">
        <v>0</v>
      </c>
      <c r="E9" s="812">
        <f>+F9-D9</f>
        <v>0</v>
      </c>
      <c r="F9" s="812">
        <v>0</v>
      </c>
      <c r="G9" s="309"/>
      <c r="H9" s="804"/>
      <c r="I9" s="813"/>
      <c r="N9" s="54"/>
    </row>
    <row r="10" spans="1:28" ht="15" x14ac:dyDescent="0.25">
      <c r="A10" s="33">
        <v>419.03</v>
      </c>
      <c r="B10" s="33" t="s">
        <v>302</v>
      </c>
      <c r="C10" s="252"/>
      <c r="D10" s="1249">
        <f>-'Trial Balance'!C236</f>
        <v>26717.4</v>
      </c>
      <c r="E10" s="812">
        <f>+F10-D10</f>
        <v>0</v>
      </c>
      <c r="F10" s="1249">
        <f>+D10</f>
        <v>26717.4</v>
      </c>
      <c r="G10" s="33"/>
      <c r="H10" s="805"/>
      <c r="I10" s="805"/>
      <c r="N10" s="54"/>
      <c r="T10" s="66"/>
      <c r="U10" s="66"/>
      <c r="V10" s="66"/>
      <c r="W10" s="66"/>
      <c r="X10" s="66"/>
      <c r="Y10" s="66"/>
      <c r="Z10" s="66"/>
      <c r="AA10" s="66"/>
      <c r="AB10" s="67" t="e">
        <f>AVERAGE(P10:AA10)</f>
        <v>#DIV/0!</v>
      </c>
    </row>
    <row r="11" spans="1:28" hidden="1" x14ac:dyDescent="0.25">
      <c r="A11" s="205"/>
      <c r="B11" s="33" t="s">
        <v>302</v>
      </c>
      <c r="C11" s="68"/>
      <c r="D11" s="814">
        <v>0</v>
      </c>
      <c r="E11" s="814">
        <f>F11-D11</f>
        <v>0</v>
      </c>
      <c r="F11" s="814">
        <v>0</v>
      </c>
      <c r="G11" s="33"/>
      <c r="H11" s="805"/>
      <c r="I11" s="805"/>
      <c r="N11" s="54"/>
    </row>
    <row r="12" spans="1:28" ht="13.8" thickBot="1" x14ac:dyDescent="0.3">
      <c r="A12" s="205"/>
      <c r="B12" s="33" t="s">
        <v>202</v>
      </c>
      <c r="C12" s="68"/>
      <c r="D12" s="812">
        <f>SUM(D7:D11)</f>
        <v>1141319.73</v>
      </c>
      <c r="E12" s="1257">
        <f>SUM(E7:E11)</f>
        <v>27281.909999999916</v>
      </c>
      <c r="F12" s="812">
        <f>SUM(F7:F11)</f>
        <v>1168601.6399999999</v>
      </c>
      <c r="G12" s="33"/>
      <c r="H12" s="805"/>
      <c r="I12" s="805"/>
    </row>
    <row r="13" spans="1:28" ht="13.8" thickTop="1" x14ac:dyDescent="0.25">
      <c r="A13" s="205"/>
      <c r="B13" s="205"/>
      <c r="C13" s="252"/>
      <c r="D13" s="206"/>
      <c r="E13" s="206"/>
      <c r="F13" s="206"/>
      <c r="G13" s="205"/>
      <c r="H13" s="207"/>
      <c r="I13" s="207"/>
      <c r="N13" s="70"/>
      <c r="Q13" s="70"/>
      <c r="R13" s="70"/>
    </row>
    <row r="14" spans="1:28" ht="15" x14ac:dyDescent="0.25">
      <c r="A14" s="241"/>
      <c r="B14" s="241"/>
      <c r="C14" s="207"/>
      <c r="D14" s="60" t="s">
        <v>114</v>
      </c>
      <c r="E14" s="60" t="s">
        <v>342</v>
      </c>
      <c r="F14" s="60" t="str">
        <f>+F5</f>
        <v>11/1/22-10/31/23</v>
      </c>
      <c r="G14" s="205"/>
      <c r="H14" s="207"/>
      <c r="I14" s="207"/>
      <c r="N14" s="70"/>
      <c r="Q14" s="70"/>
      <c r="R14" s="70"/>
    </row>
    <row r="15" spans="1:28" x14ac:dyDescent="0.25">
      <c r="A15" s="59" t="s">
        <v>236</v>
      </c>
      <c r="B15" s="59" t="s">
        <v>233</v>
      </c>
      <c r="C15" s="33"/>
      <c r="D15" s="61" t="str">
        <f>+D6</f>
        <v>7/1/21 - 6/30/22</v>
      </c>
      <c r="E15" s="61" t="s">
        <v>343</v>
      </c>
      <c r="F15" s="61" t="str">
        <f>+F6</f>
        <v>ADJ Rate Year</v>
      </c>
      <c r="G15" s="205"/>
      <c r="H15" s="207"/>
      <c r="I15" s="207"/>
      <c r="L15" s="69"/>
      <c r="M15" s="70"/>
      <c r="N15" s="70"/>
      <c r="Q15" s="70"/>
      <c r="R15" s="70"/>
    </row>
    <row r="16" spans="1:28" x14ac:dyDescent="0.25">
      <c r="A16" s="64">
        <v>424.01</v>
      </c>
      <c r="B16" s="33" t="s">
        <v>303</v>
      </c>
      <c r="C16" s="205"/>
      <c r="D16" s="448"/>
      <c r="E16" s="228"/>
      <c r="F16" s="449"/>
      <c r="G16" s="228"/>
      <c r="H16" s="228"/>
      <c r="I16" s="228"/>
      <c r="L16" s="69"/>
      <c r="M16" s="70"/>
      <c r="N16" s="70"/>
      <c r="Q16" s="70"/>
      <c r="R16" s="70"/>
    </row>
    <row r="17" spans="1:18" x14ac:dyDescent="0.25">
      <c r="A17" s="228"/>
      <c r="B17" s="33" t="s">
        <v>182</v>
      </c>
      <c r="C17" s="33"/>
      <c r="D17" s="812">
        <v>39274.51</v>
      </c>
      <c r="E17" s="812">
        <f>+F17-D17</f>
        <v>0</v>
      </c>
      <c r="F17" s="812">
        <f>+D17</f>
        <v>39274.51</v>
      </c>
      <c r="G17" s="414"/>
      <c r="H17" s="758"/>
      <c r="I17" s="253"/>
      <c r="L17" s="69"/>
      <c r="M17" s="70"/>
      <c r="N17" s="70"/>
      <c r="Q17" s="70"/>
      <c r="R17" s="70"/>
    </row>
    <row r="18" spans="1:18" x14ac:dyDescent="0.25">
      <c r="A18" s="228"/>
      <c r="B18" s="33" t="s">
        <v>1182</v>
      </c>
      <c r="C18" s="33"/>
      <c r="D18" s="812">
        <v>1020</v>
      </c>
      <c r="E18" s="812">
        <f>+F18-D18</f>
        <v>0</v>
      </c>
      <c r="F18" s="812">
        <f>+D18</f>
        <v>1020</v>
      </c>
      <c r="G18" s="413"/>
      <c r="H18" s="758"/>
      <c r="I18" s="254"/>
      <c r="L18" s="69"/>
      <c r="M18" s="70"/>
      <c r="N18" s="70"/>
      <c r="Q18" s="70"/>
      <c r="R18" s="70"/>
    </row>
    <row r="19" spans="1:18" x14ac:dyDescent="0.25">
      <c r="A19" s="228"/>
      <c r="B19" s="33" t="s">
        <v>620</v>
      </c>
      <c r="C19" s="33"/>
      <c r="D19" s="812">
        <v>1597</v>
      </c>
      <c r="E19" s="812">
        <f>+F19-D19</f>
        <v>0</v>
      </c>
      <c r="F19" s="812">
        <f>+D19</f>
        <v>1597</v>
      </c>
      <c r="G19" s="413"/>
      <c r="H19" s="254"/>
      <c r="I19" s="254"/>
      <c r="L19" s="69"/>
      <c r="M19" s="70"/>
      <c r="N19" s="70"/>
      <c r="Q19" s="70"/>
      <c r="R19" s="70"/>
    </row>
    <row r="20" spans="1:18" x14ac:dyDescent="0.25">
      <c r="A20" s="228"/>
      <c r="B20" s="33" t="s">
        <v>183</v>
      </c>
      <c r="C20" s="205"/>
      <c r="D20" s="812">
        <v>9078.84</v>
      </c>
      <c r="E20" s="812">
        <f>+F20-D20</f>
        <v>0</v>
      </c>
      <c r="F20" s="812">
        <f>+D20</f>
        <v>9078.84</v>
      </c>
      <c r="G20" s="413"/>
      <c r="H20" s="758"/>
      <c r="I20" s="254"/>
      <c r="L20" s="69"/>
      <c r="M20" s="70"/>
      <c r="N20" s="70"/>
      <c r="Q20" s="70"/>
      <c r="R20" s="70"/>
    </row>
    <row r="21" spans="1:18" x14ac:dyDescent="0.25">
      <c r="A21" s="228"/>
      <c r="B21" s="33" t="s">
        <v>1213</v>
      </c>
      <c r="C21" s="205"/>
      <c r="D21" s="815">
        <v>2542.54</v>
      </c>
      <c r="E21" s="814">
        <f>F21-D21</f>
        <v>0</v>
      </c>
      <c r="F21" s="815">
        <f>+D21</f>
        <v>2542.54</v>
      </c>
      <c r="G21" s="413"/>
      <c r="H21" s="254"/>
      <c r="I21" s="254"/>
      <c r="L21" s="69"/>
      <c r="M21" s="70"/>
      <c r="N21" s="70"/>
      <c r="Q21" s="70"/>
      <c r="R21" s="70"/>
    </row>
    <row r="22" spans="1:18" x14ac:dyDescent="0.25">
      <c r="A22" s="228"/>
      <c r="B22" s="64" t="s">
        <v>203</v>
      </c>
      <c r="C22" s="36"/>
      <c r="D22" s="812">
        <f>SUM(D17:D21)</f>
        <v>53512.890000000007</v>
      </c>
      <c r="E22" s="816">
        <f>+F22-D22</f>
        <v>0</v>
      </c>
      <c r="F22" s="812">
        <f>SUM(F17:F21)</f>
        <v>53512.890000000007</v>
      </c>
      <c r="G22" s="64"/>
      <c r="H22" s="414" t="s">
        <v>712</v>
      </c>
      <c r="I22" s="228"/>
      <c r="L22" s="69"/>
      <c r="M22" s="70"/>
      <c r="N22" s="70"/>
      <c r="Q22" s="70"/>
      <c r="R22" s="70"/>
    </row>
    <row r="23" spans="1:18" x14ac:dyDescent="0.25">
      <c r="A23" s="228"/>
      <c r="B23" s="64"/>
      <c r="C23" s="36"/>
      <c r="D23" s="592"/>
      <c r="E23" s="682"/>
      <c r="F23" s="592"/>
      <c r="G23" s="228"/>
      <c r="H23" s="228"/>
      <c r="I23" s="228"/>
      <c r="L23" s="69"/>
      <c r="M23" s="70"/>
      <c r="N23" s="70"/>
      <c r="Q23" s="70"/>
      <c r="R23" s="70"/>
    </row>
    <row r="24" spans="1:18" x14ac:dyDescent="0.25">
      <c r="A24" s="103">
        <v>123.01</v>
      </c>
      <c r="B24" s="33" t="s">
        <v>304</v>
      </c>
      <c r="C24" s="205"/>
      <c r="D24" s="812">
        <v>25233.95</v>
      </c>
      <c r="E24" s="812">
        <f t="shared" ref="E24:E29" si="0">+F24-D24</f>
        <v>0</v>
      </c>
      <c r="F24" s="812">
        <f t="shared" ref="F24:F29" si="1">+D24</f>
        <v>25233.95</v>
      </c>
      <c r="G24" s="64"/>
      <c r="H24" s="414"/>
      <c r="I24" s="228"/>
      <c r="L24" s="69"/>
      <c r="M24" s="70"/>
      <c r="N24" s="70"/>
      <c r="Q24" s="70"/>
      <c r="R24" s="70"/>
    </row>
    <row r="25" spans="1:18" x14ac:dyDescent="0.25">
      <c r="A25" s="103">
        <v>123.02</v>
      </c>
      <c r="B25" s="33" t="s">
        <v>305</v>
      </c>
      <c r="C25" s="290"/>
      <c r="D25" s="812">
        <v>7333.92</v>
      </c>
      <c r="E25" s="812">
        <f t="shared" si="0"/>
        <v>0</v>
      </c>
      <c r="F25" s="812">
        <f t="shared" si="1"/>
        <v>7333.92</v>
      </c>
      <c r="G25" s="64"/>
      <c r="H25" s="64"/>
      <c r="I25" s="228"/>
      <c r="L25" s="69"/>
      <c r="M25" s="70"/>
      <c r="N25" s="70"/>
      <c r="Q25" s="70"/>
      <c r="R25" s="70"/>
    </row>
    <row r="26" spans="1:18" x14ac:dyDescent="0.25">
      <c r="A26" s="52">
        <v>123.03</v>
      </c>
      <c r="B26" s="33" t="s">
        <v>709</v>
      </c>
      <c r="C26" s="290"/>
      <c r="D26" s="812">
        <v>0</v>
      </c>
      <c r="E26" s="812">
        <f t="shared" si="0"/>
        <v>0</v>
      </c>
      <c r="F26" s="812">
        <f t="shared" si="1"/>
        <v>0</v>
      </c>
      <c r="G26" s="64"/>
      <c r="H26" s="64"/>
      <c r="I26" s="228"/>
      <c r="L26" s="69"/>
      <c r="M26" s="70"/>
      <c r="N26" s="70"/>
      <c r="Q26" s="70"/>
      <c r="R26" s="70"/>
    </row>
    <row r="27" spans="1:18" x14ac:dyDescent="0.25">
      <c r="A27" s="52">
        <v>123.04</v>
      </c>
      <c r="B27" s="33" t="s">
        <v>710</v>
      </c>
      <c r="C27" s="290"/>
      <c r="D27" s="812">
        <v>911.16</v>
      </c>
      <c r="E27" s="812">
        <f t="shared" si="0"/>
        <v>0</v>
      </c>
      <c r="F27" s="812">
        <f t="shared" si="1"/>
        <v>911.16</v>
      </c>
      <c r="G27" s="64"/>
      <c r="H27" s="64"/>
      <c r="I27" s="228"/>
      <c r="L27" s="69"/>
      <c r="M27" s="70"/>
      <c r="N27" s="70"/>
      <c r="Q27" s="70"/>
      <c r="R27" s="70"/>
    </row>
    <row r="28" spans="1:18" x14ac:dyDescent="0.25">
      <c r="A28" s="531">
        <v>123.05</v>
      </c>
      <c r="B28" s="33" t="s">
        <v>1183</v>
      </c>
      <c r="C28" s="290"/>
      <c r="D28" s="812">
        <v>204</v>
      </c>
      <c r="E28" s="812">
        <f t="shared" si="0"/>
        <v>0</v>
      </c>
      <c r="F28" s="812">
        <f t="shared" si="1"/>
        <v>204</v>
      </c>
      <c r="G28" s="64"/>
      <c r="H28" s="64"/>
      <c r="I28" s="228"/>
      <c r="L28" s="69"/>
      <c r="M28" s="70"/>
      <c r="N28" s="70"/>
      <c r="Q28" s="70"/>
      <c r="R28" s="70"/>
    </row>
    <row r="29" spans="1:18" x14ac:dyDescent="0.25">
      <c r="A29" s="52">
        <v>123.22</v>
      </c>
      <c r="B29" s="33" t="s">
        <v>714</v>
      </c>
      <c r="C29" s="290"/>
      <c r="D29" s="814">
        <v>2483.7800000000002</v>
      </c>
      <c r="E29" s="812">
        <f t="shared" si="0"/>
        <v>0</v>
      </c>
      <c r="F29" s="812">
        <f t="shared" si="1"/>
        <v>2483.7800000000002</v>
      </c>
      <c r="G29" s="64"/>
      <c r="H29" s="64"/>
      <c r="I29" s="228"/>
      <c r="L29" s="69"/>
      <c r="M29" s="70"/>
      <c r="N29" s="70"/>
      <c r="Q29" s="70"/>
      <c r="R29" s="70"/>
    </row>
    <row r="30" spans="1:18" ht="13.8" thickBot="1" x14ac:dyDescent="0.3">
      <c r="A30" s="205"/>
      <c r="B30" s="36" t="s">
        <v>711</v>
      </c>
      <c r="C30" s="36"/>
      <c r="D30" s="295">
        <f>SUM(D24:D29)</f>
        <v>36166.810000000005</v>
      </c>
      <c r="E30" s="817">
        <f>SUM(E24:E29)</f>
        <v>0</v>
      </c>
      <c r="F30" s="295">
        <f>SUM(F24:F29)</f>
        <v>36166.810000000005</v>
      </c>
      <c r="G30" s="33"/>
      <c r="H30" s="414" t="s">
        <v>713</v>
      </c>
      <c r="I30" s="207"/>
      <c r="L30" s="69"/>
      <c r="M30" s="70"/>
      <c r="N30" s="70"/>
      <c r="Q30" s="70"/>
      <c r="R30" s="70"/>
    </row>
    <row r="31" spans="1:18" ht="13.8" thickTop="1" x14ac:dyDescent="0.25">
      <c r="D31" s="384"/>
      <c r="E31" s="384"/>
      <c r="F31" s="384"/>
      <c r="G31" s="384"/>
      <c r="H31" s="384"/>
      <c r="I31" s="384"/>
    </row>
    <row r="32" spans="1:18" x14ac:dyDescent="0.25">
      <c r="D32" s="384"/>
      <c r="E32" s="384"/>
      <c r="F32" s="384"/>
      <c r="G32" s="384"/>
      <c r="H32" s="384"/>
      <c r="I32" s="384"/>
    </row>
    <row r="33" spans="4:9" x14ac:dyDescent="0.25">
      <c r="D33" s="384"/>
      <c r="E33" s="384"/>
      <c r="F33" s="384"/>
      <c r="G33" s="384"/>
      <c r="H33" s="384"/>
      <c r="I33" s="384"/>
    </row>
    <row r="34" spans="4:9" x14ac:dyDescent="0.25">
      <c r="D34" s="384"/>
      <c r="E34" s="384"/>
      <c r="F34" s="384"/>
      <c r="G34" s="384"/>
      <c r="H34" s="384"/>
      <c r="I34" s="384"/>
    </row>
    <row r="66" spans="8:13" x14ac:dyDescent="0.25">
      <c r="H66" s="71"/>
      <c r="M66" s="72"/>
    </row>
    <row r="67" spans="8:13" x14ac:dyDescent="0.25">
      <c r="H67" s="71"/>
      <c r="I67" s="36"/>
      <c r="J67" s="36"/>
      <c r="K67" s="73"/>
      <c r="L67" s="36"/>
    </row>
    <row r="68" spans="8:13" x14ac:dyDescent="0.25">
      <c r="H68" s="71"/>
      <c r="I68" s="36"/>
      <c r="J68" s="36"/>
      <c r="K68" s="73"/>
      <c r="L68" s="74"/>
    </row>
    <row r="69" spans="8:13" ht="13.8" thickBot="1" x14ac:dyDescent="0.3">
      <c r="H69" s="71"/>
      <c r="I69" s="36"/>
      <c r="J69" s="75"/>
      <c r="K69" s="73"/>
      <c r="L69" s="76"/>
    </row>
    <row r="71" spans="8:13" x14ac:dyDescent="0.25">
      <c r="J71" s="72"/>
      <c r="L71" s="66"/>
    </row>
  </sheetData>
  <mergeCells count="7">
    <mergeCell ref="B9:C9"/>
    <mergeCell ref="B8:C8"/>
    <mergeCell ref="H8:I8"/>
    <mergeCell ref="B5:C5"/>
    <mergeCell ref="B7:C7"/>
    <mergeCell ref="H5:I5"/>
    <mergeCell ref="H7:I7"/>
  </mergeCells>
  <phoneticPr fontId="12" type="noConversion"/>
  <pageMargins left="0.98" right="0.22" top="1.24" bottom="0.87" header="0.91" footer="0.5"/>
  <pageSetup scale="62" orientation="portrait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76"/>
  <sheetViews>
    <sheetView zoomScale="75" workbookViewId="0">
      <selection activeCell="D29" sqref="D29"/>
    </sheetView>
  </sheetViews>
  <sheetFormatPr defaultColWidth="8.90625" defaultRowHeight="15" x14ac:dyDescent="0.25"/>
  <cols>
    <col min="1" max="1" width="15.08984375" style="95" customWidth="1"/>
    <col min="2" max="2" width="51.36328125" style="95" customWidth="1"/>
    <col min="3" max="3" width="18" style="95" customWidth="1"/>
    <col min="4" max="4" width="16.90625" style="95" customWidth="1"/>
    <col min="5" max="5" width="17.08984375" style="95" customWidth="1"/>
    <col min="6" max="6" width="33" style="95" customWidth="1"/>
    <col min="7" max="7" width="7.90625" style="95" customWidth="1"/>
    <col min="8" max="8" width="8.90625" style="95"/>
    <col min="9" max="9" width="21.453125" style="95" customWidth="1"/>
    <col min="10" max="10" width="11.36328125" style="95" bestFit="1" customWidth="1"/>
    <col min="11" max="11" width="10.81640625" style="95" customWidth="1"/>
    <col min="12" max="12" width="10.08984375" style="95" customWidth="1"/>
    <col min="13" max="13" width="10.81640625" style="95" customWidth="1"/>
    <col min="14" max="16384" width="8.90625" style="95"/>
  </cols>
  <sheetData>
    <row r="1" spans="1:18" s="93" customFormat="1" ht="15.6" x14ac:dyDescent="0.3">
      <c r="A1" s="37" t="s">
        <v>1435</v>
      </c>
      <c r="G1" s="482"/>
      <c r="H1" s="203"/>
      <c r="I1" s="339"/>
      <c r="J1" s="394"/>
      <c r="K1" s="394"/>
      <c r="L1" s="203"/>
      <c r="M1" s="203"/>
      <c r="N1" s="341"/>
      <c r="O1" s="341"/>
      <c r="P1" s="341"/>
      <c r="Q1" s="341"/>
      <c r="R1" s="341"/>
    </row>
    <row r="2" spans="1:18" s="93" customFormat="1" x14ac:dyDescent="0.25">
      <c r="A2" s="93" t="s">
        <v>100</v>
      </c>
      <c r="G2" s="18"/>
      <c r="H2" s="18"/>
      <c r="I2" s="339"/>
      <c r="J2" s="324"/>
      <c r="K2" s="324"/>
      <c r="L2" s="203"/>
      <c r="M2" s="203"/>
      <c r="N2" s="341"/>
      <c r="O2" s="341"/>
      <c r="P2" s="341"/>
      <c r="Q2" s="341"/>
      <c r="R2" s="341"/>
    </row>
    <row r="3" spans="1:18" s="93" customFormat="1" x14ac:dyDescent="0.25">
      <c r="A3" s="120" t="s">
        <v>619</v>
      </c>
      <c r="G3" s="18"/>
      <c r="H3" s="18"/>
      <c r="I3" s="324"/>
      <c r="J3" s="339"/>
      <c r="K3" s="355"/>
      <c r="L3" s="203"/>
      <c r="M3" s="203"/>
      <c r="N3" s="341"/>
      <c r="O3" s="341"/>
      <c r="P3" s="341"/>
      <c r="Q3" s="341"/>
      <c r="R3" s="341"/>
    </row>
    <row r="4" spans="1:18" s="93" customFormat="1" x14ac:dyDescent="0.25">
      <c r="G4" s="18"/>
      <c r="H4" s="18"/>
      <c r="I4" s="324"/>
      <c r="J4" s="339"/>
      <c r="K4" s="355"/>
      <c r="L4" s="203"/>
      <c r="M4" s="203"/>
      <c r="N4" s="341"/>
      <c r="O4" s="341"/>
      <c r="P4" s="341"/>
      <c r="Q4" s="341"/>
      <c r="R4" s="341"/>
    </row>
    <row r="5" spans="1:18" s="93" customFormat="1" x14ac:dyDescent="0.25">
      <c r="G5" s="203"/>
      <c r="H5" s="203"/>
      <c r="I5" s="339"/>
      <c r="J5" s="339"/>
      <c r="K5" s="339"/>
      <c r="L5" s="203"/>
      <c r="M5" s="203"/>
      <c r="N5" s="341"/>
      <c r="O5" s="341"/>
      <c r="P5" s="341"/>
      <c r="Q5" s="341"/>
      <c r="R5" s="341"/>
    </row>
    <row r="6" spans="1:18" s="93" customFormat="1" ht="15.6" x14ac:dyDescent="0.3">
      <c r="C6" s="427" t="s">
        <v>114</v>
      </c>
      <c r="D6" s="94" t="s">
        <v>342</v>
      </c>
      <c r="E6" s="427" t="str">
        <f>+'S1-Revenue Requirement'!E6</f>
        <v>11/1/22-10/31/23</v>
      </c>
      <c r="G6" s="203"/>
      <c r="H6" s="203"/>
      <c r="I6" s="339"/>
      <c r="J6" s="339"/>
      <c r="K6" s="339"/>
      <c r="L6" s="203"/>
      <c r="M6" s="203"/>
      <c r="N6" s="341"/>
      <c r="O6" s="341"/>
      <c r="P6" s="341"/>
      <c r="Q6" s="341"/>
      <c r="R6" s="341"/>
    </row>
    <row r="7" spans="1:18" ht="15.6" x14ac:dyDescent="0.3">
      <c r="A7" s="92" t="s">
        <v>236</v>
      </c>
      <c r="B7" s="92" t="s">
        <v>129</v>
      </c>
      <c r="C7" s="78" t="str">
        <f>+'S1-Revenue Requirement'!C6</f>
        <v>7/1/21 - 6/30/22</v>
      </c>
      <c r="D7" s="92" t="s">
        <v>343</v>
      </c>
      <c r="E7" s="92" t="s">
        <v>614</v>
      </c>
      <c r="F7" s="92" t="s">
        <v>216</v>
      </c>
      <c r="G7" s="482"/>
      <c r="H7" s="203"/>
      <c r="I7" s="339"/>
      <c r="J7" s="394"/>
      <c r="K7" s="394"/>
      <c r="L7" s="203"/>
      <c r="M7" s="203"/>
      <c r="N7" s="341"/>
      <c r="O7" s="341"/>
      <c r="P7" s="341"/>
      <c r="Q7" s="341"/>
      <c r="R7" s="341"/>
    </row>
    <row r="8" spans="1:18" ht="15.6" x14ac:dyDescent="0.3">
      <c r="A8" s="92"/>
      <c r="B8" s="92"/>
      <c r="C8" s="121"/>
      <c r="D8" s="92"/>
      <c r="E8" s="92"/>
      <c r="F8" s="92"/>
      <c r="G8" s="18"/>
      <c r="H8" s="18"/>
      <c r="I8" s="339"/>
      <c r="J8" s="324"/>
      <c r="K8" s="324"/>
      <c r="L8" s="203"/>
      <c r="M8" s="203"/>
      <c r="N8" s="341"/>
      <c r="O8" s="341"/>
      <c r="P8" s="341"/>
      <c r="Q8" s="341"/>
      <c r="R8" s="341"/>
    </row>
    <row r="9" spans="1:18" ht="15.6" x14ac:dyDescent="0.3">
      <c r="A9" s="344" t="s">
        <v>689</v>
      </c>
      <c r="C9" s="241"/>
      <c r="D9" s="241"/>
      <c r="E9" s="241"/>
      <c r="F9" s="241"/>
      <c r="G9" s="18"/>
      <c r="H9" s="18"/>
      <c r="I9" s="324"/>
      <c r="J9" s="339"/>
      <c r="K9" s="355"/>
      <c r="L9" s="203"/>
      <c r="M9" s="203"/>
      <c r="N9" s="341"/>
      <c r="O9" s="341"/>
      <c r="P9" s="341"/>
      <c r="Q9" s="341"/>
      <c r="R9" s="341"/>
    </row>
    <row r="10" spans="1:18" hidden="1" x14ac:dyDescent="0.25">
      <c r="A10" s="109"/>
      <c r="C10" s="241"/>
      <c r="D10" s="241"/>
      <c r="E10" s="241"/>
      <c r="F10" s="241"/>
      <c r="G10" s="18"/>
      <c r="H10" s="18"/>
      <c r="I10" s="324"/>
      <c r="J10" s="339"/>
      <c r="K10" s="355"/>
      <c r="L10" s="203"/>
      <c r="M10" s="203"/>
      <c r="N10" s="341"/>
      <c r="O10" s="341"/>
      <c r="P10" s="341"/>
      <c r="Q10" s="341"/>
      <c r="R10" s="341"/>
    </row>
    <row r="11" spans="1:18" hidden="1" x14ac:dyDescent="0.25">
      <c r="A11" s="21" t="s">
        <v>190</v>
      </c>
      <c r="B11" s="21" t="s">
        <v>92</v>
      </c>
      <c r="C11" s="255">
        <v>0</v>
      </c>
      <c r="D11" s="255">
        <f>+E11-C11</f>
        <v>0</v>
      </c>
      <c r="E11" s="255">
        <v>0</v>
      </c>
      <c r="F11" s="256" t="s">
        <v>76</v>
      </c>
      <c r="G11" s="203"/>
      <c r="H11" s="203"/>
      <c r="I11" s="339"/>
      <c r="J11" s="339"/>
      <c r="K11" s="339"/>
      <c r="L11" s="203"/>
      <c r="M11" s="203"/>
      <c r="N11" s="341"/>
      <c r="O11" s="341"/>
      <c r="P11" s="341"/>
      <c r="Q11" s="341"/>
      <c r="R11" s="341"/>
    </row>
    <row r="12" spans="1:18" hidden="1" x14ac:dyDescent="0.25">
      <c r="A12" s="241"/>
      <c r="B12" s="241"/>
      <c r="C12" s="255"/>
      <c r="D12" s="255"/>
      <c r="E12" s="255"/>
      <c r="F12" s="241"/>
      <c r="G12" s="203"/>
      <c r="H12" s="203"/>
      <c r="I12" s="339"/>
      <c r="J12" s="339"/>
      <c r="K12" s="339"/>
      <c r="L12" s="203"/>
      <c r="M12" s="203"/>
      <c r="N12" s="341"/>
      <c r="O12" s="341"/>
      <c r="P12" s="341"/>
      <c r="Q12" s="341"/>
      <c r="R12" s="341"/>
    </row>
    <row r="13" spans="1:18" hidden="1" x14ac:dyDescent="0.25">
      <c r="A13" s="325">
        <v>451.01</v>
      </c>
      <c r="B13" s="120" t="s">
        <v>647</v>
      </c>
      <c r="C13" s="297">
        <v>0</v>
      </c>
      <c r="D13" s="297">
        <f>+E13-C13</f>
        <v>0</v>
      </c>
      <c r="E13" s="324">
        <v>0</v>
      </c>
      <c r="F13" s="257"/>
      <c r="G13" s="241"/>
    </row>
    <row r="14" spans="1:18" hidden="1" x14ac:dyDescent="0.25">
      <c r="A14" s="120"/>
      <c r="B14" s="120"/>
      <c r="C14" s="297"/>
      <c r="D14" s="297"/>
      <c r="E14" s="297"/>
      <c r="F14" s="241"/>
      <c r="G14" s="241"/>
    </row>
    <row r="15" spans="1:18" hidden="1" x14ac:dyDescent="0.25">
      <c r="A15" s="120" t="s">
        <v>648</v>
      </c>
      <c r="B15" s="120" t="s">
        <v>649</v>
      </c>
      <c r="C15" s="297">
        <v>0</v>
      </c>
      <c r="D15" s="297">
        <f>+E15-C15</f>
        <v>0</v>
      </c>
      <c r="E15" s="324">
        <v>0</v>
      </c>
      <c r="F15" s="393"/>
      <c r="G15" s="203"/>
      <c r="H15" s="341"/>
      <c r="I15" s="341"/>
    </row>
    <row r="16" spans="1:18" ht="15.6" x14ac:dyDescent="0.3">
      <c r="A16" s="120"/>
      <c r="B16" s="120"/>
      <c r="C16" s="297"/>
      <c r="D16" s="297"/>
      <c r="E16" s="324"/>
      <c r="F16" s="241"/>
      <c r="G16" s="482"/>
      <c r="H16" s="203"/>
      <c r="I16" s="339"/>
      <c r="J16" s="394"/>
      <c r="K16" s="394"/>
      <c r="L16" s="203"/>
      <c r="M16" s="203"/>
      <c r="N16" s="341"/>
      <c r="O16" s="341"/>
      <c r="P16" s="341"/>
      <c r="Q16" s="341"/>
      <c r="R16" s="341"/>
    </row>
    <row r="17" spans="1:18" x14ac:dyDescent="0.25">
      <c r="A17" s="470">
        <v>456.01</v>
      </c>
      <c r="B17" s="18" t="s">
        <v>1332</v>
      </c>
      <c r="C17" s="324">
        <f>-5214*12</f>
        <v>-62568</v>
      </c>
      <c r="D17" s="837">
        <f>+E17-C17</f>
        <v>8104.7999999999956</v>
      </c>
      <c r="E17" s="837">
        <f>-4538.6*12</f>
        <v>-54463.200000000004</v>
      </c>
      <c r="F17" s="18" t="s">
        <v>1507</v>
      </c>
      <c r="G17" s="18"/>
      <c r="H17" s="18"/>
      <c r="I17" s="339"/>
      <c r="J17" s="324"/>
      <c r="K17" s="324"/>
      <c r="L17" s="203"/>
      <c r="M17" s="203"/>
      <c r="N17" s="341"/>
      <c r="O17" s="341"/>
      <c r="P17" s="341"/>
      <c r="Q17" s="341"/>
      <c r="R17" s="341"/>
    </row>
    <row r="18" spans="1:18" x14ac:dyDescent="0.25">
      <c r="A18" s="1247"/>
      <c r="B18" s="241"/>
      <c r="C18" s="339"/>
      <c r="D18" s="394"/>
      <c r="E18" s="394"/>
      <c r="F18" s="203"/>
      <c r="G18" s="18"/>
      <c r="H18" s="18"/>
      <c r="I18" s="339"/>
      <c r="J18" s="324"/>
      <c r="K18" s="324"/>
      <c r="L18" s="203"/>
      <c r="M18" s="203"/>
      <c r="N18" s="341"/>
      <c r="O18" s="341"/>
      <c r="P18" s="341"/>
      <c r="Q18" s="341"/>
      <c r="R18" s="341"/>
    </row>
    <row r="19" spans="1:18" hidden="1" x14ac:dyDescent="0.25">
      <c r="A19" s="470"/>
      <c r="B19" s="18" t="s">
        <v>1335</v>
      </c>
      <c r="C19" s="339">
        <v>0</v>
      </c>
      <c r="D19" s="394">
        <f t="shared" ref="D19:D20" si="0">+E19-C19</f>
        <v>0</v>
      </c>
      <c r="E19" s="394">
        <v>0</v>
      </c>
      <c r="F19" s="203"/>
      <c r="G19" s="18"/>
      <c r="H19" s="18"/>
      <c r="I19" s="339"/>
      <c r="J19" s="324"/>
      <c r="K19" s="324"/>
      <c r="L19" s="203"/>
      <c r="M19" s="203"/>
      <c r="N19" s="341"/>
      <c r="O19" s="341"/>
      <c r="P19" s="341"/>
      <c r="Q19" s="341"/>
      <c r="R19" s="341"/>
    </row>
    <row r="20" spans="1:18" hidden="1" x14ac:dyDescent="0.25">
      <c r="A20" s="470"/>
      <c r="B20" s="18" t="s">
        <v>1333</v>
      </c>
      <c r="C20" s="736">
        <v>0</v>
      </c>
      <c r="D20" s="737">
        <f t="shared" si="0"/>
        <v>0</v>
      </c>
      <c r="E20" s="737">
        <v>0</v>
      </c>
      <c r="F20" s="203"/>
      <c r="G20" s="18"/>
      <c r="H20" s="18"/>
      <c r="I20" s="339"/>
      <c r="J20" s="324"/>
      <c r="K20" s="324"/>
      <c r="L20" s="203"/>
      <c r="M20" s="203"/>
      <c r="N20" s="341"/>
      <c r="O20" s="341"/>
      <c r="P20" s="341"/>
      <c r="Q20" s="341"/>
      <c r="R20" s="341"/>
    </row>
    <row r="21" spans="1:18" hidden="1" x14ac:dyDescent="0.25">
      <c r="A21" s="470"/>
      <c r="B21" s="18" t="s">
        <v>1334</v>
      </c>
      <c r="C21" s="738">
        <f>SUM(C19:C20)</f>
        <v>0</v>
      </c>
      <c r="D21" s="737">
        <f>+D19+D20</f>
        <v>0</v>
      </c>
      <c r="E21" s="709">
        <v>0</v>
      </c>
      <c r="F21" s="203" t="s">
        <v>1295</v>
      </c>
      <c r="G21" s="18"/>
      <c r="H21" s="18"/>
      <c r="I21" s="324"/>
      <c r="J21" s="339"/>
      <c r="K21" s="355"/>
      <c r="L21" s="203"/>
      <c r="M21" s="203"/>
      <c r="N21" s="341"/>
      <c r="O21" s="341"/>
      <c r="P21" s="341"/>
      <c r="Q21" s="341"/>
      <c r="R21" s="341"/>
    </row>
    <row r="22" spans="1:18" hidden="1" x14ac:dyDescent="0.25">
      <c r="A22" s="470"/>
      <c r="B22" s="18"/>
      <c r="C22" s="738"/>
      <c r="D22" s="737"/>
      <c r="E22" s="709"/>
      <c r="F22" s="203"/>
      <c r="G22" s="18"/>
      <c r="H22" s="18"/>
      <c r="I22" s="324"/>
      <c r="J22" s="339"/>
      <c r="K22" s="355"/>
      <c r="L22" s="203"/>
      <c r="M22" s="203"/>
      <c r="N22" s="341"/>
      <c r="O22" s="341"/>
      <c r="P22" s="341"/>
      <c r="Q22" s="341"/>
      <c r="R22" s="341"/>
    </row>
    <row r="23" spans="1:18" ht="15.6" hidden="1" thickBot="1" x14ac:dyDescent="0.3">
      <c r="A23" s="470"/>
      <c r="B23" s="18" t="s">
        <v>1336</v>
      </c>
      <c r="C23" s="339">
        <f>+C21+C17</f>
        <v>-62568</v>
      </c>
      <c r="D23" s="739">
        <f>+D21+D17</f>
        <v>8104.7999999999956</v>
      </c>
      <c r="E23" s="740">
        <f>SUM(E17:E21)</f>
        <v>-54463.200000000004</v>
      </c>
      <c r="F23" s="203"/>
      <c r="G23" s="18"/>
      <c r="H23" s="18"/>
      <c r="I23" s="324"/>
      <c r="J23" s="339"/>
      <c r="K23" s="355"/>
      <c r="L23" s="203"/>
      <c r="M23" s="203"/>
      <c r="N23" s="341"/>
      <c r="O23" s="341"/>
      <c r="P23" s="341"/>
      <c r="Q23" s="341"/>
      <c r="R23" s="341"/>
    </row>
    <row r="24" spans="1:18" ht="15.6" hidden="1" thickTop="1" x14ac:dyDescent="0.25">
      <c r="A24" s="470"/>
      <c r="B24" s="18"/>
      <c r="C24" s="339"/>
      <c r="D24" s="339"/>
      <c r="E24" s="740"/>
      <c r="F24" s="203"/>
      <c r="G24" s="18"/>
      <c r="H24" s="18"/>
      <c r="I24" s="324"/>
      <c r="J24" s="339"/>
      <c r="K24" s="355"/>
      <c r="L24" s="203"/>
      <c r="M24" s="203"/>
      <c r="N24" s="341"/>
      <c r="O24" s="341"/>
      <c r="P24" s="341"/>
      <c r="Q24" s="341"/>
      <c r="R24" s="341"/>
    </row>
    <row r="25" spans="1:18" x14ac:dyDescent="0.25">
      <c r="A25" s="470">
        <v>456.01</v>
      </c>
      <c r="B25" s="18" t="s">
        <v>1454</v>
      </c>
      <c r="C25" s="324">
        <v>-71360.759999999995</v>
      </c>
      <c r="D25" s="324">
        <f>+E25-C25</f>
        <v>-45309.240000000005</v>
      </c>
      <c r="E25" s="355">
        <v>-116670</v>
      </c>
      <c r="F25" s="18" t="s">
        <v>1472</v>
      </c>
      <c r="G25" s="203"/>
      <c r="H25" s="203"/>
      <c r="I25" s="339"/>
      <c r="J25" s="339"/>
      <c r="K25" s="339"/>
      <c r="L25" s="203"/>
      <c r="M25" s="203"/>
      <c r="N25" s="341"/>
      <c r="O25" s="341"/>
      <c r="P25" s="341"/>
      <c r="Q25" s="341"/>
      <c r="R25" s="341"/>
    </row>
    <row r="26" spans="1:18" x14ac:dyDescent="0.25">
      <c r="A26" s="325">
        <v>459.01</v>
      </c>
      <c r="B26" s="18" t="s">
        <v>650</v>
      </c>
      <c r="C26" s="324">
        <v>-2041470.06</v>
      </c>
      <c r="D26" s="324">
        <f>+E26-C26</f>
        <v>-28593.939999999944</v>
      </c>
      <c r="E26" s="1275">
        <v>-2070064</v>
      </c>
      <c r="F26" s="18" t="s">
        <v>1230</v>
      </c>
      <c r="G26" s="203"/>
      <c r="H26" s="203"/>
      <c r="I26" s="339"/>
      <c r="J26" s="339"/>
      <c r="K26" s="339"/>
      <c r="L26" s="203"/>
      <c r="M26" s="203"/>
      <c r="N26" s="341"/>
      <c r="O26" s="341"/>
      <c r="P26" s="341"/>
      <c r="Q26" s="341"/>
      <c r="R26" s="341"/>
    </row>
    <row r="27" spans="1:18" ht="15.6" hidden="1" x14ac:dyDescent="0.3">
      <c r="A27" s="325"/>
      <c r="B27" s="18" t="s">
        <v>1310</v>
      </c>
      <c r="C27" s="736">
        <v>0</v>
      </c>
      <c r="D27" s="998">
        <f>+E27-C27</f>
        <v>0</v>
      </c>
      <c r="E27" s="998">
        <v>0</v>
      </c>
      <c r="F27" s="203" t="s">
        <v>1312</v>
      </c>
      <c r="G27" s="482"/>
      <c r="H27" s="203"/>
      <c r="I27" s="339"/>
      <c r="J27" s="394"/>
      <c r="K27" s="394"/>
      <c r="L27" s="203"/>
      <c r="M27" s="203"/>
      <c r="N27" s="341"/>
      <c r="O27" s="341"/>
      <c r="P27" s="341"/>
      <c r="Q27" s="341"/>
      <c r="R27" s="341"/>
    </row>
    <row r="28" spans="1:18" hidden="1" x14ac:dyDescent="0.25">
      <c r="A28" s="325"/>
      <c r="B28" s="18" t="s">
        <v>1311</v>
      </c>
      <c r="C28" s="339">
        <f>SUM(C26:C27)</f>
        <v>-2041470.06</v>
      </c>
      <c r="D28" s="837">
        <f>SUM(D25:D27)</f>
        <v>-73903.179999999949</v>
      </c>
      <c r="E28" s="837">
        <f>SUM(E26:E27)</f>
        <v>-2070064</v>
      </c>
      <c r="F28" s="203"/>
      <c r="G28" s="18"/>
      <c r="H28" s="18"/>
      <c r="I28" s="339"/>
      <c r="J28" s="324"/>
      <c r="K28" s="324"/>
      <c r="L28" s="203"/>
      <c r="M28" s="203"/>
      <c r="N28" s="341"/>
      <c r="O28" s="341"/>
      <c r="P28" s="341"/>
      <c r="Q28" s="341"/>
      <c r="R28" s="341"/>
    </row>
    <row r="29" spans="1:18" x14ac:dyDescent="0.25">
      <c r="A29" s="325"/>
      <c r="B29" s="18"/>
      <c r="C29" s="339"/>
      <c r="D29" s="324"/>
      <c r="E29" s="324"/>
      <c r="F29" s="203"/>
      <c r="G29" s="18"/>
      <c r="H29" s="18"/>
      <c r="I29" s="324"/>
      <c r="J29" s="339"/>
      <c r="K29" s="355"/>
      <c r="L29" s="203"/>
      <c r="M29" s="203"/>
      <c r="N29" s="341"/>
      <c r="O29" s="341"/>
      <c r="P29" s="341"/>
      <c r="Q29" s="341"/>
      <c r="R29" s="341"/>
    </row>
    <row r="30" spans="1:18" x14ac:dyDescent="0.25">
      <c r="A30" s="241"/>
      <c r="B30" s="18"/>
      <c r="C30" s="339"/>
      <c r="D30" s="324"/>
      <c r="E30" s="355"/>
      <c r="F30" s="203"/>
      <c r="G30" s="18"/>
      <c r="H30" s="18"/>
      <c r="I30" s="324"/>
      <c r="J30" s="339"/>
      <c r="K30" s="355"/>
      <c r="L30" s="203"/>
      <c r="M30" s="203"/>
      <c r="N30" s="341"/>
      <c r="O30" s="341"/>
      <c r="P30" s="341"/>
      <c r="Q30" s="341"/>
      <c r="R30" s="341"/>
    </row>
    <row r="31" spans="1:18" ht="16.2" thickBot="1" x14ac:dyDescent="0.35">
      <c r="A31" s="344" t="s">
        <v>691</v>
      </c>
      <c r="B31" s="18"/>
      <c r="C31" s="324">
        <f>+C17+C25+C26</f>
        <v>-2175398.8200000003</v>
      </c>
      <c r="D31" s="1097">
        <f>D17+D25+D26</f>
        <v>-65798.379999999946</v>
      </c>
      <c r="E31" s="324">
        <f>E17+E25+E26</f>
        <v>-2241197.2000000002</v>
      </c>
      <c r="F31" s="203"/>
      <c r="G31" s="203"/>
      <c r="H31" s="203"/>
      <c r="I31" s="339"/>
      <c r="J31" s="339"/>
      <c r="K31" s="339"/>
      <c r="L31" s="203"/>
      <c r="M31" s="203"/>
      <c r="N31" s="341"/>
      <c r="O31" s="341"/>
      <c r="P31" s="341"/>
      <c r="Q31" s="341"/>
      <c r="R31" s="341"/>
    </row>
    <row r="32" spans="1:18" ht="15.6" thickTop="1" x14ac:dyDescent="0.25">
      <c r="A32" s="241"/>
      <c r="B32" s="203"/>
      <c r="C32" s="339"/>
      <c r="D32" s="339"/>
      <c r="E32" s="339"/>
      <c r="F32" s="203"/>
      <c r="G32" s="203"/>
      <c r="H32" s="203"/>
      <c r="I32" s="339"/>
      <c r="J32" s="339"/>
      <c r="K32" s="339"/>
      <c r="L32" s="203"/>
      <c r="M32" s="203"/>
      <c r="N32" s="341"/>
      <c r="O32" s="341"/>
      <c r="P32" s="341"/>
      <c r="Q32" s="341"/>
      <c r="R32" s="341"/>
    </row>
    <row r="33" spans="1:18" ht="15.6" x14ac:dyDescent="0.3">
      <c r="A33" s="241"/>
      <c r="B33" s="203"/>
      <c r="C33" s="339"/>
      <c r="D33" s="339"/>
      <c r="E33" s="339"/>
      <c r="F33" s="203"/>
      <c r="G33" s="482"/>
      <c r="H33" s="203"/>
      <c r="I33" s="339"/>
      <c r="J33" s="394"/>
      <c r="K33" s="394"/>
      <c r="L33" s="203"/>
      <c r="M33" s="203"/>
      <c r="N33" s="341"/>
      <c r="O33" s="341"/>
      <c r="P33" s="341"/>
      <c r="Q33" s="341"/>
      <c r="R33" s="341"/>
    </row>
    <row r="34" spans="1:18" ht="15.6" x14ac:dyDescent="0.3">
      <c r="A34" s="344" t="s">
        <v>1118</v>
      </c>
      <c r="B34" s="203"/>
      <c r="C34" s="339"/>
      <c r="D34" s="394"/>
      <c r="E34" s="394"/>
      <c r="F34" s="203"/>
      <c r="G34" s="18"/>
      <c r="H34" s="18"/>
      <c r="I34" s="339"/>
      <c r="J34" s="324"/>
      <c r="K34" s="324"/>
      <c r="L34" s="203"/>
      <c r="M34" s="203"/>
      <c r="N34" s="341"/>
      <c r="O34" s="341"/>
      <c r="P34" s="341"/>
      <c r="Q34" s="341"/>
      <c r="R34" s="341"/>
    </row>
    <row r="35" spans="1:18" ht="15.6" x14ac:dyDescent="0.3">
      <c r="A35" s="344"/>
      <c r="B35" s="203"/>
      <c r="C35" s="339"/>
      <c r="D35" s="394"/>
      <c r="E35" s="394"/>
      <c r="F35" s="203"/>
      <c r="G35" s="18"/>
      <c r="H35" s="18"/>
      <c r="I35" s="339"/>
      <c r="J35" s="324"/>
      <c r="K35" s="324"/>
      <c r="L35" s="203"/>
      <c r="M35" s="203"/>
      <c r="N35" s="341"/>
      <c r="O35" s="341"/>
      <c r="P35" s="341"/>
      <c r="Q35" s="341"/>
      <c r="R35" s="341"/>
    </row>
    <row r="36" spans="1:18" x14ac:dyDescent="0.25">
      <c r="A36" s="302">
        <v>421.1</v>
      </c>
      <c r="B36" s="18" t="s">
        <v>1287</v>
      </c>
      <c r="C36" s="324">
        <f>+'Trial Balance'!C255</f>
        <v>0</v>
      </c>
      <c r="D36" s="324">
        <v>0</v>
      </c>
      <c r="E36" s="324"/>
      <c r="F36" s="18" t="s">
        <v>1288</v>
      </c>
      <c r="G36" s="18"/>
      <c r="H36" s="18"/>
      <c r="I36" s="324"/>
      <c r="J36" s="339"/>
      <c r="K36" s="355"/>
      <c r="L36" s="203"/>
      <c r="M36" s="203"/>
      <c r="N36" s="341"/>
      <c r="O36" s="341"/>
      <c r="P36" s="341"/>
      <c r="Q36" s="341"/>
      <c r="R36" s="341"/>
    </row>
    <row r="37" spans="1:18" x14ac:dyDescent="0.25">
      <c r="A37" s="302">
        <v>421.2</v>
      </c>
      <c r="B37" s="18" t="s">
        <v>1352</v>
      </c>
      <c r="C37" s="324">
        <f>+'Trial Balance'!C256</f>
        <v>39552</v>
      </c>
      <c r="D37" s="324">
        <v>-39552</v>
      </c>
      <c r="E37" s="355">
        <f>SUM(C37:D37)</f>
        <v>0</v>
      </c>
      <c r="F37" s="18" t="s">
        <v>1288</v>
      </c>
      <c r="G37" s="18"/>
      <c r="H37" s="18"/>
      <c r="I37" s="324"/>
      <c r="J37" s="339"/>
      <c r="K37" s="355"/>
      <c r="L37" s="203"/>
      <c r="M37" s="203"/>
      <c r="N37" s="341"/>
      <c r="O37" s="341"/>
      <c r="P37" s="341"/>
      <c r="Q37" s="341"/>
      <c r="R37" s="341"/>
    </row>
    <row r="38" spans="1:18" x14ac:dyDescent="0.25">
      <c r="A38" s="302"/>
      <c r="B38" s="18"/>
      <c r="C38" s="324">
        <f>SUM(C36:C37)</f>
        <v>39552</v>
      </c>
      <c r="D38" s="324">
        <f>SUM(D36:D37)</f>
        <v>-39552</v>
      </c>
      <c r="E38" s="355">
        <f>+E36+E37</f>
        <v>0</v>
      </c>
      <c r="F38" s="18"/>
      <c r="G38" s="203"/>
      <c r="H38" s="203"/>
      <c r="I38" s="339"/>
      <c r="J38" s="339"/>
      <c r="K38" s="339"/>
      <c r="L38" s="203"/>
      <c r="M38" s="203"/>
      <c r="N38" s="341"/>
      <c r="O38" s="341"/>
      <c r="P38" s="341"/>
      <c r="Q38" s="341"/>
      <c r="R38" s="341"/>
    </row>
    <row r="39" spans="1:18" x14ac:dyDescent="0.25">
      <c r="A39" s="302"/>
      <c r="B39" s="203"/>
      <c r="C39" s="339"/>
      <c r="D39" s="339"/>
      <c r="E39" s="339"/>
      <c r="F39" s="203"/>
      <c r="G39" s="203"/>
      <c r="H39" s="203"/>
      <c r="I39" s="339"/>
      <c r="J39" s="339"/>
      <c r="K39" s="339"/>
      <c r="L39" s="203"/>
      <c r="M39" s="203"/>
      <c r="N39" s="341"/>
      <c r="O39" s="341"/>
      <c r="P39" s="341"/>
      <c r="Q39" s="341"/>
      <c r="R39" s="341"/>
    </row>
    <row r="40" spans="1:18" ht="15.6" x14ac:dyDescent="0.3">
      <c r="A40" s="356" t="s">
        <v>707</v>
      </c>
      <c r="B40" s="203"/>
      <c r="C40" s="339"/>
      <c r="D40" s="339"/>
      <c r="E40" s="339"/>
      <c r="F40" s="203"/>
      <c r="G40" s="482"/>
      <c r="H40" s="203"/>
      <c r="I40" s="339"/>
      <c r="J40" s="394"/>
      <c r="K40" s="394"/>
      <c r="L40" s="203"/>
      <c r="M40" s="203"/>
      <c r="N40" s="341"/>
      <c r="O40" s="341"/>
      <c r="P40" s="341"/>
      <c r="Q40" s="341"/>
      <c r="R40" s="341"/>
    </row>
    <row r="41" spans="1:18" x14ac:dyDescent="0.25">
      <c r="A41" s="357"/>
      <c r="B41" s="203"/>
      <c r="C41" s="339"/>
      <c r="D41" s="394"/>
      <c r="E41" s="394"/>
      <c r="F41" s="203"/>
      <c r="G41" s="18"/>
      <c r="H41" s="18"/>
      <c r="I41" s="339"/>
      <c r="J41" s="324"/>
      <c r="K41" s="324"/>
      <c r="L41" s="203"/>
      <c r="M41" s="203"/>
      <c r="N41" s="341"/>
      <c r="O41" s="341"/>
      <c r="P41" s="341"/>
      <c r="Q41" s="341"/>
      <c r="R41" s="341"/>
    </row>
    <row r="42" spans="1:18" x14ac:dyDescent="0.25">
      <c r="A42" s="21" t="s">
        <v>190</v>
      </c>
      <c r="B42" s="21" t="s">
        <v>92</v>
      </c>
      <c r="C42" s="324">
        <f>+'S6A - Payroll by Function'!C15</f>
        <v>277.28778362622006</v>
      </c>
      <c r="D42" s="324">
        <f>+E42-C42</f>
        <v>9.4575828899562566</v>
      </c>
      <c r="E42" s="324">
        <f>+'S6A - Payroll by Function'!E15</f>
        <v>286.74536651617632</v>
      </c>
      <c r="F42" s="87" t="s">
        <v>76</v>
      </c>
      <c r="G42" s="18"/>
      <c r="H42" s="18"/>
      <c r="I42" s="324"/>
      <c r="J42" s="339"/>
      <c r="K42" s="355"/>
      <c r="L42" s="203"/>
      <c r="M42" s="203"/>
      <c r="N42" s="341"/>
      <c r="O42" s="341"/>
      <c r="P42" s="341"/>
      <c r="Q42" s="341"/>
      <c r="R42" s="341"/>
    </row>
    <row r="43" spans="1:18" x14ac:dyDescent="0.25">
      <c r="A43" s="98"/>
      <c r="B43" s="265"/>
      <c r="C43" s="339"/>
      <c r="D43" s="339"/>
      <c r="E43" s="339"/>
      <c r="F43" s="393"/>
      <c r="G43" s="18"/>
      <c r="H43" s="18"/>
      <c r="I43" s="324"/>
      <c r="J43" s="339"/>
      <c r="K43" s="355"/>
      <c r="L43" s="203"/>
      <c r="M43" s="203"/>
      <c r="N43" s="341"/>
      <c r="O43" s="341"/>
      <c r="P43" s="341"/>
      <c r="Q43" s="341"/>
      <c r="R43" s="341"/>
    </row>
    <row r="44" spans="1:18" x14ac:dyDescent="0.25">
      <c r="A44" s="357"/>
      <c r="B44" s="18"/>
      <c r="C44" s="339"/>
      <c r="D44" s="393"/>
      <c r="E44" s="203"/>
      <c r="F44" s="393"/>
      <c r="G44" s="203"/>
      <c r="H44" s="203"/>
      <c r="I44" s="339"/>
      <c r="J44" s="339"/>
      <c r="K44" s="339"/>
      <c r="L44" s="203"/>
      <c r="M44" s="203"/>
      <c r="N44" s="341"/>
      <c r="O44" s="341"/>
      <c r="P44" s="341"/>
      <c r="Q44" s="341"/>
      <c r="R44" s="341"/>
    </row>
    <row r="45" spans="1:18" x14ac:dyDescent="0.25">
      <c r="A45" s="357"/>
      <c r="B45" s="18"/>
      <c r="C45" s="339"/>
      <c r="D45" s="393"/>
      <c r="E45" s="203"/>
      <c r="F45" s="393"/>
      <c r="G45" s="203"/>
      <c r="H45" s="203"/>
      <c r="I45" s="339"/>
      <c r="J45" s="339"/>
      <c r="K45" s="339"/>
      <c r="L45" s="203"/>
      <c r="M45" s="203"/>
      <c r="N45" s="341"/>
      <c r="O45" s="341"/>
      <c r="P45" s="341"/>
      <c r="Q45" s="341"/>
      <c r="R45" s="341"/>
    </row>
    <row r="46" spans="1:18" ht="15.6" x14ac:dyDescent="0.3">
      <c r="A46" s="356" t="s">
        <v>708</v>
      </c>
      <c r="B46" s="358"/>
      <c r="C46" s="960">
        <f>SUM(C42:C43)</f>
        <v>277.28778362622006</v>
      </c>
      <c r="D46" s="960">
        <f>SUM(D42:D43)</f>
        <v>9.4575828899562566</v>
      </c>
      <c r="E46" s="960">
        <f>SUM(E42:E43)</f>
        <v>286.74536651617632</v>
      </c>
      <c r="F46" s="87"/>
      <c r="G46" s="482"/>
      <c r="H46" s="203"/>
      <c r="I46" s="339"/>
      <c r="J46" s="394"/>
      <c r="K46" s="394"/>
      <c r="L46" s="203"/>
      <c r="M46" s="203"/>
      <c r="N46" s="341"/>
      <c r="O46" s="341"/>
      <c r="P46" s="341"/>
      <c r="Q46" s="341"/>
      <c r="R46" s="341"/>
    </row>
    <row r="47" spans="1:18" x14ac:dyDescent="0.25">
      <c r="A47" s="357"/>
      <c r="B47" s="18"/>
      <c r="C47" s="339"/>
      <c r="D47" s="393"/>
      <c r="E47" s="203"/>
      <c r="F47" s="393"/>
      <c r="G47" s="18"/>
      <c r="H47" s="18"/>
      <c r="I47" s="339"/>
      <c r="J47" s="324"/>
      <c r="K47" s="324"/>
      <c r="L47" s="203"/>
      <c r="M47" s="203"/>
      <c r="N47" s="341"/>
      <c r="O47" s="341"/>
      <c r="P47" s="341"/>
      <c r="Q47" s="341"/>
      <c r="R47" s="341"/>
    </row>
    <row r="48" spans="1:18" x14ac:dyDescent="0.25">
      <c r="A48" s="33" t="s">
        <v>190</v>
      </c>
      <c r="B48" s="33" t="s">
        <v>92</v>
      </c>
      <c r="C48" s="22">
        <f>+'S6A - Payroll by Function'!C14</f>
        <v>0</v>
      </c>
      <c r="D48" s="324">
        <f>+E48-C48</f>
        <v>0</v>
      </c>
      <c r="E48" s="18">
        <v>0</v>
      </c>
      <c r="F48" s="87" t="s">
        <v>1258</v>
      </c>
      <c r="G48" s="18"/>
      <c r="H48" s="18"/>
      <c r="I48" s="324"/>
      <c r="J48" s="339"/>
      <c r="K48" s="355"/>
      <c r="L48" s="203"/>
      <c r="M48" s="203"/>
      <c r="N48" s="341"/>
      <c r="O48" s="341"/>
      <c r="P48" s="341"/>
      <c r="Q48" s="341"/>
      <c r="R48" s="341"/>
    </row>
    <row r="49" spans="1:18" x14ac:dyDescent="0.25">
      <c r="A49" s="241"/>
      <c r="B49" s="241"/>
      <c r="C49" s="297"/>
      <c r="D49" s="297"/>
      <c r="E49" s="297"/>
      <c r="F49" s="120"/>
      <c r="G49" s="18"/>
      <c r="H49" s="18"/>
      <c r="I49" s="324"/>
      <c r="J49" s="339"/>
      <c r="K49" s="355"/>
      <c r="L49" s="203"/>
      <c r="M49" s="203"/>
      <c r="N49" s="341"/>
      <c r="O49" s="341"/>
      <c r="P49" s="341"/>
      <c r="Q49" s="341"/>
      <c r="R49" s="341"/>
    </row>
    <row r="50" spans="1:18" s="341" customFormat="1" ht="15.6" x14ac:dyDescent="0.3">
      <c r="A50" s="340" t="s">
        <v>1116</v>
      </c>
      <c r="B50" s="203"/>
      <c r="C50" s="324"/>
      <c r="D50" s="324"/>
      <c r="E50" s="324"/>
      <c r="F50" s="18"/>
      <c r="G50" s="203"/>
      <c r="H50" s="203"/>
      <c r="I50" s="339"/>
      <c r="J50" s="339"/>
      <c r="K50" s="339"/>
      <c r="L50" s="203"/>
      <c r="M50" s="203"/>
    </row>
    <row r="51" spans="1:18" s="341" customFormat="1" x14ac:dyDescent="0.25">
      <c r="A51" s="18">
        <v>426.1</v>
      </c>
      <c r="B51" s="18" t="s">
        <v>1187</v>
      </c>
      <c r="C51" s="837">
        <f>+'Trial Balance'!C223</f>
        <v>501.09</v>
      </c>
      <c r="D51" s="297">
        <f>+E51-C51</f>
        <v>-501.09</v>
      </c>
      <c r="E51" s="324">
        <v>0</v>
      </c>
      <c r="F51" s="18" t="s">
        <v>1117</v>
      </c>
      <c r="G51" s="203"/>
      <c r="H51" s="203"/>
      <c r="I51" s="339"/>
      <c r="J51" s="339"/>
      <c r="K51" s="339"/>
      <c r="L51" s="203"/>
      <c r="M51" s="203"/>
    </row>
    <row r="52" spans="1:18" s="341" customFormat="1" x14ac:dyDescent="0.25">
      <c r="A52" s="18">
        <v>426.4</v>
      </c>
      <c r="B52" s="18" t="s">
        <v>1217</v>
      </c>
      <c r="C52" s="837">
        <f>+'Trial Balance'!C224</f>
        <v>1778.12</v>
      </c>
      <c r="D52" s="297">
        <f>+E52-C52</f>
        <v>-1778.12</v>
      </c>
      <c r="E52" s="324">
        <v>0</v>
      </c>
      <c r="F52" s="18" t="s">
        <v>1117</v>
      </c>
      <c r="G52" s="203"/>
    </row>
    <row r="53" spans="1:18" s="341" customFormat="1" x14ac:dyDescent="0.25">
      <c r="A53" s="18">
        <v>428.03</v>
      </c>
      <c r="B53" s="18" t="s">
        <v>1289</v>
      </c>
      <c r="C53" s="837">
        <f>+'Trial Balance'!C226</f>
        <v>7844.64</v>
      </c>
      <c r="D53" s="297">
        <f>+E53-C53</f>
        <v>-7844.64</v>
      </c>
      <c r="E53" s="1084">
        <f>+'S8A - Amortization'!M15</f>
        <v>0</v>
      </c>
      <c r="F53" s="18" t="s">
        <v>1290</v>
      </c>
      <c r="G53" s="203"/>
    </row>
    <row r="54" spans="1:18" s="341" customFormat="1" x14ac:dyDescent="0.25">
      <c r="A54" s="18"/>
      <c r="B54" s="18"/>
      <c r="C54" s="394"/>
      <c r="D54" s="339"/>
      <c r="E54" s="339"/>
      <c r="F54" s="203"/>
      <c r="G54" s="203"/>
    </row>
    <row r="55" spans="1:18" s="341" customFormat="1" ht="15.6" thickBot="1" x14ac:dyDescent="0.3">
      <c r="A55" s="18"/>
      <c r="B55" s="18"/>
      <c r="C55" s="355">
        <f>SUM(C48:C54)</f>
        <v>10123.85</v>
      </c>
      <c r="D55" s="1098">
        <f>SUM(D48:D54)</f>
        <v>-10123.85</v>
      </c>
      <c r="E55" s="355">
        <f>SUM(E48:E54)</f>
        <v>0</v>
      </c>
      <c r="F55" s="203"/>
      <c r="G55" s="203"/>
    </row>
    <row r="56" spans="1:18" s="341" customFormat="1" ht="15.6" thickTop="1" x14ac:dyDescent="0.25">
      <c r="A56" s="18"/>
      <c r="B56" s="203"/>
      <c r="C56" s="394"/>
      <c r="D56" s="394"/>
      <c r="E56" s="394"/>
      <c r="F56" s="203"/>
      <c r="G56" s="203"/>
    </row>
    <row r="57" spans="1:18" s="341" customFormat="1" ht="15.6" x14ac:dyDescent="0.3">
      <c r="A57" s="482"/>
      <c r="B57" s="203"/>
      <c r="C57" s="339"/>
      <c r="D57" s="394"/>
      <c r="E57" s="394"/>
      <c r="F57" s="203"/>
      <c r="G57" s="203"/>
    </row>
    <row r="58" spans="1:18" s="341" customFormat="1" x14ac:dyDescent="0.25">
      <c r="A58" s="18"/>
      <c r="B58" s="18"/>
      <c r="C58" s="339"/>
      <c r="D58" s="339"/>
      <c r="E58" s="339"/>
      <c r="F58" s="203"/>
      <c r="G58" s="203"/>
    </row>
    <row r="59" spans="1:18" s="341" customFormat="1" x14ac:dyDescent="0.25">
      <c r="A59" s="18"/>
      <c r="B59" s="18"/>
      <c r="C59" s="339"/>
      <c r="D59" s="339"/>
      <c r="E59" s="740"/>
      <c r="F59" s="203"/>
      <c r="G59" s="203"/>
    </row>
    <row r="60" spans="1:18" s="341" customFormat="1" x14ac:dyDescent="0.25">
      <c r="A60" s="18"/>
      <c r="B60" s="18"/>
      <c r="C60" s="339"/>
      <c r="D60" s="339"/>
      <c r="E60" s="740"/>
      <c r="F60" s="203"/>
      <c r="G60" s="203"/>
    </row>
    <row r="61" spans="1:18" s="341" customFormat="1" x14ac:dyDescent="0.25">
      <c r="A61" s="203"/>
      <c r="B61" s="203"/>
      <c r="C61" s="339"/>
      <c r="D61" s="339"/>
      <c r="E61" s="339"/>
      <c r="F61" s="203"/>
      <c r="G61" s="203"/>
    </row>
    <row r="62" spans="1:18" s="341" customFormat="1" x14ac:dyDescent="0.25">
      <c r="A62" s="203"/>
      <c r="B62" s="203"/>
      <c r="C62" s="339"/>
      <c r="D62" s="339"/>
      <c r="E62" s="339"/>
      <c r="F62" s="203"/>
      <c r="G62" s="203"/>
    </row>
    <row r="63" spans="1:18" ht="15.6" x14ac:dyDescent="0.3">
      <c r="A63" s="340"/>
      <c r="B63" s="18"/>
      <c r="C63" s="339"/>
      <c r="D63" s="339"/>
      <c r="E63" s="339"/>
      <c r="F63" s="203"/>
      <c r="G63" s="18"/>
      <c r="H63" s="341"/>
    </row>
    <row r="64" spans="1:18" x14ac:dyDescent="0.25">
      <c r="A64" s="18"/>
      <c r="B64" s="18"/>
      <c r="C64" s="339"/>
      <c r="D64" s="339"/>
      <c r="E64" s="339"/>
      <c r="F64" s="203"/>
      <c r="G64" s="18"/>
      <c r="H64" s="341"/>
    </row>
    <row r="65" spans="1:7" x14ac:dyDescent="0.25">
      <c r="A65" s="18"/>
      <c r="B65" s="18"/>
      <c r="C65" s="339"/>
      <c r="D65" s="339"/>
      <c r="E65" s="339"/>
      <c r="F65" s="256"/>
      <c r="G65" s="18"/>
    </row>
    <row r="66" spans="1:7" x14ac:dyDescent="0.25">
      <c r="A66" s="120"/>
      <c r="B66" s="120"/>
      <c r="C66" s="255"/>
      <c r="D66" s="255"/>
      <c r="E66" s="551"/>
      <c r="F66" s="257"/>
      <c r="G66" s="120"/>
    </row>
    <row r="67" spans="1:7" x14ac:dyDescent="0.25">
      <c r="A67" s="120"/>
      <c r="B67" s="120"/>
      <c r="C67" s="255"/>
      <c r="D67" s="255"/>
      <c r="E67" s="741"/>
      <c r="F67" s="257"/>
      <c r="G67" s="120"/>
    </row>
    <row r="68" spans="1:7" x14ac:dyDescent="0.25">
      <c r="A68" s="120"/>
      <c r="B68" s="120"/>
      <c r="C68" s="255"/>
      <c r="D68" s="255"/>
      <c r="E68" s="255"/>
      <c r="F68" s="257"/>
      <c r="G68" s="120"/>
    </row>
    <row r="69" spans="1:7" x14ac:dyDescent="0.25">
      <c r="A69" s="241"/>
      <c r="B69" s="241"/>
      <c r="C69" s="255"/>
      <c r="D69" s="255"/>
      <c r="E69" s="255"/>
      <c r="F69" s="257"/>
      <c r="G69" s="241"/>
    </row>
    <row r="70" spans="1:7" x14ac:dyDescent="0.25">
      <c r="C70" s="255"/>
      <c r="D70" s="255"/>
      <c r="E70" s="255"/>
      <c r="F70" s="257"/>
    </row>
    <row r="71" spans="1:7" x14ac:dyDescent="0.25">
      <c r="C71" s="96"/>
      <c r="D71" s="96"/>
      <c r="E71" s="96"/>
      <c r="F71" s="241"/>
    </row>
    <row r="72" spans="1:7" x14ac:dyDescent="0.25">
      <c r="C72" s="96"/>
      <c r="D72" s="96"/>
      <c r="E72" s="96"/>
      <c r="F72" s="241"/>
    </row>
    <row r="73" spans="1:7" x14ac:dyDescent="0.25">
      <c r="C73" s="96"/>
      <c r="D73" s="96"/>
      <c r="E73" s="96"/>
    </row>
    <row r="74" spans="1:7" x14ac:dyDescent="0.25">
      <c r="C74" s="96"/>
      <c r="D74" s="96"/>
      <c r="E74" s="96"/>
    </row>
    <row r="75" spans="1:7" x14ac:dyDescent="0.25">
      <c r="C75" s="96"/>
      <c r="D75" s="96"/>
      <c r="E75" s="96"/>
    </row>
    <row r="76" spans="1:7" x14ac:dyDescent="0.25">
      <c r="C76" s="96"/>
      <c r="D76" s="96"/>
      <c r="E76" s="96"/>
    </row>
  </sheetData>
  <phoneticPr fontId="12" type="noConversion"/>
  <pageMargins left="0.17" right="0.17" top="1.72" bottom="1" header="1.1200000000000001" footer="0.5"/>
  <pageSetup scale="54" orientation="portrait" r:id="rId1"/>
  <headerFooter alignWithMargins="0">
    <oddHeader xml:space="preserve">&amp;C
&amp;RS-11
</oddHeader>
    <oddFooter>&amp;L&amp;Z&amp;F&amp;R&amp;T&amp;D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U81"/>
  <sheetViews>
    <sheetView topLeftCell="A32" zoomScaleNormal="100" workbookViewId="0">
      <selection activeCell="G40" sqref="G40"/>
    </sheetView>
  </sheetViews>
  <sheetFormatPr defaultColWidth="8.90625" defaultRowHeight="13.2" x14ac:dyDescent="0.25"/>
  <cols>
    <col min="1" max="1" width="2.90625" style="493" customWidth="1"/>
    <col min="2" max="4" width="8.90625" style="127"/>
    <col min="5" max="5" width="9.08984375" style="127" bestFit="1" customWidth="1"/>
    <col min="6" max="6" width="16.1796875" style="127" customWidth="1"/>
    <col min="7" max="7" width="13.1796875" style="127" customWidth="1"/>
    <col min="8" max="8" width="2.1796875" style="127" customWidth="1"/>
    <col min="9" max="9" width="18.08984375" style="127" customWidth="1"/>
    <col min="10" max="10" width="8.90625" style="127"/>
    <col min="11" max="11" width="14.90625" style="127" customWidth="1"/>
    <col min="12" max="12" width="20.54296875" style="127" customWidth="1"/>
    <col min="13" max="13" width="8.90625" style="127"/>
    <col min="14" max="14" width="10.54296875" style="127" customWidth="1"/>
    <col min="15" max="15" width="3.1796875" style="127" customWidth="1"/>
    <col min="16" max="16" width="16.90625" style="127" customWidth="1"/>
    <col min="17" max="16384" width="8.90625" style="127"/>
  </cols>
  <sheetData>
    <row r="1" spans="2:21" x14ac:dyDescent="0.25">
      <c r="B1" s="475" t="s">
        <v>747</v>
      </c>
      <c r="C1" s="475"/>
      <c r="D1" s="475"/>
      <c r="E1" s="475"/>
      <c r="F1" s="207"/>
      <c r="G1" s="207"/>
      <c r="H1" s="207"/>
      <c r="I1" s="207"/>
      <c r="J1" s="475"/>
      <c r="K1" s="475"/>
      <c r="L1" s="475"/>
      <c r="M1" s="475"/>
      <c r="N1" s="207"/>
      <c r="O1" s="207"/>
      <c r="P1" s="207"/>
      <c r="Q1" s="207"/>
      <c r="R1" s="207"/>
      <c r="S1" s="207"/>
      <c r="T1" s="207"/>
      <c r="U1" s="207"/>
    </row>
    <row r="2" spans="2:21" x14ac:dyDescent="0.25">
      <c r="B2" s="475" t="s">
        <v>101</v>
      </c>
      <c r="C2" s="475"/>
      <c r="D2" s="475"/>
      <c r="E2" s="475"/>
      <c r="F2" s="207"/>
      <c r="G2" s="207"/>
      <c r="H2" s="207"/>
      <c r="I2" s="207"/>
      <c r="J2" s="475"/>
      <c r="K2" s="475"/>
      <c r="L2" s="475"/>
      <c r="M2" s="475"/>
      <c r="N2" s="207"/>
      <c r="O2" s="207"/>
      <c r="P2" s="207"/>
      <c r="Q2" s="207"/>
      <c r="R2" s="207"/>
      <c r="S2" s="207"/>
      <c r="T2" s="207"/>
      <c r="U2" s="207"/>
    </row>
    <row r="3" spans="2:21" x14ac:dyDescent="0.25">
      <c r="B3" s="475" t="s">
        <v>1229</v>
      </c>
      <c r="C3" s="475"/>
      <c r="D3" s="475"/>
      <c r="E3" s="475"/>
      <c r="F3" s="207"/>
      <c r="G3" s="207"/>
      <c r="H3" s="207"/>
      <c r="I3" s="207"/>
      <c r="J3" s="475"/>
      <c r="K3" s="475"/>
      <c r="L3" s="475"/>
      <c r="M3" s="475"/>
      <c r="N3" s="207"/>
      <c r="O3" s="207"/>
      <c r="P3" s="207"/>
      <c r="Q3" s="207"/>
      <c r="R3" s="207"/>
      <c r="S3" s="207"/>
      <c r="T3" s="207"/>
      <c r="U3" s="207"/>
    </row>
    <row r="4" spans="2:21" x14ac:dyDescent="0.25">
      <c r="B4" s="475"/>
      <c r="C4" s="475"/>
      <c r="D4" s="475"/>
      <c r="E4" s="475"/>
      <c r="F4" s="207"/>
      <c r="G4" s="207"/>
      <c r="H4" s="207"/>
      <c r="I4" s="207"/>
      <c r="J4" s="475"/>
      <c r="K4" s="475"/>
      <c r="L4" s="475"/>
      <c r="M4" s="475"/>
      <c r="N4" s="207"/>
      <c r="O4" s="207"/>
      <c r="P4" s="207"/>
      <c r="Q4" s="207"/>
      <c r="R4" s="207"/>
      <c r="S4" s="207"/>
      <c r="T4" s="207"/>
      <c r="U4" s="207"/>
    </row>
    <row r="5" spans="2:21" ht="5.25" customHeight="1" x14ac:dyDescent="0.25">
      <c r="B5" s="33"/>
      <c r="C5" s="33"/>
      <c r="D5" s="33"/>
      <c r="E5" s="33"/>
      <c r="F5" s="205"/>
      <c r="G5" s="207"/>
      <c r="H5" s="207"/>
      <c r="I5" s="207"/>
      <c r="J5" s="475"/>
      <c r="K5" s="58"/>
      <c r="L5" s="58"/>
      <c r="M5" s="58"/>
      <c r="N5" s="211"/>
      <c r="O5" s="207"/>
      <c r="P5" s="207"/>
      <c r="Q5" s="207"/>
      <c r="R5" s="207"/>
      <c r="S5" s="207"/>
      <c r="T5" s="207"/>
      <c r="U5" s="207"/>
    </row>
    <row r="6" spans="2:21" ht="27" customHeight="1" x14ac:dyDescent="0.25">
      <c r="B6" s="505" t="s">
        <v>1155</v>
      </c>
      <c r="C6" s="496"/>
      <c r="D6" s="496"/>
      <c r="E6" s="496"/>
      <c r="F6" s="500"/>
      <c r="G6" s="497"/>
      <c r="H6" s="207"/>
      <c r="I6" s="207"/>
      <c r="J6" s="475"/>
      <c r="K6" s="506" t="s">
        <v>1153</v>
      </c>
      <c r="L6" s="498"/>
      <c r="M6" s="498"/>
      <c r="N6" s="500"/>
      <c r="O6" s="500"/>
      <c r="P6" s="497"/>
      <c r="Q6" s="207"/>
      <c r="R6" s="207"/>
      <c r="S6" s="207"/>
      <c r="T6" s="207"/>
      <c r="U6" s="207"/>
    </row>
    <row r="7" spans="2:21" x14ac:dyDescent="0.25">
      <c r="B7" s="125"/>
      <c r="C7" s="33"/>
      <c r="D7" s="33"/>
      <c r="E7" s="33"/>
      <c r="F7" s="494"/>
      <c r="G7" s="65"/>
      <c r="H7" s="207"/>
      <c r="I7" s="207"/>
      <c r="J7" s="475"/>
      <c r="K7" s="475"/>
      <c r="L7" s="475"/>
      <c r="M7" s="65"/>
      <c r="N7" s="65"/>
      <c r="O7" s="207"/>
      <c r="P7" s="207"/>
      <c r="Q7" s="207"/>
      <c r="R7" s="207"/>
      <c r="S7" s="207"/>
      <c r="T7" s="207"/>
      <c r="U7" s="207"/>
    </row>
    <row r="8" spans="2:21" x14ac:dyDescent="0.25">
      <c r="B8" s="125"/>
      <c r="C8" s="475"/>
      <c r="D8" s="475"/>
      <c r="E8" s="475"/>
      <c r="F8" s="65" t="s">
        <v>84</v>
      </c>
      <c r="G8" s="65" t="s">
        <v>86</v>
      </c>
      <c r="H8" s="207"/>
      <c r="I8" s="207"/>
      <c r="J8" s="475"/>
      <c r="K8" s="475"/>
      <c r="L8" s="475"/>
      <c r="M8" s="65" t="s">
        <v>84</v>
      </c>
      <c r="N8" s="65" t="s">
        <v>86</v>
      </c>
      <c r="O8" s="207"/>
      <c r="P8" s="207"/>
      <c r="Q8" s="207"/>
      <c r="R8" s="207"/>
      <c r="S8" s="207"/>
      <c r="T8" s="207"/>
      <c r="U8" s="207"/>
    </row>
    <row r="9" spans="2:21" x14ac:dyDescent="0.25">
      <c r="B9" s="125"/>
      <c r="C9" s="475"/>
      <c r="D9" s="475"/>
      <c r="E9" s="475"/>
      <c r="F9" s="474" t="s">
        <v>85</v>
      </c>
      <c r="G9" s="474" t="s">
        <v>85</v>
      </c>
      <c r="H9" s="207"/>
      <c r="I9" s="474" t="s">
        <v>216</v>
      </c>
      <c r="J9" s="475"/>
      <c r="K9" s="475"/>
      <c r="L9" s="475"/>
      <c r="M9" s="474" t="s">
        <v>85</v>
      </c>
      <c r="N9" s="474" t="s">
        <v>85</v>
      </c>
      <c r="O9" s="207"/>
      <c r="P9" s="474" t="s">
        <v>216</v>
      </c>
      <c r="Q9" s="207"/>
      <c r="R9" s="207"/>
      <c r="S9" s="207"/>
      <c r="T9" s="207"/>
      <c r="U9" s="207"/>
    </row>
    <row r="10" spans="2:21" x14ac:dyDescent="0.25">
      <c r="B10" s="127" t="s">
        <v>1121</v>
      </c>
      <c r="C10" s="475"/>
      <c r="D10" s="475"/>
      <c r="E10" s="475"/>
      <c r="F10" s="295">
        <f>+'S1-Revenue Requirement'!C33</f>
        <v>-216430.22000000253</v>
      </c>
      <c r="G10" s="295">
        <f>+'S1-Revenue Requirement'!E36</f>
        <v>1149481.1900000002</v>
      </c>
      <c r="H10" s="207"/>
      <c r="I10" s="65" t="s">
        <v>1151</v>
      </c>
      <c r="J10" s="475"/>
      <c r="K10" s="476" t="s">
        <v>1121</v>
      </c>
      <c r="L10" s="475"/>
      <c r="M10" s="295">
        <f>+F10</f>
        <v>-216430.22000000253</v>
      </c>
      <c r="N10" s="295">
        <f>+G10</f>
        <v>1149481.1900000002</v>
      </c>
      <c r="O10" s="495"/>
      <c r="P10" s="495" t="str">
        <f>+I10</f>
        <v>Schedule 1, Line 29</v>
      </c>
      <c r="Q10" s="207"/>
      <c r="R10" s="1125"/>
      <c r="S10" s="207"/>
      <c r="T10" s="207"/>
      <c r="U10" s="207"/>
    </row>
    <row r="11" spans="2:21" x14ac:dyDescent="0.25">
      <c r="B11" s="475"/>
      <c r="C11" s="475"/>
      <c r="D11" s="475"/>
      <c r="E11" s="475"/>
      <c r="F11" s="972"/>
      <c r="G11" s="972"/>
      <c r="H11" s="207"/>
      <c r="I11" s="65"/>
      <c r="J11" s="475"/>
      <c r="K11" s="475"/>
      <c r="L11" s="475"/>
      <c r="M11" s="972"/>
      <c r="N11" s="972"/>
      <c r="O11" s="495"/>
      <c r="P11" s="495"/>
      <c r="Q11" s="207"/>
      <c r="R11" s="207"/>
      <c r="S11" s="207"/>
      <c r="T11" s="207"/>
      <c r="U11" s="207"/>
    </row>
    <row r="12" spans="2:21" x14ac:dyDescent="0.25">
      <c r="B12" s="475" t="s">
        <v>356</v>
      </c>
      <c r="C12" s="475"/>
      <c r="D12" s="475"/>
      <c r="E12" s="475"/>
      <c r="F12" s="295">
        <f>+'S1-Revenue Requirement'!C20</f>
        <v>1206298.6100000001</v>
      </c>
      <c r="G12" s="295">
        <f>+'S1-Revenue Requirement'!E20</f>
        <v>1149481.1900000002</v>
      </c>
      <c r="H12" s="207"/>
      <c r="I12" s="65" t="s">
        <v>1150</v>
      </c>
      <c r="J12" s="475"/>
      <c r="K12" s="475" t="s">
        <v>1122</v>
      </c>
      <c r="L12" s="475"/>
      <c r="M12" s="295">
        <f>+F12</f>
        <v>1206298.6100000001</v>
      </c>
      <c r="N12" s="295">
        <f>+G12</f>
        <v>1149481.1900000002</v>
      </c>
      <c r="O12" s="495"/>
      <c r="P12" s="495" t="str">
        <f>+I12</f>
        <v>Schedule 1 Line 13</v>
      </c>
      <c r="Q12" s="207"/>
      <c r="R12" s="207"/>
      <c r="S12" s="207"/>
      <c r="T12" s="207"/>
      <c r="U12" s="207"/>
    </row>
    <row r="13" spans="2:21" x14ac:dyDescent="0.25">
      <c r="B13" s="475"/>
      <c r="C13" s="475"/>
      <c r="D13" s="475"/>
      <c r="E13" s="475"/>
      <c r="F13" s="972"/>
      <c r="G13" s="972"/>
      <c r="H13" s="207"/>
      <c r="I13" s="65"/>
      <c r="J13" s="475"/>
      <c r="K13" s="475"/>
      <c r="L13" s="475"/>
      <c r="M13" s="972"/>
      <c r="N13" s="972"/>
      <c r="O13" s="495"/>
      <c r="P13" s="495"/>
      <c r="Q13" s="207"/>
      <c r="R13" s="207"/>
      <c r="S13" s="207"/>
      <c r="T13" s="207"/>
      <c r="U13" s="207"/>
    </row>
    <row r="14" spans="2:21" x14ac:dyDescent="0.25">
      <c r="B14" s="475" t="s">
        <v>357</v>
      </c>
      <c r="C14" s="475"/>
      <c r="D14" s="475"/>
      <c r="E14" s="475"/>
      <c r="F14" s="295">
        <f>SUM(F10:F13)</f>
        <v>989868.38999999757</v>
      </c>
      <c r="G14" s="295">
        <f>SUM(G10:G13)</f>
        <v>2298962.3800000004</v>
      </c>
      <c r="H14" s="207"/>
      <c r="I14" s="65" t="s">
        <v>210</v>
      </c>
      <c r="J14" s="475"/>
      <c r="K14" s="475" t="s">
        <v>1126</v>
      </c>
      <c r="L14" s="475"/>
      <c r="M14" s="295">
        <f>+F40</f>
        <v>2444574.46</v>
      </c>
      <c r="N14" s="295">
        <f>+G40</f>
        <v>2446470.2400000002</v>
      </c>
      <c r="O14" s="495"/>
      <c r="P14" s="495" t="str">
        <f>+I40</f>
        <v>Schedule 8 Line 10</v>
      </c>
      <c r="Q14" s="207"/>
      <c r="R14" s="207"/>
      <c r="S14" s="207"/>
      <c r="T14" s="207"/>
      <c r="U14" s="207"/>
    </row>
    <row r="15" spans="2:21" x14ac:dyDescent="0.25">
      <c r="B15" s="475"/>
      <c r="C15" s="475"/>
      <c r="D15" s="475"/>
      <c r="E15" s="475"/>
      <c r="F15" s="974"/>
      <c r="G15" s="33"/>
      <c r="H15" s="207"/>
      <c r="I15" s="65"/>
      <c r="J15" s="475"/>
      <c r="K15" s="475"/>
      <c r="L15" s="475"/>
      <c r="M15" s="972"/>
      <c r="N15" s="972"/>
      <c r="O15" s="495"/>
      <c r="P15" s="495"/>
      <c r="Q15" s="207"/>
      <c r="R15" s="207"/>
      <c r="S15" s="207"/>
      <c r="T15" s="207"/>
      <c r="U15" s="207"/>
    </row>
    <row r="16" spans="2:21" x14ac:dyDescent="0.25">
      <c r="B16" s="475" t="s">
        <v>83</v>
      </c>
      <c r="C16" s="475"/>
      <c r="D16" s="475"/>
      <c r="E16" s="475"/>
      <c r="F16" s="974">
        <f>+F14/F12</f>
        <v>0.82058321363729125</v>
      </c>
      <c r="G16" s="975">
        <f>+G14/G12</f>
        <v>2</v>
      </c>
      <c r="H16" s="207"/>
      <c r="I16" s="65" t="s">
        <v>211</v>
      </c>
      <c r="J16" s="475"/>
      <c r="K16" s="475" t="s">
        <v>1127</v>
      </c>
      <c r="L16" s="475"/>
      <c r="M16" s="295">
        <f>+F49</f>
        <v>3726527</v>
      </c>
      <c r="N16" s="295">
        <f>+G49</f>
        <v>3631930.2199999997</v>
      </c>
      <c r="O16" s="495"/>
      <c r="P16" s="495"/>
      <c r="Q16" s="207"/>
      <c r="R16" s="207"/>
      <c r="S16" s="207"/>
      <c r="T16" s="207"/>
      <c r="U16" s="207"/>
    </row>
    <row r="17" spans="1:21" x14ac:dyDescent="0.25">
      <c r="B17" s="475"/>
      <c r="C17" s="475"/>
      <c r="D17" s="475"/>
      <c r="E17" s="475"/>
      <c r="F17" s="972"/>
      <c r="G17" s="33"/>
      <c r="H17" s="207"/>
      <c r="I17" s="65"/>
      <c r="J17" s="475"/>
      <c r="K17" s="475"/>
      <c r="L17" s="475"/>
      <c r="M17" s="972"/>
      <c r="N17" s="972"/>
      <c r="O17" s="495"/>
      <c r="P17" s="495"/>
      <c r="Q17" s="207"/>
      <c r="R17" s="207"/>
      <c r="S17" s="207"/>
      <c r="T17" s="207"/>
      <c r="U17" s="207"/>
    </row>
    <row r="18" spans="1:21" x14ac:dyDescent="0.25">
      <c r="B18" s="475"/>
      <c r="C18" s="475"/>
      <c r="D18" s="475"/>
      <c r="E18" s="475"/>
      <c r="F18" s="475"/>
      <c r="G18" s="475"/>
      <c r="H18" s="207"/>
      <c r="I18" s="230"/>
      <c r="J18" s="475"/>
      <c r="K18" s="475" t="s">
        <v>1129</v>
      </c>
      <c r="L18" s="475"/>
      <c r="M18" s="976">
        <f>(+M10+M12+M14)/M16</f>
        <v>0.92162027807661073</v>
      </c>
      <c r="N18" s="977">
        <f>(+N10+N12+N14)/N16</f>
        <v>1.306586947587336</v>
      </c>
      <c r="O18" s="495"/>
      <c r="P18" s="495" t="s">
        <v>1128</v>
      </c>
      <c r="Q18" s="207"/>
      <c r="R18" s="207"/>
      <c r="S18" s="207"/>
      <c r="T18" s="207"/>
      <c r="U18" s="207"/>
    </row>
    <row r="19" spans="1:21" s="476" customFormat="1" x14ac:dyDescent="0.25">
      <c r="A19" s="493"/>
      <c r="B19" s="475"/>
      <c r="C19" s="475"/>
      <c r="D19" s="475"/>
      <c r="E19" s="475"/>
      <c r="F19" s="475"/>
      <c r="G19" s="475"/>
      <c r="H19" s="207"/>
      <c r="I19" s="230"/>
      <c r="J19" s="475"/>
      <c r="K19" s="33"/>
      <c r="L19" s="33"/>
      <c r="M19" s="671"/>
      <c r="N19" s="671"/>
      <c r="O19" s="207"/>
      <c r="P19" s="207"/>
      <c r="Q19" s="207"/>
      <c r="R19" s="207"/>
      <c r="S19" s="207"/>
      <c r="T19" s="207"/>
      <c r="U19" s="207"/>
    </row>
    <row r="20" spans="1:21" x14ac:dyDescent="0.25">
      <c r="B20" s="303"/>
      <c r="C20" s="33"/>
      <c r="D20" s="33"/>
      <c r="E20" s="33"/>
      <c r="F20" s="205"/>
      <c r="G20" s="207"/>
      <c r="H20" s="207"/>
      <c r="I20" s="230"/>
      <c r="J20" s="475"/>
      <c r="K20" s="33"/>
      <c r="L20" s="33"/>
      <c r="M20" s="104"/>
      <c r="N20" s="104"/>
      <c r="O20" s="207"/>
      <c r="P20" s="207"/>
      <c r="Q20" s="207"/>
      <c r="R20" s="207"/>
      <c r="S20" s="207"/>
      <c r="T20" s="207"/>
      <c r="U20" s="207"/>
    </row>
    <row r="21" spans="1:21" ht="32.25" customHeight="1" x14ac:dyDescent="0.25">
      <c r="B21" s="505" t="s">
        <v>1152</v>
      </c>
      <c r="C21" s="498"/>
      <c r="D21" s="498"/>
      <c r="E21" s="498"/>
      <c r="F21" s="507"/>
      <c r="G21" s="499"/>
      <c r="H21" s="207"/>
      <c r="I21" s="207"/>
      <c r="J21" s="475"/>
      <c r="K21" s="506" t="s">
        <v>1154</v>
      </c>
      <c r="L21" s="502"/>
      <c r="M21" s="502"/>
      <c r="N21" s="503"/>
      <c r="O21" s="500"/>
      <c r="P21" s="497"/>
      <c r="Q21" s="207"/>
      <c r="R21" s="207"/>
      <c r="S21" s="207"/>
      <c r="T21" s="207"/>
      <c r="U21" s="207"/>
    </row>
    <row r="22" spans="1:21" x14ac:dyDescent="0.25">
      <c r="B22" s="125"/>
      <c r="C22" s="36"/>
      <c r="D22" s="36"/>
      <c r="E22" s="36"/>
      <c r="F22" s="65"/>
      <c r="G22" s="65" t="s">
        <v>86</v>
      </c>
      <c r="H22" s="207"/>
      <c r="I22" s="207"/>
      <c r="J22" s="475"/>
      <c r="K22" s="338"/>
      <c r="L22" s="475"/>
      <c r="M22" s="65" t="s">
        <v>84</v>
      </c>
      <c r="N22" s="65" t="s">
        <v>86</v>
      </c>
      <c r="O22" s="207"/>
      <c r="P22" s="207"/>
      <c r="Q22" s="207"/>
      <c r="R22" s="207"/>
      <c r="S22" s="207"/>
      <c r="T22" s="207"/>
      <c r="U22" s="207"/>
    </row>
    <row r="23" spans="1:21" x14ac:dyDescent="0.25">
      <c r="B23" s="125"/>
      <c r="C23" s="36"/>
      <c r="D23" s="36"/>
      <c r="E23" s="36"/>
      <c r="F23" s="474" t="s">
        <v>680</v>
      </c>
      <c r="G23" s="474" t="s">
        <v>85</v>
      </c>
      <c r="H23" s="207"/>
      <c r="I23" s="474" t="s">
        <v>688</v>
      </c>
      <c r="J23" s="475"/>
      <c r="K23" s="475"/>
      <c r="L23" s="475"/>
      <c r="M23" s="474" t="s">
        <v>85</v>
      </c>
      <c r="N23" s="474" t="s">
        <v>85</v>
      </c>
      <c r="O23" s="495"/>
      <c r="P23" s="474" t="s">
        <v>216</v>
      </c>
      <c r="Q23" s="207"/>
      <c r="R23" s="207"/>
      <c r="S23" s="207"/>
      <c r="T23" s="207"/>
      <c r="U23" s="207"/>
    </row>
    <row r="24" spans="1:21" x14ac:dyDescent="0.25">
      <c r="B24" s="36" t="s">
        <v>1123</v>
      </c>
      <c r="C24" s="36"/>
      <c r="D24" s="36"/>
      <c r="E24" s="36"/>
      <c r="F24" s="295">
        <f>+'S1-Revenue Requirement'!C32-'S1-Revenue Requirement'!C25-'S1-Revenue Requirement'!C23</f>
        <v>-1385815.2200000025</v>
      </c>
      <c r="G24" s="295">
        <f>+'S1-Revenue Requirement'!E32-'S1-Revenue Requirement'!E25-'S1-Revenue Requirement'!E23+'S1-Revenue Requirement'!E38</f>
        <v>-86728.262417112477</v>
      </c>
      <c r="H24" s="207"/>
      <c r="I24" s="65" t="s">
        <v>1141</v>
      </c>
      <c r="J24" s="475"/>
      <c r="K24" s="476" t="s">
        <v>1130</v>
      </c>
      <c r="L24" s="475"/>
      <c r="M24" s="295">
        <f>+F24</f>
        <v>-1385815.2200000025</v>
      </c>
      <c r="N24" s="295">
        <f>+G24</f>
        <v>-86728.262417112477</v>
      </c>
      <c r="O24" s="495"/>
      <c r="P24" s="495" t="s">
        <v>1141</v>
      </c>
      <c r="Q24" s="207"/>
      <c r="R24" s="207"/>
      <c r="S24" s="207"/>
      <c r="T24" s="207"/>
      <c r="U24" s="207"/>
    </row>
    <row r="25" spans="1:21" x14ac:dyDescent="0.25">
      <c r="B25" s="36"/>
      <c r="C25" s="36"/>
      <c r="D25" s="36"/>
      <c r="E25" s="36"/>
      <c r="F25" s="972"/>
      <c r="G25" s="972"/>
      <c r="H25" s="207"/>
      <c r="I25" s="230"/>
      <c r="J25" s="475"/>
      <c r="K25" s="475"/>
      <c r="L25" s="475"/>
      <c r="M25" s="972"/>
      <c r="N25" s="972"/>
      <c r="O25" s="495"/>
      <c r="P25" s="495"/>
      <c r="Q25" s="207"/>
      <c r="R25" s="207"/>
      <c r="S25" s="207"/>
      <c r="T25" s="207"/>
      <c r="U25" s="207"/>
    </row>
    <row r="26" spans="1:21" x14ac:dyDescent="0.25">
      <c r="B26" s="36" t="s">
        <v>356</v>
      </c>
      <c r="C26" s="36"/>
      <c r="D26" s="36"/>
      <c r="E26" s="36"/>
      <c r="F26" s="295">
        <f>+F12</f>
        <v>1206298.6100000001</v>
      </c>
      <c r="G26" s="295">
        <f>+G12</f>
        <v>1149481.1900000002</v>
      </c>
      <c r="H26" s="207"/>
      <c r="I26" s="65" t="str">
        <f>+I12</f>
        <v>Schedule 1 Line 13</v>
      </c>
      <c r="J26" s="475"/>
      <c r="K26" s="475" t="s">
        <v>1122</v>
      </c>
      <c r="L26" s="475"/>
      <c r="M26" s="295">
        <f>+F26</f>
        <v>1206298.6100000001</v>
      </c>
      <c r="N26" s="295">
        <f>+G26</f>
        <v>1149481.1900000002</v>
      </c>
      <c r="O26" s="495"/>
      <c r="P26" s="495" t="str">
        <f>+I26</f>
        <v>Schedule 1 Line 13</v>
      </c>
      <c r="Q26" s="207"/>
      <c r="R26" s="207"/>
      <c r="S26" s="207"/>
      <c r="T26" s="207"/>
      <c r="U26" s="207"/>
    </row>
    <row r="27" spans="1:21" s="637" customFormat="1" x14ac:dyDescent="0.25">
      <c r="B27" s="636"/>
      <c r="C27" s="636"/>
      <c r="D27" s="636"/>
      <c r="E27" s="636"/>
      <c r="F27" s="295"/>
      <c r="G27" s="295"/>
      <c r="H27" s="207"/>
      <c r="I27" s="65"/>
      <c r="J27" s="636"/>
      <c r="K27" s="636"/>
      <c r="L27" s="636"/>
      <c r="M27" s="295"/>
      <c r="N27" s="295"/>
      <c r="O27" s="636"/>
      <c r="P27" s="636"/>
      <c r="Q27" s="207"/>
      <c r="R27" s="207"/>
      <c r="S27" s="207"/>
      <c r="T27" s="207"/>
      <c r="U27" s="207"/>
    </row>
    <row r="28" spans="1:21" s="637" customFormat="1" x14ac:dyDescent="0.25">
      <c r="B28" s="636" t="s">
        <v>1268</v>
      </c>
      <c r="C28" s="636"/>
      <c r="D28" s="636"/>
      <c r="E28" s="636"/>
      <c r="F28" s="978">
        <f>-'Trial Balance'!C235</f>
        <v>1114602.33</v>
      </c>
      <c r="G28" s="295">
        <f>+'S10 - Int &amp; Div Income'!F7+'S10 - Int &amp; Div Income'!F8+'S10 - Int &amp; Div Income'!F9</f>
        <v>1141884.24</v>
      </c>
      <c r="H28" s="207"/>
      <c r="I28" s="65" t="s">
        <v>1271</v>
      </c>
      <c r="J28" s="636"/>
      <c r="K28" s="636" t="s">
        <v>1268</v>
      </c>
      <c r="L28" s="636"/>
      <c r="M28" s="295">
        <f>+F28</f>
        <v>1114602.33</v>
      </c>
      <c r="N28" s="295">
        <f>+G28</f>
        <v>1141884.24</v>
      </c>
      <c r="O28" s="636"/>
      <c r="P28" s="65" t="str">
        <f>+I28</f>
        <v>Schedule 11  Line 1</v>
      </c>
      <c r="Q28" s="207"/>
      <c r="R28" s="207"/>
      <c r="S28" s="207"/>
      <c r="T28" s="207"/>
      <c r="U28" s="207"/>
    </row>
    <row r="29" spans="1:21" x14ac:dyDescent="0.25">
      <c r="B29" s="36"/>
      <c r="C29" s="36"/>
      <c r="D29" s="36"/>
      <c r="E29" s="36"/>
      <c r="F29" s="972"/>
      <c r="G29" s="972"/>
      <c r="H29" s="207"/>
      <c r="I29" s="65"/>
      <c r="J29" s="475"/>
      <c r="K29" s="475"/>
      <c r="L29" s="475"/>
      <c r="M29" s="972"/>
      <c r="N29" s="972"/>
      <c r="O29" s="495"/>
      <c r="P29" s="495"/>
      <c r="Q29" s="207"/>
      <c r="R29" s="207"/>
      <c r="S29" s="207"/>
      <c r="T29" s="207"/>
      <c r="U29" s="207"/>
    </row>
    <row r="30" spans="1:21" x14ac:dyDescent="0.25">
      <c r="B30" s="36" t="s">
        <v>357</v>
      </c>
      <c r="C30" s="36"/>
      <c r="D30" s="36"/>
      <c r="E30" s="36"/>
      <c r="F30" s="295">
        <f>SUM(F24:F29)</f>
        <v>935085.71999999764</v>
      </c>
      <c r="G30" s="295">
        <f>SUM(G24:G29)</f>
        <v>2204637.1675828877</v>
      </c>
      <c r="H30" s="207"/>
      <c r="I30" s="65" t="s">
        <v>1269</v>
      </c>
      <c r="J30" s="475"/>
      <c r="K30" s="475" t="s">
        <v>1126</v>
      </c>
      <c r="L30" s="475"/>
      <c r="M30" s="295">
        <f>+M14</f>
        <v>2444574.46</v>
      </c>
      <c r="N30" s="295">
        <f>+N14</f>
        <v>2446470.2400000002</v>
      </c>
      <c r="O30" s="495"/>
      <c r="P30" s="495" t="str">
        <f>+P14</f>
        <v>Schedule 8 Line 10</v>
      </c>
      <c r="Q30" s="207"/>
      <c r="R30" s="207"/>
      <c r="S30" s="207"/>
      <c r="T30" s="207"/>
      <c r="U30" s="207"/>
    </row>
    <row r="31" spans="1:21" x14ac:dyDescent="0.25">
      <c r="B31" s="36"/>
      <c r="C31" s="36"/>
      <c r="D31" s="36"/>
      <c r="E31" s="36"/>
      <c r="F31" s="972"/>
      <c r="G31" s="972"/>
      <c r="H31" s="207"/>
      <c r="I31" s="65"/>
      <c r="J31" s="475"/>
      <c r="K31" s="475"/>
      <c r="L31" s="475"/>
      <c r="M31" s="972"/>
      <c r="N31" s="972"/>
      <c r="O31" s="495"/>
      <c r="P31" s="495"/>
      <c r="Q31" s="207"/>
      <c r="R31" s="207"/>
      <c r="S31" s="207"/>
      <c r="T31" s="207"/>
      <c r="U31" s="207"/>
    </row>
    <row r="32" spans="1:21" x14ac:dyDescent="0.25">
      <c r="B32" s="36" t="s">
        <v>682</v>
      </c>
      <c r="C32" s="36"/>
      <c r="D32" s="36"/>
      <c r="E32" s="36"/>
      <c r="F32" s="471">
        <f>+'S10 - Int &amp; Div Income'!D30</f>
        <v>36166.810000000005</v>
      </c>
      <c r="G32" s="471">
        <f>+'S10 - Int &amp; Div Income'!F30</f>
        <v>36166.810000000005</v>
      </c>
      <c r="H32" s="207"/>
      <c r="I32" s="65" t="s">
        <v>715</v>
      </c>
      <c r="J32" s="475"/>
      <c r="K32" s="612" t="s">
        <v>682</v>
      </c>
      <c r="L32" s="475"/>
      <c r="M32" s="295">
        <f>+F32</f>
        <v>36166.810000000005</v>
      </c>
      <c r="N32" s="295">
        <f>+G32</f>
        <v>36166.810000000005</v>
      </c>
      <c r="O32" s="495"/>
      <c r="P32" s="495"/>
      <c r="Q32" s="207"/>
      <c r="R32" s="207"/>
      <c r="S32" s="207"/>
      <c r="T32" s="207"/>
      <c r="U32" s="207"/>
    </row>
    <row r="33" spans="2:21" x14ac:dyDescent="0.25">
      <c r="B33" s="36"/>
      <c r="C33" s="36"/>
      <c r="D33" s="36"/>
      <c r="E33" s="36"/>
      <c r="F33" s="974"/>
      <c r="G33" s="420"/>
      <c r="H33" s="207"/>
      <c r="I33" s="65"/>
      <c r="J33" s="475"/>
      <c r="K33" s="475"/>
      <c r="L33" s="475"/>
      <c r="M33" s="972"/>
      <c r="N33" s="972"/>
      <c r="O33" s="495"/>
      <c r="P33" s="495"/>
      <c r="Q33" s="207"/>
      <c r="R33" s="207"/>
      <c r="S33" s="207"/>
      <c r="T33" s="207"/>
      <c r="U33" s="207"/>
    </row>
    <row r="34" spans="2:21" x14ac:dyDescent="0.25">
      <c r="B34" s="36" t="s">
        <v>681</v>
      </c>
      <c r="C34" s="36"/>
      <c r="D34" s="36"/>
      <c r="E34" s="36"/>
      <c r="F34" s="979">
        <f>+(F24+F26+F32+F28)/F26</f>
        <v>0.8051509982258851</v>
      </c>
      <c r="G34" s="975">
        <f>+(G24+G26+G32+G28)/G26</f>
        <v>1.9494046506171079</v>
      </c>
      <c r="H34" s="207"/>
      <c r="I34" s="65" t="s">
        <v>684</v>
      </c>
      <c r="J34" s="475"/>
      <c r="K34" s="612" t="s">
        <v>1238</v>
      </c>
      <c r="L34" s="612"/>
      <c r="M34" s="295">
        <f>+M16</f>
        <v>3726527</v>
      </c>
      <c r="N34" s="295">
        <f>+N16</f>
        <v>3631930.2199999997</v>
      </c>
      <c r="O34" s="612"/>
      <c r="P34" s="612" t="s">
        <v>325</v>
      </c>
      <c r="Q34" s="207"/>
      <c r="R34" s="207"/>
      <c r="S34" s="207"/>
      <c r="T34" s="207"/>
      <c r="U34" s="207"/>
    </row>
    <row r="35" spans="2:21" x14ac:dyDescent="0.25">
      <c r="B35" s="36"/>
      <c r="C35" s="36"/>
      <c r="D35" s="36"/>
      <c r="E35" s="36"/>
      <c r="F35" s="972"/>
      <c r="G35" s="351"/>
      <c r="H35" s="207"/>
      <c r="I35" s="207"/>
      <c r="J35" s="475"/>
      <c r="K35" s="612"/>
      <c r="L35" s="612"/>
      <c r="M35" s="972"/>
      <c r="N35" s="972"/>
      <c r="O35" s="612"/>
      <c r="P35" s="612"/>
      <c r="Q35" s="207"/>
      <c r="R35" s="207"/>
      <c r="S35" s="207"/>
      <c r="T35" s="207"/>
      <c r="U35" s="207"/>
    </row>
    <row r="36" spans="2:21" x14ac:dyDescent="0.25">
      <c r="B36" s="36"/>
      <c r="C36" s="36"/>
      <c r="D36" s="36"/>
      <c r="E36" s="36"/>
      <c r="F36" s="207"/>
      <c r="G36" s="207"/>
      <c r="H36" s="207"/>
      <c r="I36" s="207"/>
      <c r="J36" s="475"/>
      <c r="K36" s="612" t="s">
        <v>1239</v>
      </c>
      <c r="L36" s="612"/>
      <c r="M36" s="976">
        <f>(+M24+M26+M30+M32+M28)/M34</f>
        <v>0.91662477958699828</v>
      </c>
      <c r="N36" s="977">
        <f>(+N24+N26+N30+N32+N28)/N34</f>
        <v>1.2905738639391833</v>
      </c>
      <c r="O36" s="612"/>
      <c r="P36" s="612" t="s">
        <v>1270</v>
      </c>
      <c r="Q36" s="207"/>
      <c r="R36" s="207"/>
      <c r="S36" s="207"/>
      <c r="T36" s="207"/>
      <c r="U36" s="207"/>
    </row>
    <row r="37" spans="2:21" x14ac:dyDescent="0.25">
      <c r="B37" s="36"/>
      <c r="C37" s="36"/>
      <c r="D37" s="36"/>
      <c r="E37" s="36"/>
      <c r="F37" s="207"/>
      <c r="G37" s="207"/>
      <c r="H37" s="207"/>
      <c r="I37" s="207"/>
      <c r="J37" s="475"/>
      <c r="K37" s="475"/>
      <c r="L37" s="475"/>
      <c r="M37" s="207"/>
      <c r="N37" s="207"/>
      <c r="O37" s="207"/>
      <c r="P37" s="207"/>
      <c r="Q37" s="207"/>
      <c r="R37" s="207"/>
      <c r="S37" s="207"/>
      <c r="T37" s="207"/>
      <c r="U37" s="207"/>
    </row>
    <row r="38" spans="2:21" ht="27" customHeight="1" x14ac:dyDescent="0.25">
      <c r="B38" s="505" t="s">
        <v>1488</v>
      </c>
      <c r="C38" s="498"/>
      <c r="D38" s="498"/>
      <c r="E38" s="498"/>
      <c r="F38" s="500"/>
      <c r="G38" s="500"/>
      <c r="H38" s="500"/>
      <c r="I38" s="500"/>
      <c r="J38" s="498"/>
      <c r="K38" s="501"/>
      <c r="L38" s="475"/>
      <c r="M38" s="475"/>
      <c r="N38" s="207"/>
      <c r="O38" s="207"/>
      <c r="P38" s="207"/>
      <c r="Q38" s="207"/>
      <c r="R38" s="207"/>
      <c r="S38" s="207"/>
      <c r="T38" s="207"/>
      <c r="U38" s="207"/>
    </row>
    <row r="39" spans="2:21" x14ac:dyDescent="0.25">
      <c r="B39" s="436"/>
      <c r="C39" s="436"/>
      <c r="D39" s="436"/>
      <c r="E39" s="436"/>
      <c r="F39" s="207"/>
      <c r="G39" s="207"/>
      <c r="H39" s="207"/>
      <c r="I39" s="207"/>
      <c r="J39" s="475"/>
      <c r="K39" s="475"/>
      <c r="L39" s="475"/>
      <c r="M39" s="475"/>
      <c r="N39" s="207"/>
      <c r="O39" s="207"/>
      <c r="P39" s="207"/>
      <c r="Q39" s="207"/>
      <c r="R39" s="207"/>
      <c r="S39" s="207"/>
      <c r="T39" s="207"/>
      <c r="U39" s="207"/>
    </row>
    <row r="40" spans="2:21" x14ac:dyDescent="0.25">
      <c r="B40" s="436" t="s">
        <v>1157</v>
      </c>
      <c r="C40" s="436"/>
      <c r="D40" s="436"/>
      <c r="E40" s="436"/>
      <c r="F40" s="295">
        <f>+'S1-Revenue Requirement'!C17</f>
        <v>2444574.46</v>
      </c>
      <c r="G40" s="295">
        <f>+'S1-Revenue Requirement'!E17</f>
        <v>2446470.2400000002</v>
      </c>
      <c r="H40" s="495"/>
      <c r="I40" s="65" t="s">
        <v>1149</v>
      </c>
      <c r="J40" s="475"/>
      <c r="K40" s="475"/>
      <c r="L40" s="475"/>
      <c r="M40" s="475"/>
      <c r="N40" s="207"/>
      <c r="O40" s="207"/>
      <c r="P40" s="207"/>
      <c r="Q40" s="207"/>
      <c r="R40" s="207"/>
      <c r="S40" s="207"/>
      <c r="T40" s="207"/>
      <c r="U40" s="207"/>
    </row>
    <row r="41" spans="2:21" x14ac:dyDescent="0.25">
      <c r="B41" s="436" t="s">
        <v>356</v>
      </c>
      <c r="C41" s="436"/>
      <c r="D41" s="436"/>
      <c r="E41" s="436"/>
      <c r="F41" s="295">
        <f>+F12</f>
        <v>1206298.6100000001</v>
      </c>
      <c r="G41" s="295">
        <f>+G12</f>
        <v>1149481.1900000002</v>
      </c>
      <c r="H41" s="495"/>
      <c r="I41" s="65" t="str">
        <f>+I12</f>
        <v>Schedule 1 Line 13</v>
      </c>
      <c r="J41" s="475"/>
      <c r="K41" s="475"/>
      <c r="L41" s="475"/>
      <c r="M41" s="475"/>
      <c r="N41" s="207"/>
      <c r="O41" s="207"/>
      <c r="P41" s="207"/>
      <c r="Q41" s="207"/>
      <c r="R41" s="207"/>
      <c r="S41" s="207"/>
      <c r="T41" s="207"/>
      <c r="U41" s="207"/>
    </row>
    <row r="42" spans="2:21" x14ac:dyDescent="0.25">
      <c r="B42" s="436" t="s">
        <v>1158</v>
      </c>
      <c r="C42" s="436"/>
      <c r="D42" s="436"/>
      <c r="E42" s="436"/>
      <c r="F42" s="295">
        <f>+F24</f>
        <v>-1385815.2200000025</v>
      </c>
      <c r="G42" s="295">
        <f>+G24</f>
        <v>-86728.262417112477</v>
      </c>
      <c r="H42" s="495"/>
      <c r="I42" s="65" t="s">
        <v>1142</v>
      </c>
      <c r="J42" s="475"/>
      <c r="K42" s="475"/>
      <c r="L42" s="475"/>
      <c r="M42" s="475"/>
      <c r="N42" s="207"/>
      <c r="O42" s="207"/>
      <c r="P42" s="207"/>
      <c r="Q42" s="207"/>
      <c r="R42" s="207"/>
      <c r="S42" s="207"/>
      <c r="T42" s="207"/>
      <c r="U42" s="207"/>
    </row>
    <row r="43" spans="2:21" x14ac:dyDescent="0.25">
      <c r="B43" s="636" t="s">
        <v>1159</v>
      </c>
      <c r="C43" s="636"/>
      <c r="D43" s="636"/>
      <c r="E43" s="636"/>
      <c r="F43" s="295">
        <f>-'S1-Revenue Requirement'!C24</f>
        <v>1141319.73</v>
      </c>
      <c r="G43" s="295">
        <f>-'S1-Revenue Requirement'!E24</f>
        <v>1168601.6399999999</v>
      </c>
      <c r="H43" s="636"/>
      <c r="I43" s="640" t="s">
        <v>1146</v>
      </c>
      <c r="J43" s="475"/>
      <c r="K43" s="475"/>
      <c r="L43" s="475"/>
      <c r="M43" s="475"/>
      <c r="N43" s="207"/>
      <c r="O43" s="207"/>
      <c r="P43" s="207"/>
      <c r="Q43" s="207"/>
      <c r="R43" s="207"/>
      <c r="S43" s="207"/>
      <c r="T43" s="207"/>
      <c r="U43" s="207"/>
    </row>
    <row r="44" spans="2:21" x14ac:dyDescent="0.25">
      <c r="B44" s="436" t="s">
        <v>1160</v>
      </c>
      <c r="C44" s="436"/>
      <c r="D44" s="436"/>
      <c r="E44" s="436"/>
      <c r="F44" s="295">
        <f>-'S1-Revenue Requirement'!C26</f>
        <v>53512.89</v>
      </c>
      <c r="G44" s="295">
        <f>-'S1-Revenue Requirement'!E26</f>
        <v>53512.89</v>
      </c>
      <c r="H44" s="495"/>
      <c r="I44" s="65" t="s">
        <v>1147</v>
      </c>
      <c r="J44" s="475"/>
      <c r="K44" s="475"/>
      <c r="L44" s="475"/>
      <c r="M44" s="475"/>
      <c r="N44" s="207"/>
      <c r="O44" s="207"/>
      <c r="P44" s="207"/>
      <c r="Q44" s="207"/>
      <c r="R44" s="207"/>
      <c r="S44" s="207"/>
      <c r="T44" s="207"/>
      <c r="U44" s="207"/>
    </row>
    <row r="45" spans="2:21" s="509" customFormat="1" x14ac:dyDescent="0.25">
      <c r="B45" s="508" t="s">
        <v>1156</v>
      </c>
      <c r="C45" s="508"/>
      <c r="D45" s="508"/>
      <c r="E45" s="508"/>
      <c r="F45" s="295">
        <f>SUM(F40:F44)</f>
        <v>3459890.4699999979</v>
      </c>
      <c r="G45" s="295">
        <f>SUM(G40:G44)</f>
        <v>4731337.6975828875</v>
      </c>
      <c r="H45" s="508"/>
      <c r="I45" s="65"/>
      <c r="J45" s="508"/>
      <c r="K45" s="508"/>
      <c r="L45" s="508"/>
      <c r="M45" s="508"/>
      <c r="N45" s="207"/>
      <c r="O45" s="207"/>
      <c r="P45" s="207"/>
      <c r="Q45" s="207"/>
      <c r="R45" s="207"/>
      <c r="S45" s="207"/>
      <c r="T45" s="207"/>
      <c r="U45" s="207"/>
    </row>
    <row r="46" spans="2:21" x14ac:dyDescent="0.25">
      <c r="B46" s="436" t="s">
        <v>1161</v>
      </c>
      <c r="C46" s="436"/>
      <c r="D46" s="436"/>
      <c r="E46" s="436"/>
      <c r="F46" s="980">
        <f>+'Trial Balance'!C292+'Trial Balance'!C293+'Trial Balance'!C294+'Trial Balance'!C295+'Trial Balance'!C296</f>
        <v>474817.88999999996</v>
      </c>
      <c r="G46" s="295">
        <f>+G47</f>
        <v>474817.88999999996</v>
      </c>
      <c r="H46" s="495"/>
      <c r="I46" s="65" t="s">
        <v>1148</v>
      </c>
      <c r="J46" s="475"/>
      <c r="K46" s="475"/>
      <c r="L46" s="475"/>
      <c r="M46" s="475"/>
      <c r="N46" s="207"/>
      <c r="O46" s="207"/>
      <c r="P46" s="207"/>
      <c r="Q46" s="207"/>
      <c r="R46" s="207"/>
      <c r="S46" s="207"/>
      <c r="T46" s="207"/>
      <c r="U46" s="207"/>
    </row>
    <row r="47" spans="2:21" x14ac:dyDescent="0.25">
      <c r="B47" s="436" t="s">
        <v>1162</v>
      </c>
      <c r="C47" s="436"/>
      <c r="D47" s="436"/>
      <c r="E47" s="436"/>
      <c r="F47" s="471">
        <v>457086.12</v>
      </c>
      <c r="G47" s="295">
        <f>+F46</f>
        <v>474817.88999999996</v>
      </c>
      <c r="H47" s="495"/>
      <c r="I47" s="65" t="s">
        <v>1148</v>
      </c>
      <c r="J47" s="475"/>
      <c r="K47" s="475"/>
      <c r="L47" s="475"/>
      <c r="M47" s="475"/>
      <c r="N47" s="207"/>
      <c r="O47" s="207"/>
      <c r="P47" s="207"/>
      <c r="Q47" s="207"/>
      <c r="R47" s="207"/>
      <c r="S47" s="207"/>
      <c r="T47" s="207"/>
      <c r="U47" s="207"/>
    </row>
    <row r="48" spans="2:21" s="509" customFormat="1" x14ac:dyDescent="0.25">
      <c r="B48" s="508" t="s">
        <v>1163</v>
      </c>
      <c r="C48" s="508"/>
      <c r="D48" s="508"/>
      <c r="E48" s="508"/>
      <c r="F48" s="471">
        <f>+F46-F47</f>
        <v>17731.76999999996</v>
      </c>
      <c r="G48" s="471">
        <v>0</v>
      </c>
      <c r="H48" s="508"/>
      <c r="I48" s="65"/>
      <c r="J48" s="508"/>
      <c r="K48" s="508"/>
      <c r="L48" s="508"/>
      <c r="M48" s="508"/>
      <c r="N48" s="207"/>
      <c r="O48" s="207"/>
      <c r="P48" s="207"/>
      <c r="Q48" s="207"/>
      <c r="R48" s="207"/>
      <c r="S48" s="207"/>
      <c r="T48" s="207"/>
      <c r="U48" s="207"/>
    </row>
    <row r="49" spans="2:21" x14ac:dyDescent="0.25">
      <c r="B49" s="436" t="s">
        <v>1164</v>
      </c>
      <c r="C49" s="436"/>
      <c r="D49" s="436"/>
      <c r="E49" s="436"/>
      <c r="F49" s="471">
        <f>924862+928884+926796+945985</f>
        <v>3726527</v>
      </c>
      <c r="G49" s="1099">
        <f>1149481.19+2482449.03</f>
        <v>3631930.2199999997</v>
      </c>
      <c r="H49" s="495"/>
      <c r="I49" s="65" t="s">
        <v>325</v>
      </c>
      <c r="J49" s="1161"/>
      <c r="K49" s="1162"/>
      <c r="L49" s="1162"/>
      <c r="M49" s="475"/>
      <c r="N49" s="207"/>
      <c r="O49" s="207"/>
      <c r="P49" s="207"/>
      <c r="Q49" s="207"/>
      <c r="R49" s="207"/>
      <c r="S49" s="207"/>
      <c r="T49" s="207"/>
      <c r="U49" s="207"/>
    </row>
    <row r="50" spans="2:21" x14ac:dyDescent="0.25">
      <c r="B50" s="436"/>
      <c r="C50" s="436"/>
      <c r="D50" s="436"/>
      <c r="E50" s="436"/>
      <c r="F50" s="207"/>
      <c r="G50" s="207"/>
      <c r="H50" s="207"/>
      <c r="I50" s="207"/>
      <c r="J50" s="475"/>
      <c r="K50" s="475"/>
      <c r="L50" s="475"/>
      <c r="M50" s="475"/>
      <c r="N50" s="207"/>
      <c r="O50" s="207"/>
      <c r="P50" s="207"/>
      <c r="Q50" s="207"/>
      <c r="R50" s="207"/>
      <c r="S50" s="207"/>
      <c r="T50" s="207"/>
      <c r="U50" s="207"/>
    </row>
    <row r="51" spans="2:21" x14ac:dyDescent="0.25">
      <c r="B51" s="436" t="s">
        <v>1165</v>
      </c>
      <c r="C51" s="436"/>
      <c r="D51" s="436"/>
      <c r="E51" s="436"/>
      <c r="F51" s="976">
        <f>(+F45-F48)/F49</f>
        <v>0.92369079842974378</v>
      </c>
      <c r="G51" s="977">
        <f>(+G45-G48)/G49</f>
        <v>1.3027061124491781</v>
      </c>
      <c r="H51" s="207"/>
      <c r="I51" s="65" t="s">
        <v>1166</v>
      </c>
      <c r="J51" s="475"/>
      <c r="K51" s="475"/>
      <c r="L51" s="475"/>
      <c r="M51" s="475"/>
      <c r="N51" s="207"/>
      <c r="O51" s="207"/>
      <c r="P51" s="207"/>
      <c r="Q51" s="207"/>
      <c r="R51" s="207"/>
      <c r="S51" s="207"/>
      <c r="T51" s="207"/>
      <c r="U51" s="207"/>
    </row>
    <row r="52" spans="2:21" x14ac:dyDescent="0.25">
      <c r="B52" s="436"/>
      <c r="C52" s="436"/>
      <c r="D52" s="436"/>
      <c r="E52" s="436"/>
      <c r="F52" s="510"/>
      <c r="G52" s="510"/>
      <c r="H52" s="207"/>
      <c r="I52" s="207"/>
      <c r="J52" s="475"/>
      <c r="K52" s="475"/>
      <c r="L52" s="475"/>
      <c r="M52" s="475"/>
      <c r="N52" s="207"/>
      <c r="O52" s="207"/>
      <c r="P52" s="207"/>
      <c r="Q52" s="207"/>
      <c r="R52" s="207"/>
      <c r="S52" s="207"/>
      <c r="T52" s="207"/>
      <c r="U52" s="207"/>
    </row>
    <row r="53" spans="2:21" x14ac:dyDescent="0.25">
      <c r="B53" s="436"/>
      <c r="C53" s="436"/>
      <c r="D53" s="436"/>
      <c r="E53" s="436"/>
      <c r="F53" s="207"/>
      <c r="G53" s="207"/>
      <c r="H53" s="207"/>
      <c r="I53" s="207"/>
      <c r="J53" s="475"/>
      <c r="K53" s="475"/>
      <c r="L53" s="475"/>
      <c r="M53" s="475"/>
      <c r="N53" s="207"/>
      <c r="O53" s="207"/>
      <c r="P53" s="207"/>
      <c r="Q53" s="207"/>
      <c r="R53" s="207"/>
      <c r="S53" s="207"/>
      <c r="T53" s="207"/>
      <c r="U53" s="207"/>
    </row>
    <row r="54" spans="2:21" x14ac:dyDescent="0.25">
      <c r="B54" s="436"/>
      <c r="C54" s="436"/>
      <c r="D54" s="436"/>
      <c r="E54" s="436"/>
      <c r="F54" s="207"/>
      <c r="G54" s="207"/>
      <c r="H54" s="207"/>
      <c r="I54" s="207"/>
      <c r="J54" s="475"/>
      <c r="K54" s="475"/>
      <c r="L54" s="475"/>
      <c r="M54" s="475"/>
      <c r="N54" s="207"/>
      <c r="O54" s="207"/>
      <c r="P54" s="207"/>
      <c r="Q54" s="207"/>
      <c r="R54" s="207"/>
      <c r="S54" s="207"/>
      <c r="T54" s="207"/>
      <c r="U54" s="207"/>
    </row>
    <row r="55" spans="2:21" x14ac:dyDescent="0.25">
      <c r="B55" s="436"/>
      <c r="C55" s="436"/>
      <c r="D55" s="436"/>
      <c r="E55" s="436"/>
      <c r="F55" s="207"/>
      <c r="G55" s="207"/>
      <c r="H55" s="207"/>
      <c r="I55" s="207"/>
      <c r="J55" s="475"/>
      <c r="K55" s="475"/>
      <c r="L55" s="475"/>
      <c r="M55" s="475"/>
      <c r="N55" s="207"/>
      <c r="O55" s="207"/>
      <c r="P55" s="207"/>
      <c r="Q55" s="207"/>
      <c r="R55" s="207"/>
      <c r="S55" s="207"/>
      <c r="T55" s="207"/>
      <c r="U55" s="207"/>
    </row>
    <row r="56" spans="2:21" x14ac:dyDescent="0.25">
      <c r="B56" s="436"/>
      <c r="C56" s="436"/>
      <c r="D56" s="436"/>
      <c r="E56" s="436"/>
      <c r="F56" s="207"/>
      <c r="G56" s="207"/>
      <c r="H56" s="207"/>
      <c r="I56" s="207"/>
      <c r="J56" s="475"/>
      <c r="K56" s="475"/>
      <c r="L56" s="475"/>
      <c r="M56" s="475"/>
      <c r="N56" s="207"/>
      <c r="O56" s="207"/>
      <c r="P56" s="207"/>
      <c r="Q56" s="207"/>
      <c r="R56" s="207"/>
      <c r="S56" s="207"/>
      <c r="T56" s="207"/>
      <c r="U56" s="207"/>
    </row>
    <row r="57" spans="2:21" x14ac:dyDescent="0.25">
      <c r="B57" s="436"/>
      <c r="C57" s="436"/>
      <c r="D57" s="436"/>
      <c r="E57" s="436"/>
      <c r="F57" s="207"/>
      <c r="G57" s="207"/>
      <c r="H57" s="207"/>
      <c r="I57" s="207"/>
      <c r="J57" s="475"/>
      <c r="K57" s="475"/>
      <c r="L57" s="475"/>
      <c r="M57" s="475"/>
      <c r="N57" s="207"/>
      <c r="O57" s="207"/>
      <c r="P57" s="207"/>
      <c r="Q57" s="207"/>
      <c r="R57" s="207"/>
      <c r="S57" s="207"/>
      <c r="T57" s="207"/>
      <c r="U57" s="207"/>
    </row>
    <row r="58" spans="2:21" x14ac:dyDescent="0.25">
      <c r="B58" s="436"/>
      <c r="C58" s="436"/>
      <c r="D58" s="436"/>
      <c r="E58" s="436"/>
      <c r="F58" s="207"/>
      <c r="G58" s="207"/>
      <c r="H58" s="207"/>
      <c r="I58" s="207"/>
      <c r="J58" s="475"/>
      <c r="K58" s="475"/>
      <c r="L58" s="475"/>
      <c r="M58" s="475"/>
      <c r="N58" s="207"/>
      <c r="O58" s="207"/>
      <c r="P58" s="207"/>
      <c r="Q58" s="207"/>
      <c r="R58" s="207"/>
      <c r="S58" s="207"/>
      <c r="T58" s="207"/>
      <c r="U58" s="207"/>
    </row>
    <row r="59" spans="2:21" x14ac:dyDescent="0.25">
      <c r="B59" s="436"/>
      <c r="C59" s="436"/>
      <c r="D59" s="436"/>
      <c r="E59" s="436"/>
      <c r="F59" s="207"/>
      <c r="G59" s="207"/>
      <c r="H59" s="207"/>
      <c r="I59" s="207"/>
      <c r="J59" s="475"/>
      <c r="K59" s="475"/>
      <c r="L59" s="475"/>
      <c r="M59" s="475"/>
      <c r="N59" s="207"/>
      <c r="O59" s="207"/>
      <c r="P59" s="207"/>
      <c r="Q59" s="207"/>
      <c r="R59" s="207"/>
      <c r="S59" s="207"/>
      <c r="T59" s="207"/>
      <c r="U59" s="207"/>
    </row>
    <row r="60" spans="2:21" x14ac:dyDescent="0.25">
      <c r="B60" s="436"/>
      <c r="C60" s="436"/>
      <c r="D60" s="436"/>
      <c r="E60" s="436"/>
      <c r="F60" s="207"/>
      <c r="G60" s="207"/>
      <c r="H60" s="207"/>
      <c r="I60" s="207"/>
      <c r="J60" s="475"/>
      <c r="K60" s="475"/>
      <c r="L60" s="475"/>
      <c r="M60" s="475"/>
      <c r="N60" s="207"/>
      <c r="O60" s="207"/>
      <c r="P60" s="207"/>
      <c r="Q60" s="207"/>
      <c r="R60" s="207"/>
      <c r="S60" s="207"/>
      <c r="T60" s="207"/>
      <c r="U60" s="207"/>
    </row>
    <row r="61" spans="2:21" x14ac:dyDescent="0.25">
      <c r="B61" s="436"/>
      <c r="C61" s="436"/>
      <c r="D61" s="436"/>
      <c r="E61" s="436"/>
      <c r="F61" s="207"/>
      <c r="G61" s="207"/>
      <c r="H61" s="207"/>
      <c r="I61" s="207"/>
      <c r="J61" s="475"/>
      <c r="K61" s="475"/>
      <c r="L61" s="475"/>
      <c r="M61" s="475"/>
      <c r="N61" s="207"/>
      <c r="O61" s="207"/>
      <c r="P61" s="207"/>
      <c r="Q61" s="207"/>
      <c r="R61" s="207"/>
      <c r="S61" s="207"/>
      <c r="T61" s="207"/>
      <c r="U61" s="207"/>
    </row>
    <row r="62" spans="2:21" x14ac:dyDescent="0.25">
      <c r="B62" s="436"/>
      <c r="C62" s="436"/>
      <c r="D62" s="436"/>
      <c r="E62" s="436"/>
      <c r="F62" s="207"/>
      <c r="G62" s="207"/>
      <c r="H62" s="207"/>
      <c r="I62" s="207"/>
      <c r="J62" s="475"/>
      <c r="K62" s="475"/>
      <c r="L62" s="475"/>
      <c r="M62" s="475"/>
      <c r="N62" s="207"/>
      <c r="O62" s="207"/>
      <c r="P62" s="207"/>
      <c r="Q62" s="207"/>
      <c r="R62" s="207"/>
      <c r="S62" s="207"/>
      <c r="T62" s="207"/>
      <c r="U62" s="207"/>
    </row>
    <row r="63" spans="2:21" x14ac:dyDescent="0.25">
      <c r="B63" s="436"/>
      <c r="C63" s="436"/>
      <c r="D63" s="436"/>
      <c r="E63" s="436"/>
      <c r="F63" s="207"/>
      <c r="G63" s="207"/>
      <c r="H63" s="207"/>
      <c r="I63" s="207"/>
      <c r="J63" s="475"/>
      <c r="K63" s="475"/>
      <c r="L63" s="475"/>
      <c r="M63" s="475"/>
      <c r="N63" s="207"/>
      <c r="O63" s="207"/>
      <c r="P63" s="207"/>
      <c r="Q63" s="207"/>
      <c r="R63" s="207"/>
      <c r="S63" s="207"/>
      <c r="T63" s="207"/>
      <c r="U63" s="207"/>
    </row>
    <row r="64" spans="2:21" x14ac:dyDescent="0.25">
      <c r="B64" s="436"/>
      <c r="C64" s="436"/>
      <c r="D64" s="436"/>
      <c r="E64" s="436"/>
      <c r="F64" s="207"/>
      <c r="G64" s="207"/>
      <c r="H64" s="207"/>
      <c r="I64" s="207"/>
      <c r="J64" s="475"/>
      <c r="K64" s="475"/>
      <c r="L64" s="475"/>
      <c r="M64" s="475"/>
      <c r="N64" s="207"/>
      <c r="O64" s="207"/>
      <c r="P64" s="207"/>
      <c r="Q64" s="207"/>
      <c r="R64" s="207"/>
      <c r="S64" s="207"/>
      <c r="T64" s="207"/>
      <c r="U64" s="207"/>
    </row>
    <row r="65" spans="2:21" x14ac:dyDescent="0.25">
      <c r="B65" s="436"/>
      <c r="C65" s="436"/>
      <c r="D65" s="436"/>
      <c r="E65" s="436"/>
      <c r="F65" s="207"/>
      <c r="G65" s="207"/>
      <c r="H65" s="207"/>
      <c r="I65" s="207"/>
      <c r="J65" s="475"/>
      <c r="K65" s="475"/>
      <c r="L65" s="475"/>
      <c r="M65" s="475"/>
      <c r="N65" s="207"/>
      <c r="O65" s="207"/>
      <c r="P65" s="207"/>
      <c r="Q65" s="207"/>
      <c r="R65" s="207"/>
      <c r="S65" s="207"/>
      <c r="T65" s="207"/>
      <c r="U65" s="207"/>
    </row>
    <row r="66" spans="2:21" x14ac:dyDescent="0.25">
      <c r="B66" s="436"/>
      <c r="C66" s="436"/>
      <c r="D66" s="436"/>
      <c r="E66" s="436"/>
      <c r="F66" s="207"/>
      <c r="G66" s="207"/>
      <c r="H66" s="207"/>
      <c r="I66" s="207"/>
      <c r="J66" s="475"/>
      <c r="K66" s="475"/>
      <c r="L66" s="475"/>
      <c r="M66" s="475"/>
      <c r="N66" s="207"/>
      <c r="O66" s="207"/>
      <c r="P66" s="207"/>
      <c r="Q66" s="207"/>
      <c r="R66" s="207"/>
      <c r="S66" s="207"/>
      <c r="T66" s="207"/>
      <c r="U66" s="207"/>
    </row>
    <row r="67" spans="2:21" x14ac:dyDescent="0.25">
      <c r="B67" s="436"/>
      <c r="C67" s="436"/>
      <c r="D67" s="436"/>
      <c r="E67" s="436"/>
      <c r="F67" s="207"/>
      <c r="G67" s="207"/>
      <c r="H67" s="207"/>
      <c r="I67" s="207"/>
      <c r="J67" s="475"/>
      <c r="K67" s="475"/>
      <c r="L67" s="475"/>
      <c r="M67" s="475"/>
      <c r="N67" s="207"/>
      <c r="O67" s="207"/>
      <c r="P67" s="207"/>
      <c r="Q67" s="207"/>
      <c r="R67" s="207"/>
      <c r="S67" s="207"/>
      <c r="T67" s="207"/>
      <c r="U67" s="207"/>
    </row>
    <row r="68" spans="2:21" x14ac:dyDescent="0.25">
      <c r="B68" s="436"/>
      <c r="C68" s="436"/>
      <c r="D68" s="436"/>
      <c r="E68" s="436"/>
      <c r="F68" s="207"/>
      <c r="G68" s="207"/>
      <c r="H68" s="207"/>
      <c r="I68" s="207"/>
      <c r="J68" s="475"/>
      <c r="K68" s="475"/>
      <c r="L68" s="475"/>
      <c r="M68" s="475"/>
      <c r="N68" s="207"/>
      <c r="O68" s="207"/>
      <c r="P68" s="207"/>
      <c r="Q68" s="207"/>
    </row>
    <row r="69" spans="2:21" x14ac:dyDescent="0.25">
      <c r="F69" s="205"/>
      <c r="G69" s="342"/>
      <c r="H69" s="337"/>
      <c r="I69" s="337"/>
      <c r="J69" s="475"/>
      <c r="K69" s="475"/>
      <c r="L69" s="475"/>
      <c r="M69" s="475"/>
      <c r="N69" s="207"/>
      <c r="O69" s="207"/>
      <c r="P69" s="207"/>
      <c r="Q69" s="207"/>
    </row>
    <row r="70" spans="2:21" x14ac:dyDescent="0.25">
      <c r="J70" s="475"/>
      <c r="K70" s="475"/>
      <c r="L70" s="475"/>
      <c r="M70" s="475"/>
      <c r="N70" s="207"/>
      <c r="O70" s="207"/>
      <c r="P70" s="207"/>
      <c r="Q70" s="207"/>
    </row>
    <row r="71" spans="2:21" x14ac:dyDescent="0.25">
      <c r="G71" s="343"/>
      <c r="J71" s="475"/>
      <c r="K71" s="475"/>
      <c r="L71" s="475"/>
      <c r="M71" s="475"/>
      <c r="N71" s="207"/>
      <c r="O71" s="207"/>
      <c r="P71" s="207"/>
      <c r="Q71" s="207"/>
    </row>
    <row r="72" spans="2:21" x14ac:dyDescent="0.25">
      <c r="J72" s="475"/>
      <c r="K72" s="475"/>
      <c r="L72" s="475"/>
      <c r="M72" s="475"/>
      <c r="N72" s="207"/>
      <c r="O72" s="207"/>
      <c r="P72" s="207"/>
      <c r="Q72" s="207"/>
    </row>
    <row r="73" spans="2:21" x14ac:dyDescent="0.25">
      <c r="J73" s="475"/>
      <c r="K73" s="475"/>
      <c r="L73" s="475"/>
      <c r="M73" s="475"/>
      <c r="N73" s="207"/>
      <c r="O73" s="207"/>
      <c r="P73" s="207"/>
      <c r="Q73" s="207"/>
    </row>
    <row r="74" spans="2:21" x14ac:dyDescent="0.25">
      <c r="J74" s="475"/>
      <c r="K74" s="475"/>
      <c r="L74" s="475"/>
      <c r="M74" s="475"/>
      <c r="N74" s="207"/>
      <c r="O74" s="207"/>
      <c r="P74" s="207"/>
      <c r="Q74" s="207"/>
    </row>
    <row r="75" spans="2:21" x14ac:dyDescent="0.25">
      <c r="J75" s="475"/>
      <c r="K75" s="475"/>
      <c r="L75" s="475"/>
      <c r="M75" s="475"/>
      <c r="N75" s="207"/>
      <c r="O75" s="207"/>
      <c r="P75" s="207"/>
      <c r="Q75" s="207"/>
    </row>
    <row r="76" spans="2:21" x14ac:dyDescent="0.25">
      <c r="J76" s="475"/>
      <c r="K76" s="475"/>
      <c r="L76" s="475"/>
      <c r="M76" s="475"/>
      <c r="N76" s="207"/>
      <c r="O76" s="207"/>
      <c r="P76" s="207"/>
      <c r="Q76" s="207"/>
    </row>
    <row r="77" spans="2:21" x14ac:dyDescent="0.25">
      <c r="J77" s="475"/>
      <c r="K77" s="475"/>
      <c r="L77" s="475"/>
      <c r="M77" s="475"/>
      <c r="N77" s="207"/>
      <c r="O77" s="207"/>
      <c r="P77" s="207"/>
      <c r="Q77" s="207"/>
    </row>
    <row r="78" spans="2:21" x14ac:dyDescent="0.25">
      <c r="J78" s="475"/>
      <c r="K78" s="475"/>
      <c r="L78" s="475"/>
      <c r="M78" s="475"/>
      <c r="N78" s="207"/>
      <c r="O78" s="207"/>
      <c r="P78" s="207"/>
      <c r="Q78" s="207"/>
    </row>
    <row r="79" spans="2:21" x14ac:dyDescent="0.25">
      <c r="J79" s="475"/>
      <c r="K79" s="475"/>
      <c r="L79" s="475"/>
      <c r="M79" s="475"/>
      <c r="N79" s="207"/>
      <c r="O79" s="207"/>
      <c r="P79" s="207"/>
      <c r="Q79" s="207"/>
    </row>
    <row r="80" spans="2:21" x14ac:dyDescent="0.25">
      <c r="K80" s="475"/>
      <c r="L80" s="475"/>
      <c r="M80" s="475"/>
      <c r="N80" s="207"/>
    </row>
    <row r="81" spans="11:14" x14ac:dyDescent="0.25">
      <c r="K81" s="475"/>
      <c r="L81" s="475"/>
      <c r="M81" s="475"/>
      <c r="N81" s="207"/>
    </row>
  </sheetData>
  <phoneticPr fontId="12" type="noConversion"/>
  <pageMargins left="0.75" right="0.75" top="1" bottom="1" header="0.5" footer="0.5"/>
  <pageSetup scale="56" orientation="landscape" r:id="rId1"/>
  <headerFooter alignWithMargins="0">
    <oddHeader>&amp;RS12</oddHeader>
    <oddFooter>&amp;L&amp;Z&amp;F&amp;R&amp;T&amp;D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M59"/>
  <sheetViews>
    <sheetView topLeftCell="A26" workbookViewId="0">
      <selection activeCell="F20" sqref="F20"/>
    </sheetView>
  </sheetViews>
  <sheetFormatPr defaultColWidth="11.08984375" defaultRowHeight="13.2" x14ac:dyDescent="0.25"/>
  <cols>
    <col min="1" max="3" width="11.08984375" style="64" customWidth="1"/>
    <col min="4" max="4" width="13.453125" style="64" customWidth="1"/>
    <col min="5" max="6" width="11.08984375" style="64" customWidth="1"/>
    <col min="7" max="7" width="2.453125" style="64" customWidth="1"/>
    <col min="8" max="16384" width="11.08984375" style="64"/>
  </cols>
  <sheetData>
    <row r="1" spans="1:12" x14ac:dyDescent="0.25">
      <c r="A1" s="62" t="s">
        <v>747</v>
      </c>
    </row>
    <row r="2" spans="1:12" x14ac:dyDescent="0.25">
      <c r="A2" s="64" t="s">
        <v>326</v>
      </c>
      <c r="B2" s="309"/>
      <c r="C2" s="309"/>
    </row>
    <row r="3" spans="1:12" x14ac:dyDescent="0.25">
      <c r="A3" s="309" t="s">
        <v>766</v>
      </c>
      <c r="B3" s="309"/>
      <c r="C3" s="309"/>
    </row>
    <row r="5" spans="1:12" x14ac:dyDescent="0.25">
      <c r="A5" s="1314" t="s">
        <v>767</v>
      </c>
      <c r="B5" s="1314"/>
      <c r="C5" s="1314"/>
      <c r="D5" s="1314"/>
      <c r="E5" s="1314"/>
      <c r="F5" s="1314"/>
      <c r="G5" s="184"/>
    </row>
    <row r="7" spans="1:12" x14ac:dyDescent="0.25">
      <c r="A7" s="182" t="s">
        <v>327</v>
      </c>
      <c r="F7" s="300" t="s">
        <v>0</v>
      </c>
      <c r="H7" s="326" t="s">
        <v>333</v>
      </c>
      <c r="I7" s="228"/>
    </row>
    <row r="8" spans="1:12" x14ac:dyDescent="0.25">
      <c r="A8" s="309" t="s">
        <v>1424</v>
      </c>
      <c r="B8" s="309"/>
      <c r="C8" s="309"/>
      <c r="D8" s="309"/>
      <c r="E8" s="309"/>
      <c r="F8" s="881">
        <v>65251377.359999999</v>
      </c>
      <c r="G8" s="185"/>
      <c r="H8" s="64" t="s">
        <v>630</v>
      </c>
      <c r="I8" s="228"/>
    </row>
    <row r="9" spans="1:12" x14ac:dyDescent="0.25">
      <c r="A9" s="309" t="s">
        <v>1425</v>
      </c>
      <c r="B9" s="309"/>
      <c r="C9" s="309"/>
      <c r="D9" s="309"/>
      <c r="E9" s="309"/>
      <c r="F9" s="881">
        <v>25533644.16</v>
      </c>
      <c r="G9" s="185"/>
      <c r="H9" s="64" t="s">
        <v>630</v>
      </c>
      <c r="I9" s="228"/>
    </row>
    <row r="10" spans="1:12" x14ac:dyDescent="0.25">
      <c r="A10" s="64" t="s">
        <v>74</v>
      </c>
      <c r="C10" s="228"/>
      <c r="F10" s="881">
        <f>+'S8 - Depreciation'!E9</f>
        <v>2446470.2400000002</v>
      </c>
      <c r="G10" s="185"/>
      <c r="H10" s="64" t="s">
        <v>184</v>
      </c>
      <c r="I10" s="228"/>
    </row>
    <row r="11" spans="1:12" hidden="1" x14ac:dyDescent="0.25">
      <c r="A11" s="64" t="s">
        <v>41</v>
      </c>
      <c r="B11" s="228"/>
      <c r="C11" s="228"/>
      <c r="F11" s="535">
        <v>0</v>
      </c>
      <c r="G11" s="185"/>
      <c r="H11" s="64" t="s">
        <v>293</v>
      </c>
      <c r="I11" s="228"/>
    </row>
    <row r="12" spans="1:12" hidden="1" x14ac:dyDescent="0.25">
      <c r="A12" s="228" t="s">
        <v>186</v>
      </c>
      <c r="B12" s="228"/>
      <c r="C12" s="228"/>
      <c r="F12" s="535">
        <v>0</v>
      </c>
      <c r="G12" s="185"/>
      <c r="I12" s="228"/>
    </row>
    <row r="13" spans="1:12" x14ac:dyDescent="0.25">
      <c r="A13" s="64" t="s">
        <v>328</v>
      </c>
      <c r="F13" s="1163">
        <v>-160392</v>
      </c>
      <c r="G13" s="1164"/>
      <c r="H13" s="1165" t="s">
        <v>1275</v>
      </c>
      <c r="I13" s="1166"/>
      <c r="J13" s="1165"/>
      <c r="K13" s="1165"/>
      <c r="L13" s="1165"/>
    </row>
    <row r="14" spans="1:12" x14ac:dyDescent="0.25">
      <c r="A14" s="64" t="s">
        <v>329</v>
      </c>
      <c r="F14" s="1164">
        <f>1962418+160392-185382</f>
        <v>1937428</v>
      </c>
      <c r="G14" s="1164"/>
      <c r="H14" s="1165" t="s">
        <v>1276</v>
      </c>
      <c r="I14" s="1166"/>
      <c r="J14" s="1165"/>
      <c r="K14" s="1165"/>
      <c r="L14" s="1165"/>
    </row>
    <row r="15" spans="1:12" x14ac:dyDescent="0.25">
      <c r="A15" s="64" t="s">
        <v>188</v>
      </c>
      <c r="B15" s="228"/>
      <c r="C15" s="228"/>
      <c r="F15" s="881">
        <f>+'S9 - Interest Exp'!E25+'S9 - Interest Exp'!E29</f>
        <v>1149481.19</v>
      </c>
      <c r="G15" s="185"/>
      <c r="H15" s="64" t="s">
        <v>187</v>
      </c>
      <c r="I15" s="228"/>
    </row>
    <row r="16" spans="1:12" x14ac:dyDescent="0.25">
      <c r="A16" s="64" t="s">
        <v>1133</v>
      </c>
      <c r="B16" s="228"/>
      <c r="C16" s="228"/>
      <c r="F16" s="881">
        <f>+'S12 - Ratio Calcs'!G49-'S12 - Ratio Calcs'!G12</f>
        <v>2482449.0299999993</v>
      </c>
      <c r="G16" s="387"/>
      <c r="H16" s="64" t="s">
        <v>857</v>
      </c>
      <c r="I16" s="228"/>
    </row>
    <row r="17" spans="1:9" x14ac:dyDescent="0.25">
      <c r="A17" s="309" t="s">
        <v>1346</v>
      </c>
      <c r="F17" s="1167">
        <f>+F9/F8</f>
        <v>0.39131195682089126</v>
      </c>
      <c r="G17" s="186"/>
      <c r="H17" s="64" t="s">
        <v>630</v>
      </c>
      <c r="I17" s="228"/>
    </row>
    <row r="18" spans="1:9" x14ac:dyDescent="0.25">
      <c r="A18" s="64" t="s">
        <v>330</v>
      </c>
      <c r="B18" s="228"/>
      <c r="C18" s="228"/>
      <c r="F18" s="881">
        <f>+'S1-Revenue Requirement'!E36</f>
        <v>1149481.1900000002</v>
      </c>
      <c r="G18" s="185"/>
      <c r="H18" s="64" t="s">
        <v>1138</v>
      </c>
      <c r="I18" s="228"/>
    </row>
    <row r="19" spans="1:9" x14ac:dyDescent="0.25">
      <c r="A19" s="64" t="s">
        <v>331</v>
      </c>
      <c r="B19" s="228"/>
      <c r="C19" s="228"/>
      <c r="F19" s="1167">
        <f>+F18/((F9+(F9+F18-F20))/2)</f>
        <v>4.4367149896450582E-2</v>
      </c>
      <c r="G19" s="379"/>
      <c r="H19" s="228"/>
      <c r="I19" s="228"/>
    </row>
    <row r="20" spans="1:9" x14ac:dyDescent="0.25">
      <c r="A20" s="64" t="s">
        <v>28</v>
      </c>
      <c r="F20" s="881">
        <v>400000</v>
      </c>
      <c r="G20" s="387"/>
      <c r="H20" s="228"/>
      <c r="I20" s="228"/>
    </row>
    <row r="21" spans="1:9" x14ac:dyDescent="0.25">
      <c r="F21" s="560"/>
      <c r="G21" s="387"/>
      <c r="H21" s="228"/>
      <c r="I21" s="228"/>
    </row>
    <row r="22" spans="1:9" x14ac:dyDescent="0.25">
      <c r="F22" s="387"/>
      <c r="G22" s="387"/>
      <c r="H22" s="228"/>
      <c r="I22" s="228"/>
    </row>
    <row r="23" spans="1:9" x14ac:dyDescent="0.25">
      <c r="F23" s="228"/>
      <c r="G23" s="228"/>
      <c r="H23" s="228"/>
      <c r="I23" s="228"/>
    </row>
    <row r="24" spans="1:9" ht="13.8" thickBot="1" x14ac:dyDescent="0.3"/>
    <row r="25" spans="1:9" ht="13.8" thickTop="1" x14ac:dyDescent="0.25">
      <c r="B25" s="1315" t="s">
        <v>79</v>
      </c>
      <c r="C25" s="1316"/>
      <c r="E25" s="1315" t="s">
        <v>81</v>
      </c>
      <c r="F25" s="1316"/>
      <c r="G25" s="187"/>
    </row>
    <row r="26" spans="1:9" x14ac:dyDescent="0.25">
      <c r="B26" s="1317"/>
      <c r="C26" s="1318"/>
      <c r="E26" s="1317"/>
      <c r="F26" s="1318"/>
      <c r="G26" s="187"/>
    </row>
    <row r="27" spans="1:9" x14ac:dyDescent="0.25">
      <c r="B27" s="1317"/>
      <c r="C27" s="1318"/>
      <c r="D27" s="184" t="s">
        <v>80</v>
      </c>
      <c r="E27" s="1317"/>
      <c r="F27" s="1318"/>
      <c r="G27" s="187"/>
    </row>
    <row r="28" spans="1:9" ht="13.8" thickBot="1" x14ac:dyDescent="0.3">
      <c r="B28" s="1319"/>
      <c r="C28" s="1320"/>
      <c r="E28" s="1319"/>
      <c r="F28" s="1320"/>
      <c r="G28" s="187"/>
    </row>
    <row r="29" spans="1:9" ht="13.8" thickTop="1" x14ac:dyDescent="0.25">
      <c r="C29" s="188"/>
      <c r="E29" s="189"/>
    </row>
    <row r="30" spans="1:9" x14ac:dyDescent="0.25">
      <c r="C30" s="190"/>
      <c r="E30" s="191"/>
    </row>
    <row r="31" spans="1:9" ht="13.8" thickBot="1" x14ac:dyDescent="0.3">
      <c r="C31" s="192"/>
      <c r="E31" s="193"/>
    </row>
    <row r="32" spans="1:9" ht="13.8" thickTop="1" x14ac:dyDescent="0.25">
      <c r="C32" s="1315" t="s">
        <v>332</v>
      </c>
      <c r="D32" s="1321"/>
      <c r="E32" s="1322"/>
    </row>
    <row r="33" spans="1:13" x14ac:dyDescent="0.25">
      <c r="C33" s="1323"/>
      <c r="D33" s="1324"/>
      <c r="E33" s="1325"/>
    </row>
    <row r="34" spans="1:13" x14ac:dyDescent="0.25">
      <c r="C34" s="1323"/>
      <c r="D34" s="1324"/>
      <c r="E34" s="1325"/>
    </row>
    <row r="35" spans="1:13" ht="13.8" thickBot="1" x14ac:dyDescent="0.3">
      <c r="C35" s="1326"/>
      <c r="D35" s="1327"/>
      <c r="E35" s="1328"/>
    </row>
    <row r="36" spans="1:13" ht="13.8" thickTop="1" x14ac:dyDescent="0.25">
      <c r="D36" s="188"/>
    </row>
    <row r="37" spans="1:13" x14ac:dyDescent="0.25">
      <c r="D37" s="190"/>
    </row>
    <row r="38" spans="1:13" ht="13.8" thickBot="1" x14ac:dyDescent="0.3">
      <c r="D38" s="192"/>
    </row>
    <row r="39" spans="1:13" ht="13.8" thickTop="1" x14ac:dyDescent="0.25">
      <c r="D39" s="1305" t="s">
        <v>358</v>
      </c>
      <c r="E39" s="1306"/>
    </row>
    <row r="40" spans="1:13" x14ac:dyDescent="0.25">
      <c r="D40" s="1307"/>
      <c r="E40" s="1308"/>
    </row>
    <row r="41" spans="1:13" x14ac:dyDescent="0.25">
      <c r="D41" s="1307"/>
      <c r="E41" s="1308"/>
    </row>
    <row r="42" spans="1:13" ht="13.8" thickBot="1" x14ac:dyDescent="0.3">
      <c r="D42" s="1309"/>
      <c r="E42" s="1310"/>
      <c r="H42" s="140"/>
      <c r="I42" s="140"/>
      <c r="J42" s="140"/>
      <c r="K42" s="140"/>
    </row>
    <row r="43" spans="1:13" ht="14.4" thickTop="1" thickBot="1" x14ac:dyDescent="0.3">
      <c r="H43" s="140"/>
      <c r="I43" s="140"/>
      <c r="J43" s="140"/>
      <c r="K43" s="140"/>
    </row>
    <row r="44" spans="1:13" ht="13.8" thickTop="1" x14ac:dyDescent="0.25">
      <c r="A44" s="1311" t="s">
        <v>717</v>
      </c>
      <c r="B44" s="1312"/>
      <c r="C44" s="1312"/>
      <c r="D44" s="1312"/>
      <c r="E44" s="1312"/>
      <c r="F44" s="1313"/>
      <c r="G44" s="184"/>
      <c r="H44" s="1304"/>
      <c r="I44" s="1304"/>
      <c r="J44" s="1304"/>
      <c r="K44" s="1304"/>
      <c r="L44" s="184"/>
      <c r="M44" s="184"/>
    </row>
    <row r="45" spans="1:13" x14ac:dyDescent="0.25">
      <c r="A45" s="190"/>
      <c r="B45" s="194"/>
      <c r="C45" s="194"/>
      <c r="D45" s="194"/>
      <c r="E45" s="194"/>
      <c r="F45" s="191"/>
      <c r="H45" s="140"/>
      <c r="I45" s="140"/>
      <c r="J45" s="140"/>
      <c r="K45" s="140"/>
    </row>
    <row r="46" spans="1:13" x14ac:dyDescent="0.25">
      <c r="A46" s="195" t="s">
        <v>333</v>
      </c>
      <c r="B46" s="194"/>
      <c r="C46" s="194"/>
      <c r="D46" s="421" t="s">
        <v>39</v>
      </c>
      <c r="E46" s="421" t="s">
        <v>334</v>
      </c>
      <c r="F46" s="422" t="s">
        <v>96</v>
      </c>
      <c r="H46" s="477"/>
      <c r="I46" s="477"/>
      <c r="J46" s="477"/>
      <c r="K46" s="140"/>
    </row>
    <row r="47" spans="1:13" x14ac:dyDescent="0.25">
      <c r="A47" s="190"/>
      <c r="B47" s="194"/>
      <c r="C47" s="194"/>
      <c r="D47" s="194"/>
      <c r="E47" s="194"/>
      <c r="F47" s="191"/>
      <c r="H47" s="140"/>
      <c r="I47" s="140"/>
      <c r="J47" s="140"/>
      <c r="K47" s="140"/>
    </row>
    <row r="48" spans="1:13" x14ac:dyDescent="0.25">
      <c r="A48" s="190" t="s">
        <v>24</v>
      </c>
      <c r="B48" s="194"/>
      <c r="C48" s="194"/>
      <c r="D48" s="363">
        <f>+(F8+F13+F14)-(F10+F11+F12)</f>
        <v>64581943.119999997</v>
      </c>
      <c r="E48" s="478">
        <f>+D48-F8</f>
        <v>-669434.24000000209</v>
      </c>
      <c r="F48" s="641">
        <f>+E48/F8</f>
        <v>-1.0259312018911873E-2</v>
      </c>
      <c r="G48" s="228"/>
      <c r="H48" s="363"/>
      <c r="I48" s="478"/>
      <c r="J48" s="479"/>
      <c r="K48" s="140"/>
    </row>
    <row r="49" spans="1:11" x14ac:dyDescent="0.25">
      <c r="A49" s="190"/>
      <c r="B49" s="194"/>
      <c r="C49" s="194"/>
      <c r="D49" s="480"/>
      <c r="E49" s="480"/>
      <c r="F49" s="623"/>
      <c r="G49" s="228"/>
      <c r="H49" s="480"/>
      <c r="I49" s="480"/>
      <c r="J49" s="480"/>
      <c r="K49" s="140"/>
    </row>
    <row r="50" spans="1:11" x14ac:dyDescent="0.25">
      <c r="A50" s="190" t="s">
        <v>25</v>
      </c>
      <c r="B50" s="194"/>
      <c r="C50" s="194"/>
      <c r="D50" s="363">
        <f>+F9+F18-F20</f>
        <v>26283125.350000001</v>
      </c>
      <c r="E50" s="363">
        <f>+D50-F9</f>
        <v>749481.19000000134</v>
      </c>
      <c r="F50" s="641">
        <f>+E50/F9</f>
        <v>2.9352691895585706E-2</v>
      </c>
      <c r="G50" s="228"/>
      <c r="H50" s="363"/>
      <c r="I50" s="363"/>
      <c r="J50" s="479"/>
      <c r="K50" s="140"/>
    </row>
    <row r="51" spans="1:11" x14ac:dyDescent="0.25">
      <c r="A51" s="190"/>
      <c r="B51" s="194"/>
      <c r="C51" s="194"/>
      <c r="D51" s="480"/>
      <c r="E51" s="480"/>
      <c r="F51" s="623"/>
      <c r="G51" s="228"/>
      <c r="H51" s="480"/>
      <c r="I51" s="480"/>
      <c r="J51" s="480"/>
      <c r="K51" s="140"/>
    </row>
    <row r="52" spans="1:11" x14ac:dyDescent="0.25">
      <c r="A52" s="190" t="s">
        <v>26</v>
      </c>
      <c r="B52" s="194"/>
      <c r="C52" s="194"/>
      <c r="D52" s="479">
        <f>+D50/D48</f>
        <v>0.40697328200799421</v>
      </c>
      <c r="E52" s="479">
        <f>+D52-F17</f>
        <v>1.5661325187102948E-2</v>
      </c>
      <c r="F52" s="623"/>
      <c r="G52" s="228"/>
      <c r="H52" s="479"/>
      <c r="I52" s="479"/>
      <c r="J52" s="480"/>
      <c r="K52" s="140"/>
    </row>
    <row r="53" spans="1:11" x14ac:dyDescent="0.25">
      <c r="A53" s="190"/>
      <c r="B53" s="194"/>
      <c r="C53" s="194"/>
      <c r="D53" s="480"/>
      <c r="E53" s="480"/>
      <c r="F53" s="623"/>
      <c r="G53" s="228"/>
      <c r="H53" s="480"/>
      <c r="I53" s="480"/>
      <c r="J53" s="480"/>
      <c r="K53" s="140"/>
    </row>
    <row r="54" spans="1:11" x14ac:dyDescent="0.25">
      <c r="A54" s="190" t="s">
        <v>27</v>
      </c>
      <c r="B54" s="194"/>
      <c r="C54" s="194"/>
      <c r="D54" s="363">
        <f>+F14+F16+F13-F18-F10-F11-F12</f>
        <v>663533.5999999987</v>
      </c>
      <c r="E54" s="480"/>
      <c r="F54" s="623"/>
      <c r="G54" s="228"/>
      <c r="H54" s="363"/>
      <c r="I54" s="480"/>
      <c r="J54" s="480"/>
      <c r="K54" s="140"/>
    </row>
    <row r="55" spans="1:11" x14ac:dyDescent="0.25">
      <c r="A55" s="190"/>
      <c r="B55" s="194"/>
      <c r="C55" s="194"/>
      <c r="D55" s="480"/>
      <c r="E55" s="480"/>
      <c r="F55" s="623"/>
      <c r="G55" s="228"/>
      <c r="H55" s="480"/>
      <c r="I55" s="480"/>
      <c r="J55" s="480"/>
      <c r="K55" s="140"/>
    </row>
    <row r="56" spans="1:11" ht="13.8" thickBot="1" x14ac:dyDescent="0.3">
      <c r="A56" s="192" t="s">
        <v>335</v>
      </c>
      <c r="B56" s="197"/>
      <c r="C56" s="197"/>
      <c r="D56" s="624">
        <f>+(F18+F15)/F15</f>
        <v>2</v>
      </c>
      <c r="E56" s="625"/>
      <c r="F56" s="626"/>
      <c r="G56" s="228"/>
      <c r="H56" s="481"/>
      <c r="I56" s="480"/>
      <c r="J56" s="480"/>
      <c r="K56" s="140"/>
    </row>
    <row r="57" spans="1:11" ht="13.8" thickTop="1" x14ac:dyDescent="0.25">
      <c r="H57" s="140"/>
      <c r="I57" s="140"/>
      <c r="J57" s="140"/>
      <c r="K57" s="140"/>
    </row>
    <row r="58" spans="1:11" x14ac:dyDescent="0.25">
      <c r="H58" s="140"/>
      <c r="I58" s="140"/>
      <c r="J58" s="140"/>
      <c r="K58" s="140"/>
    </row>
    <row r="59" spans="1:11" x14ac:dyDescent="0.25">
      <c r="H59" s="140"/>
      <c r="I59" s="140"/>
      <c r="J59" s="140"/>
      <c r="K59" s="140"/>
    </row>
  </sheetData>
  <mergeCells count="7">
    <mergeCell ref="H44:K44"/>
    <mergeCell ref="D39:E42"/>
    <mergeCell ref="A44:F44"/>
    <mergeCell ref="A5:F5"/>
    <mergeCell ref="B25:C28"/>
    <mergeCell ref="E25:F28"/>
    <mergeCell ref="C32:E35"/>
  </mergeCells>
  <phoneticPr fontId="12" type="noConversion"/>
  <pageMargins left="0.75" right="0.75" top="1" bottom="1" header="0.5" footer="0.5"/>
  <pageSetup scale="67" orientation="landscape" r:id="rId1"/>
  <headerFooter alignWithMargins="0">
    <oddHeader>&amp;RS13</oddHeader>
    <oddFooter>&amp;L&amp;Z&amp;F&amp;R&amp;T&amp;D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6BC1-C429-448F-ADDC-22EBD6CD0EA5}">
  <sheetPr>
    <pageSetUpPr fitToPage="1"/>
  </sheetPr>
  <dimension ref="A1:L39"/>
  <sheetViews>
    <sheetView topLeftCell="A4" zoomScale="90" zoomScaleNormal="90" workbookViewId="0">
      <selection activeCell="G29" sqref="G29"/>
    </sheetView>
  </sheetViews>
  <sheetFormatPr defaultColWidth="8.90625" defaultRowHeight="13.2" x14ac:dyDescent="0.25"/>
  <cols>
    <col min="1" max="1" width="23.54296875" style="652" customWidth="1"/>
    <col min="2" max="2" width="22.90625" style="652" customWidth="1"/>
    <col min="3" max="3" width="14.54296875" style="652" customWidth="1"/>
    <col min="4" max="4" width="14.36328125" style="652" customWidth="1"/>
    <col min="5" max="5" width="15.1796875" style="652" bestFit="1" customWidth="1"/>
    <col min="6" max="6" width="20.1796875" style="652" customWidth="1"/>
    <col min="7" max="7" width="11.453125" style="652" bestFit="1" customWidth="1"/>
    <col min="8" max="8" width="21.453125" style="652" customWidth="1"/>
    <col min="9" max="10" width="10.81640625" style="652" customWidth="1"/>
    <col min="11" max="11" width="10.08984375" style="652" customWidth="1"/>
    <col min="12" max="12" width="10.81640625" style="652" customWidth="1"/>
    <col min="13" max="16384" width="8.90625" style="652"/>
  </cols>
  <sheetData>
    <row r="1" spans="1:12" x14ac:dyDescent="0.25">
      <c r="A1" s="651" t="s">
        <v>747</v>
      </c>
    </row>
    <row r="2" spans="1:12" x14ac:dyDescent="0.25">
      <c r="A2" s="652" t="s">
        <v>351</v>
      </c>
    </row>
    <row r="3" spans="1:12" x14ac:dyDescent="0.25">
      <c r="A3" s="653" t="s">
        <v>1279</v>
      </c>
    </row>
    <row r="6" spans="1:12" x14ac:dyDescent="0.25">
      <c r="C6" s="60" t="s">
        <v>114</v>
      </c>
      <c r="D6" s="183" t="s">
        <v>342</v>
      </c>
      <c r="E6" s="60" t="str">
        <f>+'S1-Revenue Requirement'!E6</f>
        <v>11/1/22-10/31/23</v>
      </c>
    </row>
    <row r="7" spans="1:12" x14ac:dyDescent="0.25">
      <c r="A7" s="654" t="s">
        <v>236</v>
      </c>
      <c r="B7" s="654" t="s">
        <v>129</v>
      </c>
      <c r="C7" s="61" t="str">
        <f>+'S1-Revenue Requirement'!C6</f>
        <v>7/1/21 - 6/30/22</v>
      </c>
      <c r="D7" s="655" t="s">
        <v>343</v>
      </c>
      <c r="E7" s="655" t="s">
        <v>614</v>
      </c>
      <c r="F7" s="654" t="s">
        <v>216</v>
      </c>
    </row>
    <row r="8" spans="1:12" x14ac:dyDescent="0.25">
      <c r="A8" s="654"/>
      <c r="B8" s="654"/>
      <c r="C8" s="650"/>
      <c r="D8" s="654"/>
      <c r="E8" s="654"/>
      <c r="F8" s="654"/>
    </row>
    <row r="9" spans="1:12" x14ac:dyDescent="0.25">
      <c r="A9" s="656" t="s">
        <v>1280</v>
      </c>
    </row>
    <row r="10" spans="1:12" x14ac:dyDescent="0.25">
      <c r="A10" s="656"/>
      <c r="E10" s="657"/>
      <c r="F10" s="657"/>
      <c r="J10" s="666"/>
      <c r="K10" s="666"/>
      <c r="L10" s="666"/>
    </row>
    <row r="11" spans="1:12" x14ac:dyDescent="0.25">
      <c r="A11" s="658">
        <v>538.01</v>
      </c>
      <c r="B11" s="659" t="s">
        <v>1281</v>
      </c>
      <c r="C11" s="809">
        <v>34190</v>
      </c>
      <c r="D11" s="660">
        <f>+E11-C11</f>
        <v>880.62593672934599</v>
      </c>
      <c r="E11" s="921">
        <f>+G28</f>
        <v>35070.625936729346</v>
      </c>
      <c r="F11" s="922" t="s">
        <v>1283</v>
      </c>
      <c r="G11" s="657"/>
      <c r="J11" s="666"/>
      <c r="K11" s="666"/>
      <c r="L11" s="666"/>
    </row>
    <row r="12" spans="1:12" x14ac:dyDescent="0.25">
      <c r="A12" s="657"/>
      <c r="B12" s="657"/>
      <c r="C12" s="809"/>
      <c r="D12" s="660"/>
      <c r="E12" s="923"/>
      <c r="F12" s="666"/>
      <c r="G12" s="657"/>
      <c r="J12" s="666"/>
      <c r="K12" s="666"/>
      <c r="L12" s="666"/>
    </row>
    <row r="13" spans="1:12" x14ac:dyDescent="0.25">
      <c r="A13" s="662">
        <v>548.01</v>
      </c>
      <c r="B13" s="652" t="s">
        <v>1282</v>
      </c>
      <c r="C13" s="809">
        <v>100148</v>
      </c>
      <c r="D13" s="660">
        <f>+E13-C13</f>
        <v>81504.72</v>
      </c>
      <c r="E13" s="924">
        <v>181652.72</v>
      </c>
      <c r="F13" s="922" t="s">
        <v>1483</v>
      </c>
      <c r="G13" s="657"/>
      <c r="J13" s="666"/>
      <c r="K13" s="666"/>
      <c r="L13" s="666"/>
    </row>
    <row r="14" spans="1:12" x14ac:dyDescent="0.25">
      <c r="C14" s="660"/>
      <c r="D14" s="660"/>
      <c r="E14" s="663"/>
      <c r="G14" s="657"/>
      <c r="J14" s="666"/>
      <c r="K14" s="666"/>
      <c r="L14" s="666"/>
    </row>
    <row r="15" spans="1:12" x14ac:dyDescent="0.25">
      <c r="A15" s="664"/>
      <c r="B15" s="664"/>
      <c r="C15" s="660"/>
      <c r="D15" s="660"/>
      <c r="E15" s="663"/>
      <c r="F15" s="925"/>
      <c r="G15" s="657"/>
      <c r="J15" s="666"/>
      <c r="K15" s="666"/>
      <c r="L15" s="666"/>
    </row>
    <row r="16" spans="1:12" x14ac:dyDescent="0.25">
      <c r="A16" s="657"/>
      <c r="B16" s="657"/>
      <c r="C16" s="660"/>
      <c r="D16" s="660"/>
      <c r="E16" s="663"/>
      <c r="G16" s="657"/>
      <c r="J16" s="666"/>
      <c r="K16" s="666"/>
      <c r="L16" s="666"/>
    </row>
    <row r="17" spans="1:12" ht="13.8" thickBot="1" x14ac:dyDescent="0.3">
      <c r="A17" s="656" t="s">
        <v>1284</v>
      </c>
      <c r="B17" s="657"/>
      <c r="C17" s="660">
        <f>SUM(C11:C16)</f>
        <v>134338</v>
      </c>
      <c r="D17" s="926">
        <f>SUM(D11:D16)</f>
        <v>82385.34593672934</v>
      </c>
      <c r="E17" s="663">
        <f>SUM(E11:E16)</f>
        <v>216723.34593672934</v>
      </c>
      <c r="G17" s="657"/>
      <c r="J17" s="666"/>
      <c r="K17" s="666"/>
      <c r="L17" s="666"/>
    </row>
    <row r="18" spans="1:12" ht="13.8" thickTop="1" x14ac:dyDescent="0.25">
      <c r="A18" s="656"/>
      <c r="B18" s="657"/>
      <c r="C18" s="660"/>
      <c r="D18" s="660"/>
      <c r="E18" s="660"/>
      <c r="G18" s="657"/>
      <c r="J18" s="666"/>
      <c r="K18" s="666"/>
      <c r="L18" s="666"/>
    </row>
    <row r="19" spans="1:12" x14ac:dyDescent="0.25">
      <c r="A19" s="656"/>
      <c r="B19" s="657"/>
      <c r="C19" s="661"/>
      <c r="D19" s="661"/>
      <c r="E19" s="661"/>
      <c r="F19" s="657"/>
      <c r="G19" s="657"/>
      <c r="J19" s="666"/>
      <c r="K19" s="666"/>
      <c r="L19" s="666"/>
    </row>
    <row r="20" spans="1:12" x14ac:dyDescent="0.25">
      <c r="A20" s="656"/>
      <c r="B20" s="657"/>
      <c r="C20" s="661"/>
      <c r="D20" s="661"/>
      <c r="E20" s="661"/>
      <c r="F20" s="657"/>
      <c r="G20" s="657"/>
      <c r="J20" s="666"/>
      <c r="K20" s="666"/>
      <c r="L20" s="666"/>
    </row>
    <row r="21" spans="1:12" x14ac:dyDescent="0.25">
      <c r="A21" s="656"/>
      <c r="B21" s="657"/>
      <c r="C21" s="661"/>
      <c r="D21" s="661"/>
      <c r="E21" s="661"/>
      <c r="F21" s="657"/>
      <c r="G21" s="657"/>
      <c r="J21" s="666"/>
      <c r="K21" s="666"/>
      <c r="L21" s="666"/>
    </row>
    <row r="22" spans="1:12" x14ac:dyDescent="0.25">
      <c r="A22" s="656"/>
      <c r="B22" s="657"/>
      <c r="C22" s="661"/>
      <c r="D22" s="661"/>
      <c r="E22" s="661"/>
      <c r="F22" s="657"/>
      <c r="G22" s="657"/>
      <c r="J22" s="666"/>
      <c r="K22" s="666"/>
      <c r="L22" s="666"/>
    </row>
    <row r="23" spans="1:12" x14ac:dyDescent="0.25">
      <c r="A23" s="656" t="s">
        <v>1313</v>
      </c>
      <c r="C23" s="661"/>
      <c r="D23" s="661"/>
      <c r="E23" s="661"/>
      <c r="F23" s="657"/>
      <c r="G23" s="657"/>
      <c r="J23" s="666"/>
      <c r="K23" s="666"/>
      <c r="L23" s="666"/>
    </row>
    <row r="24" spans="1:12" x14ac:dyDescent="0.25">
      <c r="A24" s="656"/>
      <c r="C24" s="660"/>
      <c r="D24" s="660"/>
      <c r="E24" s="660"/>
      <c r="G24" s="657"/>
      <c r="J24" s="666"/>
      <c r="K24" s="666"/>
      <c r="L24" s="666"/>
    </row>
    <row r="25" spans="1:12" x14ac:dyDescent="0.25">
      <c r="A25" s="920" t="s">
        <v>1353</v>
      </c>
      <c r="B25" s="652">
        <v>2017</v>
      </c>
      <c r="C25" s="1268">
        <v>2018</v>
      </c>
      <c r="D25" s="1268">
        <v>2019</v>
      </c>
      <c r="E25" s="1268">
        <v>2020</v>
      </c>
      <c r="F25" s="652">
        <v>2021</v>
      </c>
      <c r="G25" s="657"/>
      <c r="J25" s="666"/>
      <c r="K25" s="666"/>
      <c r="L25" s="666"/>
    </row>
    <row r="26" spans="1:12" x14ac:dyDescent="0.25">
      <c r="A26" s="665"/>
      <c r="B26" s="657"/>
      <c r="C26" s="661"/>
      <c r="D26" s="665"/>
      <c r="E26" s="661"/>
      <c r="F26" s="657"/>
      <c r="G26" s="657"/>
      <c r="J26" s="666"/>
      <c r="K26" s="666"/>
      <c r="L26" s="666"/>
    </row>
    <row r="27" spans="1:12" x14ac:dyDescent="0.25">
      <c r="A27" s="469" t="s">
        <v>333</v>
      </c>
      <c r="B27" s="611">
        <v>2017</v>
      </c>
      <c r="C27" s="810">
        <v>2018</v>
      </c>
      <c r="D27" s="810">
        <v>2019</v>
      </c>
      <c r="E27" s="810">
        <v>2020</v>
      </c>
      <c r="F27" s="810">
        <v>2021</v>
      </c>
      <c r="G27" s="474" t="s">
        <v>1347</v>
      </c>
      <c r="H27" s="474" t="s">
        <v>216</v>
      </c>
      <c r="J27" s="666"/>
      <c r="K27" s="666"/>
      <c r="L27" s="666"/>
    </row>
    <row r="28" spans="1:12" x14ac:dyDescent="0.25">
      <c r="A28" s="913" t="s">
        <v>1135</v>
      </c>
      <c r="B28" s="692">
        <v>29623.42</v>
      </c>
      <c r="C28" s="1169">
        <v>30454.639999999999</v>
      </c>
      <c r="D28" s="1169">
        <v>31631.56</v>
      </c>
      <c r="E28" s="1169">
        <v>33006.32</v>
      </c>
      <c r="F28" s="1169">
        <v>33990</v>
      </c>
      <c r="G28" s="1244">
        <f>F28*(F31+1)</f>
        <v>35070.625936729346</v>
      </c>
      <c r="H28" s="348" t="s">
        <v>1471</v>
      </c>
      <c r="I28" s="666"/>
      <c r="J28" s="666"/>
      <c r="K28" s="666"/>
      <c r="L28" s="666"/>
    </row>
    <row r="29" spans="1:12" x14ac:dyDescent="0.25">
      <c r="A29" s="913" t="s">
        <v>1136</v>
      </c>
      <c r="B29" s="692">
        <v>552.15999999999985</v>
      </c>
      <c r="C29" s="692">
        <f>+C28-B28</f>
        <v>831.22000000000116</v>
      </c>
      <c r="D29" s="692">
        <f>+D28-C28</f>
        <v>1176.9200000000019</v>
      </c>
      <c r="E29" s="692">
        <f>+E28-D28</f>
        <v>1374.7599999999984</v>
      </c>
      <c r="F29" s="692">
        <f>+F28-E28</f>
        <v>983.68000000000029</v>
      </c>
      <c r="G29" s="207"/>
      <c r="H29" s="207"/>
      <c r="J29" s="666"/>
      <c r="K29" s="666"/>
      <c r="L29" s="666"/>
    </row>
    <row r="30" spans="1:12" x14ac:dyDescent="0.25">
      <c r="A30" s="913" t="s">
        <v>1137</v>
      </c>
      <c r="B30" s="811">
        <v>1.8993328806525753E-2</v>
      </c>
      <c r="C30" s="811">
        <f>+C29/B28</f>
        <v>2.8059555581361004E-2</v>
      </c>
      <c r="D30" s="811">
        <f t="shared" ref="D30:E30" si="0">+D29/C28</f>
        <v>3.8645014355776393E-2</v>
      </c>
      <c r="E30" s="811">
        <f t="shared" si="0"/>
        <v>4.3461656649245194E-2</v>
      </c>
      <c r="F30" s="811">
        <f>+F29/E28</f>
        <v>2.9802777165100512E-2</v>
      </c>
      <c r="G30" s="207"/>
      <c r="H30" s="207"/>
      <c r="J30" s="666"/>
      <c r="K30" s="666"/>
      <c r="L30" s="666"/>
    </row>
    <row r="31" spans="1:12" x14ac:dyDescent="0.25">
      <c r="A31" s="913" t="s">
        <v>1331</v>
      </c>
      <c r="B31" s="207"/>
      <c r="C31" s="207"/>
      <c r="D31" s="207"/>
      <c r="E31" s="670"/>
      <c r="F31" s="1245">
        <f>AVERAGE(B30:F30)</f>
        <v>3.1792466511601773E-2</v>
      </c>
      <c r="G31" s="207"/>
      <c r="H31" s="207"/>
      <c r="J31" s="666"/>
      <c r="K31" s="666"/>
      <c r="L31" s="666"/>
    </row>
    <row r="32" spans="1:12" x14ac:dyDescent="0.25">
      <c r="A32" s="913"/>
      <c r="B32" s="207"/>
      <c r="C32" s="207"/>
      <c r="D32" s="207"/>
      <c r="E32" s="670"/>
      <c r="F32" s="670"/>
      <c r="G32" s="207"/>
      <c r="H32" s="207"/>
    </row>
    <row r="33" spans="1:10" x14ac:dyDescent="0.25">
      <c r="A33" s="913"/>
      <c r="B33" s="207"/>
      <c r="C33" s="207"/>
      <c r="D33" s="207"/>
      <c r="E33" s="670"/>
      <c r="F33" s="670"/>
      <c r="G33" s="207"/>
      <c r="H33" s="207"/>
    </row>
    <row r="34" spans="1:10" x14ac:dyDescent="0.25">
      <c r="A34" s="338" t="s">
        <v>1354</v>
      </c>
      <c r="B34" s="1125"/>
      <c r="C34" s="1125"/>
      <c r="D34" s="207"/>
      <c r="E34" s="382"/>
      <c r="F34" s="207"/>
      <c r="G34" s="29"/>
      <c r="H34" s="29"/>
      <c r="I34" s="666"/>
      <c r="J34" s="666"/>
    </row>
    <row r="35" spans="1:10" x14ac:dyDescent="0.25">
      <c r="B35" s="666"/>
      <c r="C35" s="663"/>
      <c r="D35" s="663"/>
      <c r="E35" s="663"/>
      <c r="F35" s="665"/>
      <c r="G35" s="666"/>
      <c r="H35" s="666"/>
      <c r="I35" s="666"/>
      <c r="J35" s="666"/>
    </row>
    <row r="36" spans="1:10" x14ac:dyDescent="0.25">
      <c r="A36" s="913"/>
      <c r="B36" s="1168"/>
      <c r="C36" s="1168"/>
      <c r="D36" s="692"/>
      <c r="E36" s="692"/>
      <c r="F36" s="707"/>
      <c r="G36" s="1244"/>
      <c r="H36" s="348"/>
      <c r="I36" s="666"/>
      <c r="J36" s="666"/>
    </row>
    <row r="37" spans="1:10" x14ac:dyDescent="0.25">
      <c r="A37" s="913"/>
      <c r="B37" s="692"/>
      <c r="C37" s="692"/>
      <c r="D37" s="692"/>
      <c r="E37" s="692"/>
      <c r="F37" s="1178"/>
    </row>
    <row r="38" spans="1:10" x14ac:dyDescent="0.25">
      <c r="A38" s="913"/>
      <c r="B38" s="488"/>
      <c r="C38" s="488"/>
      <c r="D38" s="488"/>
      <c r="E38" s="488"/>
      <c r="F38" s="1180"/>
    </row>
    <row r="39" spans="1:10" x14ac:dyDescent="0.25">
      <c r="A39" s="913"/>
      <c r="B39" s="207"/>
      <c r="C39" s="207"/>
      <c r="D39" s="207"/>
      <c r="E39" s="670"/>
      <c r="F39" s="670"/>
    </row>
  </sheetData>
  <pageMargins left="0.17" right="0.17" top="1.72" bottom="1" header="1.1200000000000001" footer="0.5"/>
  <pageSetup scale="52" orientation="landscape" r:id="rId1"/>
  <headerFooter alignWithMargins="0">
    <oddHeader xml:space="preserve">&amp;C
&amp;RS-14
</oddHeader>
    <oddFooter>&amp;L&amp;Z&amp;F&amp;R&amp;T&amp;D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J77"/>
  <sheetViews>
    <sheetView topLeftCell="A24" workbookViewId="0">
      <selection activeCell="E40" sqref="E40"/>
    </sheetView>
  </sheetViews>
  <sheetFormatPr defaultColWidth="8.90625" defaultRowHeight="13.2" x14ac:dyDescent="0.25"/>
  <cols>
    <col min="1" max="1" width="8.90625" style="127"/>
    <col min="2" max="2" width="36.90625" style="127" customWidth="1"/>
    <col min="3" max="3" width="14.08984375" style="127" bestFit="1" customWidth="1"/>
    <col min="4" max="4" width="11" style="127" bestFit="1" customWidth="1"/>
    <col min="5" max="5" width="14" style="127" bestFit="1" customWidth="1"/>
    <col min="6" max="6" width="16.90625" style="127" customWidth="1"/>
    <col min="7" max="7" width="4.08984375" style="127" customWidth="1"/>
    <col min="8" max="8" width="18.08984375" style="127" customWidth="1"/>
    <col min="9" max="16384" width="8.90625" style="127"/>
  </cols>
  <sheetData>
    <row r="1" spans="1:9" ht="15" x14ac:dyDescent="0.25">
      <c r="A1" s="37" t="s">
        <v>747</v>
      </c>
    </row>
    <row r="2" spans="1:9" x14ac:dyDescent="0.25">
      <c r="A2" s="33" t="s">
        <v>693</v>
      </c>
    </row>
    <row r="3" spans="1:9" x14ac:dyDescent="0.25">
      <c r="A3" s="33" t="s">
        <v>694</v>
      </c>
    </row>
    <row r="6" spans="1:9" x14ac:dyDescent="0.25">
      <c r="A6" s="59" t="s">
        <v>692</v>
      </c>
    </row>
    <row r="7" spans="1:9" x14ac:dyDescent="0.25">
      <c r="A7" s="125"/>
      <c r="F7" s="183"/>
    </row>
    <row r="8" spans="1:9" x14ac:dyDescent="0.25">
      <c r="A8" s="352"/>
      <c r="B8" s="352"/>
      <c r="C8" s="60" t="s">
        <v>114</v>
      </c>
      <c r="D8" s="353" t="s">
        <v>342</v>
      </c>
      <c r="E8" s="60" t="str">
        <f>+'S1-Revenue Requirement'!E6</f>
        <v>11/1/22-10/31/23</v>
      </c>
      <c r="F8" s="352"/>
      <c r="G8" s="345"/>
      <c r="H8" s="345"/>
    </row>
    <row r="9" spans="1:9" x14ac:dyDescent="0.25">
      <c r="A9" s="354" t="s">
        <v>236</v>
      </c>
      <c r="B9" s="354" t="s">
        <v>129</v>
      </c>
      <c r="C9" s="61" t="str">
        <f>+'S1-Revenue Requirement'!C6</f>
        <v>7/1/21 - 6/30/22</v>
      </c>
      <c r="D9" s="354" t="s">
        <v>343</v>
      </c>
      <c r="E9" s="354" t="s">
        <v>614</v>
      </c>
      <c r="F9" s="354" t="s">
        <v>216</v>
      </c>
      <c r="G9" s="345"/>
      <c r="H9" s="346"/>
    </row>
    <row r="10" spans="1:9" x14ac:dyDescent="0.25">
      <c r="A10" s="354"/>
      <c r="B10" s="354"/>
      <c r="C10" s="347"/>
      <c r="D10" s="354"/>
      <c r="E10" s="354"/>
      <c r="F10" s="354"/>
      <c r="G10" s="345"/>
      <c r="H10" s="346"/>
    </row>
    <row r="11" spans="1:9" x14ac:dyDescent="0.25">
      <c r="A11" s="346"/>
      <c r="B11" s="346"/>
      <c r="C11" s="347"/>
      <c r="D11" s="346"/>
      <c r="E11" s="346"/>
      <c r="F11" s="346"/>
      <c r="G11" s="345"/>
      <c r="H11" s="346"/>
    </row>
    <row r="12" spans="1:9" x14ac:dyDescent="0.25">
      <c r="A12" s="98">
        <v>408.5</v>
      </c>
      <c r="B12" s="265" t="s">
        <v>465</v>
      </c>
      <c r="C12" s="472">
        <f>+'Trial Balance'!C203</f>
        <v>85338.22</v>
      </c>
      <c r="D12" s="472">
        <f>+E12-C12</f>
        <v>9665.6186924580834</v>
      </c>
      <c r="E12" s="472">
        <f>+E40</f>
        <v>95003.838692458085</v>
      </c>
      <c r="F12" s="295" t="s">
        <v>686</v>
      </c>
      <c r="G12" s="337"/>
      <c r="H12" s="232"/>
      <c r="I12" s="337"/>
    </row>
    <row r="13" spans="1:9" x14ac:dyDescent="0.25">
      <c r="C13" s="472"/>
      <c r="D13" s="472"/>
      <c r="E13" s="472"/>
      <c r="F13" s="588"/>
      <c r="G13" s="337"/>
      <c r="H13" s="232"/>
      <c r="I13" s="337"/>
    </row>
    <row r="14" spans="1:9" x14ac:dyDescent="0.25">
      <c r="A14" s="98">
        <v>408.6</v>
      </c>
      <c r="B14" s="68" t="s">
        <v>285</v>
      </c>
      <c r="C14" s="472">
        <f>+'Trial Balance'!C204</f>
        <v>103791.46</v>
      </c>
      <c r="D14" s="472">
        <f>+E14-C14</f>
        <v>10494.342042081</v>
      </c>
      <c r="E14" s="472">
        <f>+E56</f>
        <v>114285.80204208101</v>
      </c>
      <c r="F14" s="295" t="s">
        <v>686</v>
      </c>
      <c r="G14" s="337"/>
      <c r="H14" s="248"/>
      <c r="I14" s="337"/>
    </row>
    <row r="15" spans="1:9" x14ac:dyDescent="0.25">
      <c r="A15" s="98"/>
      <c r="B15" s="68"/>
      <c r="C15" s="472"/>
      <c r="D15" s="472"/>
      <c r="E15" s="472"/>
      <c r="F15" s="588"/>
      <c r="G15" s="337"/>
      <c r="H15" s="248"/>
      <c r="I15" s="337"/>
    </row>
    <row r="16" spans="1:9" x14ac:dyDescent="0.25">
      <c r="A16" s="98"/>
      <c r="B16" s="68"/>
      <c r="C16" s="472"/>
      <c r="D16" s="472"/>
      <c r="E16" s="472"/>
      <c r="F16" s="588"/>
      <c r="G16" s="337"/>
      <c r="H16" s="248"/>
      <c r="I16" s="337"/>
    </row>
    <row r="17" spans="1:10" x14ac:dyDescent="0.25">
      <c r="C17" s="472"/>
      <c r="D17" s="472"/>
      <c r="E17" s="472"/>
      <c r="F17" s="587"/>
      <c r="G17" s="337"/>
      <c r="H17" s="232"/>
      <c r="I17" s="337"/>
    </row>
    <row r="18" spans="1:10" x14ac:dyDescent="0.25">
      <c r="B18" s="127" t="s">
        <v>695</v>
      </c>
      <c r="C18" s="472">
        <f>SUM(C12:C17)</f>
        <v>189129.68</v>
      </c>
      <c r="D18" s="472">
        <f>SUM(D12:D17)</f>
        <v>20159.960734539083</v>
      </c>
      <c r="E18" s="472">
        <f>SUM(E12:E17)</f>
        <v>209289.64073453908</v>
      </c>
      <c r="F18" s="588"/>
      <c r="G18" s="337"/>
      <c r="H18" s="232"/>
      <c r="I18" s="337"/>
    </row>
    <row r="19" spans="1:10" x14ac:dyDescent="0.25">
      <c r="C19" s="683"/>
      <c r="D19" s="672"/>
      <c r="E19" s="672"/>
      <c r="F19" s="587"/>
      <c r="G19" s="337"/>
      <c r="H19" s="232"/>
      <c r="I19" s="337"/>
    </row>
    <row r="20" spans="1:10" x14ac:dyDescent="0.25">
      <c r="C20" s="337"/>
      <c r="D20" s="396"/>
      <c r="E20" s="396"/>
      <c r="F20" s="397"/>
      <c r="G20" s="337"/>
      <c r="H20" s="232"/>
      <c r="I20" s="337"/>
    </row>
    <row r="21" spans="1:10" x14ac:dyDescent="0.25">
      <c r="C21" s="337"/>
      <c r="D21" s="396"/>
      <c r="E21" s="396"/>
      <c r="F21" s="337"/>
      <c r="G21" s="337"/>
      <c r="H21" s="337"/>
      <c r="I21" s="337"/>
    </row>
    <row r="22" spans="1:10" x14ac:dyDescent="0.25">
      <c r="C22" s="337"/>
      <c r="D22" s="396"/>
      <c r="E22" s="396"/>
      <c r="F22" s="337"/>
      <c r="G22" s="337"/>
      <c r="H22" s="337"/>
      <c r="I22" s="337"/>
    </row>
    <row r="23" spans="1:10" x14ac:dyDescent="0.25">
      <c r="C23" s="337"/>
      <c r="D23" s="396"/>
      <c r="E23" s="396"/>
      <c r="F23" s="337"/>
      <c r="G23" s="337"/>
      <c r="H23" s="337"/>
      <c r="I23" s="337"/>
    </row>
    <row r="24" spans="1:10" x14ac:dyDescent="0.25">
      <c r="C24" s="337"/>
      <c r="D24" s="396"/>
      <c r="E24" s="396"/>
      <c r="F24" s="337"/>
      <c r="G24" s="337"/>
      <c r="H24" s="337"/>
      <c r="I24" s="337"/>
    </row>
    <row r="25" spans="1:10" x14ac:dyDescent="0.25">
      <c r="C25" s="337"/>
      <c r="D25" s="337"/>
      <c r="E25" s="337"/>
      <c r="F25" s="337"/>
      <c r="G25" s="337"/>
      <c r="H25" s="337"/>
      <c r="I25" s="337"/>
    </row>
    <row r="26" spans="1:10" x14ac:dyDescent="0.25">
      <c r="C26" s="675"/>
      <c r="D26" s="337"/>
      <c r="E26" s="337"/>
      <c r="F26" s="337"/>
      <c r="G26" s="337"/>
      <c r="H26" s="337"/>
      <c r="I26" s="337"/>
    </row>
    <row r="27" spans="1:10" x14ac:dyDescent="0.25">
      <c r="A27" s="59"/>
      <c r="B27" s="36"/>
      <c r="C27" s="60" t="s">
        <v>114</v>
      </c>
      <c r="D27" s="207"/>
      <c r="E27" s="60" t="str">
        <f>+E8</f>
        <v>11/1/22-10/31/23</v>
      </c>
      <c r="F27" s="207"/>
      <c r="G27" s="207"/>
      <c r="H27" s="230"/>
      <c r="I27" s="207"/>
      <c r="J27" s="36"/>
    </row>
    <row r="28" spans="1:10" x14ac:dyDescent="0.25">
      <c r="A28" s="125"/>
      <c r="B28" s="338" t="s">
        <v>345</v>
      </c>
      <c r="C28" s="61" t="str">
        <f>+C9</f>
        <v>7/1/21 - 6/30/22</v>
      </c>
      <c r="D28" s="207"/>
      <c r="E28" s="354" t="s">
        <v>614</v>
      </c>
      <c r="F28" s="230"/>
      <c r="G28" s="207"/>
      <c r="H28" s="207"/>
      <c r="I28" s="207"/>
      <c r="J28" s="36"/>
    </row>
    <row r="29" spans="1:10" x14ac:dyDescent="0.25">
      <c r="A29" s="125"/>
      <c r="B29" s="36"/>
      <c r="C29" s="207"/>
      <c r="D29" s="207"/>
      <c r="E29" s="65"/>
      <c r="F29" s="230"/>
      <c r="G29" s="207"/>
      <c r="H29" s="207"/>
      <c r="I29" s="207"/>
      <c r="J29" s="36"/>
    </row>
    <row r="30" spans="1:10" x14ac:dyDescent="0.25">
      <c r="A30" s="36"/>
      <c r="B30" s="265"/>
      <c r="C30" s="396"/>
      <c r="D30" s="207"/>
      <c r="E30" s="65"/>
      <c r="F30" s="230"/>
      <c r="G30" s="207"/>
      <c r="H30" s="207"/>
      <c r="I30" s="207"/>
      <c r="J30" s="36"/>
    </row>
    <row r="31" spans="1:10" x14ac:dyDescent="0.25">
      <c r="A31" s="36"/>
      <c r="B31" s="68" t="s">
        <v>696</v>
      </c>
      <c r="C31" s="472">
        <f>+'S1-Revenue Requirement'!C32</f>
        <v>17067642.5</v>
      </c>
      <c r="D31" s="207"/>
      <c r="E31" s="934">
        <f>+'S1-Revenue Requirement'!E32</f>
        <v>16822178.797980897</v>
      </c>
      <c r="F31" s="348" t="s">
        <v>1143</v>
      </c>
      <c r="G31" s="207"/>
      <c r="H31" s="395"/>
      <c r="I31" s="207"/>
      <c r="J31" s="36"/>
    </row>
    <row r="32" spans="1:10" x14ac:dyDescent="0.25">
      <c r="A32" s="36"/>
      <c r="B32" s="467" t="s">
        <v>699</v>
      </c>
      <c r="C32" s="472">
        <v>0</v>
      </c>
      <c r="D32" s="207"/>
      <c r="E32" s="934">
        <f>+'S1-Revenue Requirement'!E38</f>
        <v>2178588.9405107191</v>
      </c>
      <c r="F32" s="586" t="s">
        <v>1144</v>
      </c>
      <c r="G32" s="207"/>
      <c r="H32" s="395"/>
      <c r="I32" s="207"/>
      <c r="J32" s="36"/>
    </row>
    <row r="33" spans="1:10" x14ac:dyDescent="0.25">
      <c r="A33" s="36"/>
      <c r="B33" s="68" t="s">
        <v>700</v>
      </c>
      <c r="C33" s="472">
        <f>SUM(C31:C32)</f>
        <v>17067642.5</v>
      </c>
      <c r="D33" s="207"/>
      <c r="E33" s="472">
        <f>SUM(E31:E32)</f>
        <v>19000767.738491617</v>
      </c>
      <c r="F33" s="474"/>
      <c r="G33" s="207"/>
      <c r="H33" s="395"/>
      <c r="I33" s="207"/>
      <c r="J33" s="36"/>
    </row>
    <row r="34" spans="1:10" x14ac:dyDescent="0.25">
      <c r="A34" s="36"/>
      <c r="B34" s="68"/>
      <c r="C34" s="472"/>
      <c r="D34" s="207"/>
      <c r="E34" s="295"/>
      <c r="F34" s="295"/>
      <c r="G34" s="207"/>
      <c r="H34" s="230"/>
      <c r="I34" s="207"/>
      <c r="J34" s="36"/>
    </row>
    <row r="35" spans="1:10" x14ac:dyDescent="0.25">
      <c r="A35" s="36"/>
      <c r="B35" s="68" t="s">
        <v>697</v>
      </c>
      <c r="C35" s="882">
        <v>5.0000000000000001E-3</v>
      </c>
      <c r="D35" s="207"/>
      <c r="E35" s="882">
        <v>5.0000000000000001E-3</v>
      </c>
      <c r="F35" s="586"/>
      <c r="G35" s="207"/>
      <c r="H35" s="230"/>
      <c r="I35" s="207"/>
      <c r="J35" s="36"/>
    </row>
    <row r="36" spans="1:10" x14ac:dyDescent="0.25">
      <c r="A36" s="36"/>
      <c r="B36" s="36"/>
      <c r="C36" s="295"/>
      <c r="D36" s="207"/>
      <c r="E36" s="295"/>
      <c r="F36" s="295"/>
      <c r="G36" s="207"/>
      <c r="H36" s="230"/>
      <c r="I36" s="207"/>
      <c r="J36" s="36"/>
    </row>
    <row r="37" spans="1:10" x14ac:dyDescent="0.25">
      <c r="A37" s="36"/>
      <c r="B37" s="36" t="s">
        <v>703</v>
      </c>
      <c r="C37" s="471">
        <f>+C33*C35</f>
        <v>85338.212500000009</v>
      </c>
      <c r="D37" s="207"/>
      <c r="E37" s="472">
        <f>+E33*E35</f>
        <v>95003.838692458085</v>
      </c>
      <c r="F37" s="586"/>
      <c r="G37" s="207"/>
      <c r="H37" s="230"/>
      <c r="I37" s="207"/>
      <c r="J37" s="36"/>
    </row>
    <row r="38" spans="1:10" x14ac:dyDescent="0.25">
      <c r="A38" s="36"/>
      <c r="B38" s="36" t="s">
        <v>704</v>
      </c>
      <c r="C38" s="471">
        <v>0</v>
      </c>
      <c r="D38" s="396"/>
      <c r="E38" s="473">
        <v>0</v>
      </c>
      <c r="F38" s="295"/>
      <c r="G38" s="207"/>
      <c r="H38" s="230"/>
      <c r="I38" s="207"/>
      <c r="J38" s="36"/>
    </row>
    <row r="39" spans="1:10" x14ac:dyDescent="0.25">
      <c r="A39" s="36"/>
      <c r="B39" s="36"/>
      <c r="C39" s="471"/>
      <c r="D39" s="396"/>
      <c r="E39" s="473"/>
      <c r="F39" s="586"/>
      <c r="G39" s="207"/>
      <c r="H39" s="230"/>
      <c r="I39" s="207"/>
      <c r="J39" s="36"/>
    </row>
    <row r="40" spans="1:10" x14ac:dyDescent="0.25">
      <c r="A40" s="36"/>
      <c r="B40" s="338" t="s">
        <v>698</v>
      </c>
      <c r="C40" s="883">
        <f>SUM(C37:C39)</f>
        <v>85338.212500000009</v>
      </c>
      <c r="D40" s="398"/>
      <c r="E40" s="935">
        <f>SUM(E37:E39)</f>
        <v>95003.838692458085</v>
      </c>
      <c r="F40" s="471"/>
      <c r="G40" s="207"/>
      <c r="H40" s="230"/>
      <c r="I40" s="207"/>
      <c r="J40" s="36"/>
    </row>
    <row r="41" spans="1:10" x14ac:dyDescent="0.25">
      <c r="A41" s="36"/>
      <c r="B41" s="36"/>
      <c r="C41" s="672"/>
      <c r="D41" s="396"/>
      <c r="E41" s="473"/>
      <c r="F41" s="520"/>
      <c r="G41" s="207"/>
      <c r="H41" s="230"/>
      <c r="I41" s="207"/>
      <c r="J41" s="36"/>
    </row>
    <row r="42" spans="1:10" x14ac:dyDescent="0.25">
      <c r="A42" s="36"/>
      <c r="B42" s="36"/>
      <c r="C42" s="472"/>
      <c r="D42" s="396"/>
      <c r="E42" s="473"/>
      <c r="F42" s="521"/>
      <c r="G42" s="207"/>
      <c r="H42" s="230"/>
      <c r="I42" s="207"/>
      <c r="J42" s="36"/>
    </row>
    <row r="43" spans="1:10" x14ac:dyDescent="0.25">
      <c r="A43" s="36"/>
      <c r="B43" s="36"/>
      <c r="C43" s="472"/>
      <c r="D43" s="396"/>
      <c r="E43" s="473"/>
      <c r="F43" s="207"/>
      <c r="G43" s="207"/>
      <c r="H43" s="207"/>
      <c r="I43" s="207"/>
      <c r="J43" s="36"/>
    </row>
    <row r="44" spans="1:10" x14ac:dyDescent="0.25">
      <c r="A44" s="36"/>
      <c r="B44" s="338" t="s">
        <v>701</v>
      </c>
      <c r="C44" s="472"/>
      <c r="D44" s="396"/>
      <c r="E44" s="473"/>
      <c r="F44" s="207"/>
      <c r="G44" s="207"/>
      <c r="H44" s="207"/>
      <c r="I44" s="207"/>
      <c r="J44" s="36"/>
    </row>
    <row r="45" spans="1:10" x14ac:dyDescent="0.25">
      <c r="A45" s="36"/>
      <c r="B45" s="36"/>
      <c r="C45" s="472"/>
      <c r="D45" s="396"/>
      <c r="E45" s="473"/>
      <c r="F45" s="207"/>
      <c r="G45" s="207"/>
      <c r="H45" s="207"/>
      <c r="I45" s="207"/>
      <c r="J45" s="36"/>
    </row>
    <row r="46" spans="1:10" x14ac:dyDescent="0.25">
      <c r="A46" s="36"/>
      <c r="B46" s="36" t="s">
        <v>705</v>
      </c>
      <c r="C46" s="472">
        <f>+'S1-Revenue Requirement'!C32-'S1-Revenue Requirement'!C25</f>
        <v>19769800.579999998</v>
      </c>
      <c r="D46" s="396"/>
      <c r="E46" s="472">
        <f>+'S1-Revenue Requirement'!E32-'S1-Revenue Requirement'!E25</f>
        <v>19590135.257980898</v>
      </c>
      <c r="F46" s="586" t="s">
        <v>1145</v>
      </c>
      <c r="G46" s="586"/>
      <c r="H46" s="207"/>
      <c r="I46" s="207"/>
      <c r="J46" s="36"/>
    </row>
    <row r="47" spans="1:10" x14ac:dyDescent="0.25">
      <c r="A47" s="36"/>
      <c r="B47" s="467" t="s">
        <v>699</v>
      </c>
      <c r="C47" s="471">
        <v>0</v>
      </c>
      <c r="D47" s="396"/>
      <c r="E47" s="472">
        <f>+'S1-Revenue Requirement'!E38</f>
        <v>2178588.9405107191</v>
      </c>
      <c r="F47" s="586" t="s">
        <v>687</v>
      </c>
      <c r="G47" s="586"/>
      <c r="H47" s="207"/>
      <c r="I47" s="207"/>
      <c r="J47" s="36"/>
    </row>
    <row r="48" spans="1:10" x14ac:dyDescent="0.25">
      <c r="A48" s="36"/>
      <c r="B48" s="36" t="s">
        <v>1120</v>
      </c>
      <c r="C48" s="472">
        <f>SUM(C46:C47)</f>
        <v>19769800.579999998</v>
      </c>
      <c r="D48" s="396"/>
      <c r="E48" s="472">
        <f>SUM(E46:E47)</f>
        <v>21768724.198491618</v>
      </c>
      <c r="F48" s="586"/>
      <c r="G48" s="586"/>
      <c r="H48" s="207"/>
      <c r="I48" s="207"/>
      <c r="J48" s="36"/>
    </row>
    <row r="49" spans="1:10" x14ac:dyDescent="0.25">
      <c r="A49" s="59"/>
      <c r="B49" s="36"/>
      <c r="C49" s="473"/>
      <c r="D49" s="396"/>
      <c r="E49" s="473"/>
      <c r="F49" s="586"/>
      <c r="G49" s="586"/>
      <c r="H49" s="207"/>
      <c r="I49" s="207"/>
      <c r="J49" s="36"/>
    </row>
    <row r="50" spans="1:10" s="1255" customFormat="1" x14ac:dyDescent="0.25">
      <c r="A50" s="59"/>
      <c r="B50" s="68" t="s">
        <v>702</v>
      </c>
      <c r="C50" s="1269">
        <v>5.2500000000000003E-3</v>
      </c>
      <c r="D50" s="1254"/>
      <c r="E50" s="1269">
        <v>5.2500000000000003E-3</v>
      </c>
      <c r="F50" s="65"/>
      <c r="G50" s="1254"/>
      <c r="H50" s="1254"/>
      <c r="I50" s="1254"/>
      <c r="J50" s="1254"/>
    </row>
    <row r="51" spans="1:10" x14ac:dyDescent="0.25">
      <c r="A51" s="125"/>
      <c r="B51" s="36"/>
      <c r="C51" s="473"/>
      <c r="D51" s="396"/>
      <c r="E51" s="473"/>
      <c r="F51" s="295"/>
      <c r="G51" s="586"/>
      <c r="H51" s="207"/>
      <c r="I51" s="36"/>
      <c r="J51" s="36"/>
    </row>
    <row r="52" spans="1:10" x14ac:dyDescent="0.25">
      <c r="A52" s="125"/>
      <c r="B52" s="36"/>
      <c r="C52" s="473"/>
      <c r="D52" s="396"/>
      <c r="E52" s="473"/>
      <c r="F52" s="295"/>
      <c r="G52" s="586"/>
      <c r="H52" s="227"/>
      <c r="I52" s="36"/>
      <c r="J52" s="36"/>
    </row>
    <row r="53" spans="1:10" x14ac:dyDescent="0.25">
      <c r="A53" s="125"/>
      <c r="B53" s="36" t="s">
        <v>703</v>
      </c>
      <c r="C53" s="471">
        <f>+C48*C50</f>
        <v>103791.453045</v>
      </c>
      <c r="D53" s="396"/>
      <c r="E53" s="472">
        <f>+E48*E50</f>
        <v>114285.80204208101</v>
      </c>
      <c r="F53" s="295"/>
      <c r="G53" s="586"/>
      <c r="H53" s="227"/>
      <c r="I53" s="36"/>
      <c r="J53" s="36"/>
    </row>
    <row r="54" spans="1:10" x14ac:dyDescent="0.25">
      <c r="A54" s="125"/>
      <c r="B54" s="36" t="s">
        <v>704</v>
      </c>
      <c r="C54" s="471">
        <v>0</v>
      </c>
      <c r="D54" s="396"/>
      <c r="E54" s="472">
        <v>0</v>
      </c>
      <c r="F54" s="295"/>
      <c r="G54" s="586"/>
      <c r="H54" s="227"/>
      <c r="I54" s="36"/>
      <c r="J54" s="36"/>
    </row>
    <row r="55" spans="1:10" x14ac:dyDescent="0.25">
      <c r="A55" s="36"/>
      <c r="B55" s="338"/>
      <c r="C55" s="471"/>
      <c r="D55" s="396"/>
      <c r="E55" s="472"/>
      <c r="F55" s="589"/>
      <c r="G55" s="586"/>
      <c r="H55" s="230"/>
      <c r="I55" s="36"/>
      <c r="J55" s="36"/>
    </row>
    <row r="56" spans="1:10" x14ac:dyDescent="0.25">
      <c r="A56" s="36"/>
      <c r="B56" s="338" t="s">
        <v>706</v>
      </c>
      <c r="C56" s="883">
        <f>SUM(C53:C55)</f>
        <v>103791.453045</v>
      </c>
      <c r="D56" s="398"/>
      <c r="E56" s="935">
        <f>SUM(E53:E55)</f>
        <v>114285.80204208101</v>
      </c>
      <c r="F56" s="295"/>
      <c r="G56" s="586"/>
      <c r="H56" s="230"/>
      <c r="I56" s="36"/>
      <c r="J56" s="36"/>
    </row>
    <row r="57" spans="1:10" x14ac:dyDescent="0.25">
      <c r="A57" s="36"/>
      <c r="B57" s="36"/>
      <c r="C57" s="707"/>
      <c r="D57" s="396"/>
      <c r="E57" s="473"/>
      <c r="F57" s="220"/>
      <c r="G57" s="207"/>
      <c r="H57" s="348"/>
      <c r="I57" s="36"/>
      <c r="J57" s="36"/>
    </row>
    <row r="58" spans="1:10" x14ac:dyDescent="0.25">
      <c r="A58" s="36"/>
      <c r="B58" s="36"/>
      <c r="C58" s="473"/>
      <c r="D58" s="396"/>
      <c r="E58" s="396"/>
      <c r="F58" s="220"/>
      <c r="G58" s="207"/>
      <c r="H58" s="348"/>
      <c r="I58" s="36"/>
      <c r="J58" s="36"/>
    </row>
    <row r="59" spans="1:10" x14ac:dyDescent="0.25">
      <c r="A59" s="36"/>
      <c r="B59" s="36"/>
      <c r="C59" s="396"/>
      <c r="D59" s="396"/>
      <c r="E59" s="396"/>
      <c r="F59" s="220"/>
      <c r="G59" s="207"/>
      <c r="H59" s="348"/>
      <c r="I59" s="36"/>
      <c r="J59" s="36"/>
    </row>
    <row r="60" spans="1:10" x14ac:dyDescent="0.25">
      <c r="A60" s="36"/>
      <c r="B60" s="338"/>
      <c r="C60" s="396"/>
      <c r="D60" s="396"/>
      <c r="E60" s="396"/>
      <c r="F60" s="450"/>
      <c r="G60" s="207"/>
      <c r="H60" s="348"/>
      <c r="I60" s="36"/>
      <c r="J60" s="36"/>
    </row>
    <row r="61" spans="1:10" x14ac:dyDescent="0.25">
      <c r="A61" s="36"/>
      <c r="B61" s="36"/>
      <c r="C61" s="396"/>
      <c r="D61" s="396"/>
      <c r="E61" s="396"/>
      <c r="F61" s="220"/>
      <c r="G61" s="207"/>
      <c r="H61" s="65"/>
      <c r="I61" s="36"/>
      <c r="J61" s="36"/>
    </row>
    <row r="62" spans="1:10" x14ac:dyDescent="0.25">
      <c r="A62" s="36"/>
      <c r="B62" s="36"/>
      <c r="C62" s="396"/>
      <c r="D62" s="396"/>
      <c r="E62" s="396"/>
      <c r="F62" s="220"/>
      <c r="G62" s="207"/>
      <c r="H62" s="65"/>
      <c r="I62" s="36"/>
      <c r="J62" s="36"/>
    </row>
    <row r="63" spans="1:10" x14ac:dyDescent="0.25">
      <c r="A63" s="36"/>
      <c r="B63" s="36"/>
      <c r="C63" s="396"/>
      <c r="D63" s="396"/>
      <c r="E63" s="396"/>
      <c r="F63" s="220"/>
      <c r="G63" s="207"/>
      <c r="H63" s="65"/>
      <c r="I63" s="36"/>
      <c r="J63" s="36"/>
    </row>
    <row r="64" spans="1:10" x14ac:dyDescent="0.25">
      <c r="A64" s="36"/>
      <c r="B64" s="36"/>
      <c r="C64" s="396"/>
      <c r="D64" s="396"/>
      <c r="E64" s="396"/>
      <c r="F64" s="220"/>
      <c r="G64" s="207"/>
      <c r="H64" s="65"/>
      <c r="I64" s="36"/>
      <c r="J64" s="36"/>
    </row>
    <row r="65" spans="1:10" x14ac:dyDescent="0.25">
      <c r="A65" s="36"/>
      <c r="B65" s="36"/>
      <c r="C65" s="396"/>
      <c r="D65" s="396"/>
      <c r="E65" s="396"/>
      <c r="F65" s="220"/>
      <c r="G65" s="207"/>
      <c r="H65" s="65"/>
      <c r="I65" s="36"/>
      <c r="J65" s="36"/>
    </row>
    <row r="66" spans="1:10" x14ac:dyDescent="0.25">
      <c r="A66" s="36"/>
      <c r="B66" s="36"/>
      <c r="C66" s="396"/>
      <c r="D66" s="396"/>
      <c r="E66" s="396"/>
      <c r="F66" s="220"/>
      <c r="G66" s="207"/>
      <c r="H66" s="65"/>
      <c r="I66" s="36"/>
      <c r="J66" s="36"/>
    </row>
    <row r="67" spans="1:10" x14ac:dyDescent="0.25">
      <c r="A67" s="36"/>
      <c r="B67" s="36"/>
      <c r="C67" s="396"/>
      <c r="D67" s="396"/>
      <c r="E67" s="396"/>
      <c r="F67" s="220"/>
      <c r="G67" s="207"/>
      <c r="H67" s="65"/>
      <c r="I67" s="36"/>
      <c r="J67" s="36"/>
    </row>
    <row r="68" spans="1:10" x14ac:dyDescent="0.25">
      <c r="A68" s="36"/>
      <c r="B68" s="36"/>
      <c r="C68" s="207"/>
      <c r="D68" s="207"/>
      <c r="E68" s="220"/>
      <c r="F68" s="220"/>
      <c r="G68" s="207"/>
      <c r="H68" s="349"/>
      <c r="I68" s="36"/>
      <c r="J68" s="36"/>
    </row>
    <row r="69" spans="1:10" x14ac:dyDescent="0.25">
      <c r="A69" s="36"/>
      <c r="B69" s="36"/>
      <c r="C69" s="207"/>
      <c r="D69" s="207"/>
      <c r="E69" s="220"/>
      <c r="F69" s="220"/>
      <c r="G69" s="207"/>
      <c r="H69" s="349"/>
      <c r="I69" s="36"/>
      <c r="J69" s="36"/>
    </row>
    <row r="70" spans="1:10" x14ac:dyDescent="0.25">
      <c r="A70" s="36"/>
      <c r="B70" s="36"/>
      <c r="C70" s="207"/>
      <c r="D70" s="207"/>
      <c r="E70" s="383"/>
      <c r="F70" s="383"/>
      <c r="G70" s="207"/>
      <c r="H70" s="348"/>
      <c r="I70" s="207"/>
      <c r="J70" s="36"/>
    </row>
    <row r="71" spans="1:10" x14ac:dyDescent="0.25">
      <c r="A71" s="36"/>
      <c r="B71" s="36"/>
      <c r="C71" s="207"/>
      <c r="D71" s="207"/>
      <c r="E71" s="220"/>
      <c r="F71" s="220"/>
      <c r="G71" s="207"/>
      <c r="H71" s="348"/>
      <c r="I71" s="207"/>
      <c r="J71" s="36"/>
    </row>
    <row r="72" spans="1:10" x14ac:dyDescent="0.25">
      <c r="A72" s="36"/>
      <c r="B72" s="36"/>
      <c r="C72" s="36"/>
      <c r="D72" s="36"/>
      <c r="E72" s="295"/>
      <c r="F72" s="295"/>
      <c r="G72" s="207"/>
      <c r="H72" s="348"/>
      <c r="I72" s="207"/>
      <c r="J72" s="36"/>
    </row>
    <row r="73" spans="1:10" x14ac:dyDescent="0.25">
      <c r="A73" s="36"/>
      <c r="B73" s="36"/>
      <c r="C73" s="36"/>
      <c r="D73" s="36"/>
      <c r="E73" s="205"/>
      <c r="F73" s="205"/>
      <c r="G73" s="207"/>
      <c r="H73" s="230"/>
      <c r="I73" s="207"/>
      <c r="J73" s="36"/>
    </row>
    <row r="74" spans="1:10" x14ac:dyDescent="0.25">
      <c r="A74" s="36"/>
      <c r="B74" s="36"/>
      <c r="C74" s="36"/>
      <c r="D74" s="36"/>
      <c r="E74" s="350"/>
      <c r="F74" s="350"/>
      <c r="G74" s="207"/>
      <c r="H74" s="230"/>
      <c r="I74" s="207"/>
      <c r="J74" s="36"/>
    </row>
    <row r="75" spans="1:10" x14ac:dyDescent="0.25">
      <c r="A75" s="36"/>
      <c r="B75" s="36"/>
      <c r="C75" s="36"/>
      <c r="D75" s="36"/>
      <c r="E75" s="33"/>
      <c r="F75" s="33"/>
      <c r="G75" s="36"/>
      <c r="H75" s="36"/>
      <c r="I75" s="36"/>
      <c r="J75" s="36"/>
    </row>
    <row r="76" spans="1:10" x14ac:dyDescent="0.25">
      <c r="A76" s="36"/>
      <c r="B76" s="36"/>
      <c r="C76" s="36"/>
      <c r="D76" s="36"/>
      <c r="E76" s="36"/>
      <c r="F76" s="36"/>
      <c r="G76" s="36"/>
      <c r="H76" s="36"/>
      <c r="I76" s="36"/>
      <c r="J76" s="36"/>
    </row>
    <row r="77" spans="1:10" x14ac:dyDescent="0.25">
      <c r="A77" s="36"/>
      <c r="B77" s="36"/>
      <c r="C77" s="36"/>
      <c r="D77" s="36"/>
      <c r="E77" s="36"/>
      <c r="F77" s="351"/>
      <c r="G77" s="36"/>
      <c r="H77" s="36"/>
      <c r="I77" s="36"/>
      <c r="J77" s="36"/>
    </row>
  </sheetData>
  <pageMargins left="0.75" right="0.75" top="1" bottom="1" header="0.5" footer="0.5"/>
  <pageSetup scale="52" orientation="portrait" r:id="rId1"/>
  <headerFooter alignWithMargins="0">
    <oddHeader>&amp;RS15</oddHeader>
    <oddFooter>&amp;L&amp;Z&amp;F&amp;R&amp;T&amp;D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69F7-B27D-4D12-B8CB-4E5F56AD8759}">
  <sheetPr>
    <pageSetUpPr fitToPage="1"/>
  </sheetPr>
  <dimension ref="A1:Q40"/>
  <sheetViews>
    <sheetView topLeftCell="A15" zoomScale="90" zoomScaleNormal="90" workbookViewId="0">
      <selection activeCell="L38" sqref="L38"/>
    </sheetView>
  </sheetViews>
  <sheetFormatPr defaultColWidth="8.90625" defaultRowHeight="14.4" x14ac:dyDescent="0.3"/>
  <cols>
    <col min="1" max="1" width="11.90625" style="1028" bestFit="1" customWidth="1"/>
    <col min="2" max="2" width="13.90625" style="1028" customWidth="1"/>
    <col min="3" max="3" width="13.1796875" style="1028" customWidth="1"/>
    <col min="4" max="4" width="10.90625" style="1028" customWidth="1"/>
    <col min="5" max="5" width="11.36328125" style="1028" customWidth="1"/>
    <col min="6" max="6" width="11" style="1028" bestFit="1" customWidth="1"/>
    <col min="7" max="9" width="8.90625" style="1028"/>
    <col min="10" max="10" width="14.453125" style="1028" customWidth="1"/>
    <col min="11" max="11" width="8.90625" style="1028"/>
    <col min="12" max="12" width="10.36328125" style="1028" bestFit="1" customWidth="1"/>
    <col min="13" max="16384" width="8.90625" style="1028"/>
  </cols>
  <sheetData>
    <row r="1" spans="1:17" x14ac:dyDescent="0.3">
      <c r="A1" s="64" t="s">
        <v>748</v>
      </c>
      <c r="C1" s="1223" t="s">
        <v>1468</v>
      </c>
      <c r="D1" s="1182"/>
    </row>
    <row r="2" spans="1:17" x14ac:dyDescent="0.3">
      <c r="A2" s="64" t="s">
        <v>1393</v>
      </c>
    </row>
    <row r="3" spans="1:17" x14ac:dyDescent="0.3">
      <c r="A3" s="1028" t="s">
        <v>1394</v>
      </c>
    </row>
    <row r="4" spans="1:17" ht="28.8" x14ac:dyDescent="0.3">
      <c r="A4" s="1027" t="s">
        <v>1371</v>
      </c>
      <c r="B4" s="1027" t="s">
        <v>1372</v>
      </c>
      <c r="C4" s="1027" t="s">
        <v>1373</v>
      </c>
      <c r="D4" s="1027" t="s">
        <v>1374</v>
      </c>
    </row>
    <row r="5" spans="1:17" x14ac:dyDescent="0.3">
      <c r="A5" s="1028" t="s">
        <v>1375</v>
      </c>
      <c r="B5" s="1028">
        <v>252</v>
      </c>
      <c r="C5" s="1028">
        <v>1580</v>
      </c>
      <c r="D5" s="1028">
        <v>1580</v>
      </c>
    </row>
    <row r="6" spans="1:17" x14ac:dyDescent="0.3">
      <c r="A6" s="1028">
        <v>2017</v>
      </c>
      <c r="B6" s="1028">
        <v>131</v>
      </c>
      <c r="C6" s="1028">
        <v>911.57</v>
      </c>
      <c r="D6" s="1028">
        <v>2491.5700000000002</v>
      </c>
    </row>
    <row r="7" spans="1:17" x14ac:dyDescent="0.3">
      <c r="A7" s="1029">
        <v>43101</v>
      </c>
      <c r="B7" s="1028">
        <v>3</v>
      </c>
      <c r="C7" s="1028">
        <v>18.600000000000001</v>
      </c>
    </row>
    <row r="8" spans="1:17" x14ac:dyDescent="0.3">
      <c r="A8" s="1029">
        <v>43132</v>
      </c>
      <c r="B8" s="1028">
        <v>2</v>
      </c>
      <c r="C8" s="1028">
        <v>11.4</v>
      </c>
      <c r="K8" s="1028" t="s">
        <v>1455</v>
      </c>
      <c r="L8" s="1028" t="s">
        <v>1456</v>
      </c>
      <c r="M8" s="1028" t="s">
        <v>1457</v>
      </c>
    </row>
    <row r="9" spans="1:17" x14ac:dyDescent="0.3">
      <c r="A9" s="1029">
        <v>43160</v>
      </c>
      <c r="B9" s="1028">
        <v>8</v>
      </c>
      <c r="C9" s="1028">
        <v>55.8</v>
      </c>
      <c r="J9" s="1182" t="s">
        <v>1458</v>
      </c>
      <c r="K9" s="1183">
        <v>44378</v>
      </c>
      <c r="L9" s="1183">
        <v>44742</v>
      </c>
      <c r="M9" s="1184">
        <f>+L9-K9</f>
        <v>364</v>
      </c>
    </row>
    <row r="10" spans="1:17" x14ac:dyDescent="0.3">
      <c r="A10" s="1029">
        <v>43191</v>
      </c>
      <c r="B10" s="1028">
        <v>7</v>
      </c>
      <c r="C10" s="1028">
        <v>39.4</v>
      </c>
      <c r="J10" s="1185" t="s">
        <v>1459</v>
      </c>
      <c r="K10" s="1186">
        <v>44866</v>
      </c>
      <c r="L10" s="1186">
        <v>45230</v>
      </c>
      <c r="M10" s="1187">
        <f>+L10-K10</f>
        <v>364</v>
      </c>
    </row>
    <row r="11" spans="1:17" x14ac:dyDescent="0.3">
      <c r="A11" s="1029">
        <v>43221</v>
      </c>
      <c r="B11" s="1028">
        <v>7</v>
      </c>
      <c r="C11" s="1028">
        <v>48</v>
      </c>
    </row>
    <row r="12" spans="1:17" x14ac:dyDescent="0.3">
      <c r="A12" s="1029">
        <v>43252</v>
      </c>
      <c r="B12" s="1028">
        <v>13</v>
      </c>
      <c r="C12" s="1028">
        <v>86.2</v>
      </c>
    </row>
    <row r="13" spans="1:17" x14ac:dyDescent="0.3">
      <c r="A13" s="1029">
        <v>43282</v>
      </c>
      <c r="B13" s="1028">
        <v>8</v>
      </c>
      <c r="C13" s="1028">
        <v>60.4</v>
      </c>
    </row>
    <row r="14" spans="1:17" ht="28.8" x14ac:dyDescent="0.3">
      <c r="A14" s="1029">
        <v>43313</v>
      </c>
      <c r="B14" s="1028">
        <v>8</v>
      </c>
      <c r="C14" s="1028">
        <v>59.4</v>
      </c>
      <c r="D14" s="1028" t="s">
        <v>1376</v>
      </c>
      <c r="E14" s="1028" t="s">
        <v>1377</v>
      </c>
      <c r="F14" s="1028" t="s">
        <v>667</v>
      </c>
      <c r="G14" s="1028" t="s">
        <v>1378</v>
      </c>
      <c r="L14" s="1188" t="s">
        <v>1460</v>
      </c>
      <c r="M14" s="1189" t="s">
        <v>1376</v>
      </c>
      <c r="N14" s="1189" t="s">
        <v>1377</v>
      </c>
      <c r="O14" s="1189" t="s">
        <v>667</v>
      </c>
      <c r="P14" s="1189" t="s">
        <v>1378</v>
      </c>
      <c r="Q14" s="1028" t="s">
        <v>1461</v>
      </c>
    </row>
    <row r="15" spans="1:17" ht="15.6" x14ac:dyDescent="0.3">
      <c r="A15" s="1029">
        <v>43344</v>
      </c>
      <c r="B15" s="1028">
        <v>13</v>
      </c>
      <c r="C15" s="1028">
        <v>110.2</v>
      </c>
      <c r="D15" s="1030">
        <f>+C15</f>
        <v>110.2</v>
      </c>
      <c r="E15" s="1031">
        <f>+C15/2</f>
        <v>55.1</v>
      </c>
      <c r="F15" s="1033">
        <f>+E15*G15*24*0.13</f>
        <v>5157.3600000000006</v>
      </c>
      <c r="G15" s="1028">
        <v>30</v>
      </c>
      <c r="J15" s="1190">
        <v>44378</v>
      </c>
      <c r="K15" s="1191">
        <v>3</v>
      </c>
      <c r="L15" s="1192">
        <v>17</v>
      </c>
      <c r="M15" s="1193">
        <f>+L15</f>
        <v>17</v>
      </c>
      <c r="N15" s="1194">
        <f>+L15/2</f>
        <v>8.5</v>
      </c>
      <c r="O15" s="1195">
        <f t="shared" ref="O15:O26" si="0">+N15*P15*24*0.13</f>
        <v>822.12</v>
      </c>
      <c r="P15" s="1028">
        <v>31</v>
      </c>
      <c r="Q15" s="1028">
        <v>22.25</v>
      </c>
    </row>
    <row r="16" spans="1:17" ht="15.6" x14ac:dyDescent="0.3">
      <c r="A16" s="1029">
        <v>43374</v>
      </c>
      <c r="B16" s="1028">
        <v>4</v>
      </c>
      <c r="C16" s="1028">
        <v>22.6</v>
      </c>
      <c r="D16" s="1030">
        <f t="shared" ref="D16:D26" si="1">+D15+C16</f>
        <v>132.80000000000001</v>
      </c>
      <c r="E16" s="1031">
        <f>+C16/2+D15</f>
        <v>121.5</v>
      </c>
      <c r="F16" s="1033">
        <f>+E16*G16*24*0.13</f>
        <v>11751.48</v>
      </c>
      <c r="G16" s="1028">
        <v>31</v>
      </c>
      <c r="J16" s="1196">
        <v>44409</v>
      </c>
      <c r="K16" s="1191">
        <v>17</v>
      </c>
      <c r="L16" s="1192">
        <v>138</v>
      </c>
      <c r="M16" s="1193">
        <f t="shared" ref="M16:M26" si="2">+M15+L16</f>
        <v>155</v>
      </c>
      <c r="N16" s="1194">
        <f t="shared" ref="N16:N26" si="3">+L16/2+M15</f>
        <v>86</v>
      </c>
      <c r="O16" s="1195">
        <f t="shared" si="0"/>
        <v>8317.92</v>
      </c>
      <c r="P16" s="1028">
        <v>31</v>
      </c>
      <c r="Q16" s="1028">
        <v>22.25</v>
      </c>
    </row>
    <row r="17" spans="1:17" ht="15.6" x14ac:dyDescent="0.3">
      <c r="A17" s="1029">
        <v>43405</v>
      </c>
      <c r="B17" s="1028">
        <v>13</v>
      </c>
      <c r="C17" s="1028">
        <v>481.8</v>
      </c>
      <c r="D17" s="1030">
        <f t="shared" si="1"/>
        <v>614.6</v>
      </c>
      <c r="E17" s="1031">
        <f t="shared" ref="E17:E26" si="4">+C17/2+D16</f>
        <v>373.70000000000005</v>
      </c>
      <c r="F17" s="1033">
        <f t="shared" ref="F17:F26" si="5">+E17*G17*24*0.13</f>
        <v>34978.320000000007</v>
      </c>
      <c r="G17" s="1028">
        <v>30</v>
      </c>
      <c r="J17" s="1197">
        <v>44440</v>
      </c>
      <c r="K17" s="1191">
        <v>16</v>
      </c>
      <c r="L17" s="1192">
        <v>169</v>
      </c>
      <c r="M17" s="1193">
        <f t="shared" si="2"/>
        <v>324</v>
      </c>
      <c r="N17" s="1194">
        <f t="shared" si="3"/>
        <v>239.5</v>
      </c>
      <c r="O17" s="1195">
        <f t="shared" si="0"/>
        <v>22417.200000000001</v>
      </c>
      <c r="P17" s="1028">
        <v>30</v>
      </c>
      <c r="Q17" s="1028">
        <v>22.25</v>
      </c>
    </row>
    <row r="18" spans="1:17" ht="15.6" x14ac:dyDescent="0.3">
      <c r="A18" s="1029">
        <v>43435</v>
      </c>
      <c r="B18" s="1028">
        <v>11</v>
      </c>
      <c r="C18" s="1028">
        <v>74.400000000000006</v>
      </c>
      <c r="D18" s="1030">
        <f t="shared" si="1"/>
        <v>689</v>
      </c>
      <c r="E18" s="1031">
        <f t="shared" si="4"/>
        <v>651.80000000000007</v>
      </c>
      <c r="F18" s="1033">
        <f t="shared" si="5"/>
        <v>63042.096000000012</v>
      </c>
      <c r="G18" s="1028">
        <v>31</v>
      </c>
      <c r="J18" s="1196">
        <v>44490</v>
      </c>
      <c r="K18" s="1191">
        <v>5</v>
      </c>
      <c r="L18" s="1192">
        <v>32</v>
      </c>
      <c r="M18" s="1193">
        <f t="shared" si="2"/>
        <v>356</v>
      </c>
      <c r="N18" s="1194">
        <f t="shared" si="3"/>
        <v>340</v>
      </c>
      <c r="O18" s="1195">
        <f t="shared" si="0"/>
        <v>32884.800000000003</v>
      </c>
      <c r="P18" s="1028">
        <v>31</v>
      </c>
      <c r="Q18" s="1028">
        <v>22.25</v>
      </c>
    </row>
    <row r="19" spans="1:17" ht="15.6" x14ac:dyDescent="0.3">
      <c r="A19" s="1029">
        <v>43466</v>
      </c>
      <c r="B19" s="1028">
        <v>4</v>
      </c>
      <c r="C19" s="1172">
        <v>23.6</v>
      </c>
      <c r="D19" s="1030">
        <f t="shared" si="1"/>
        <v>712.6</v>
      </c>
      <c r="E19" s="1031">
        <f t="shared" si="4"/>
        <v>700.8</v>
      </c>
      <c r="F19" s="1033">
        <f t="shared" si="5"/>
        <v>67781.375999999989</v>
      </c>
      <c r="G19" s="1028">
        <v>31</v>
      </c>
      <c r="J19" s="1198">
        <v>44501</v>
      </c>
      <c r="K19" s="1191">
        <v>10</v>
      </c>
      <c r="L19" s="1192">
        <v>100</v>
      </c>
      <c r="M19" s="1193">
        <f t="shared" si="2"/>
        <v>456</v>
      </c>
      <c r="N19" s="1194">
        <f t="shared" si="3"/>
        <v>406</v>
      </c>
      <c r="O19" s="1195">
        <f t="shared" si="0"/>
        <v>38001.599999999999</v>
      </c>
      <c r="P19" s="1028">
        <v>30</v>
      </c>
      <c r="Q19" s="1028">
        <v>22.25</v>
      </c>
    </row>
    <row r="20" spans="1:17" ht="15.6" x14ac:dyDescent="0.3">
      <c r="A20" s="1029">
        <v>43497</v>
      </c>
      <c r="B20" s="1028">
        <v>1</v>
      </c>
      <c r="C20" s="1172">
        <v>15</v>
      </c>
      <c r="D20" s="1030">
        <f t="shared" si="1"/>
        <v>727.6</v>
      </c>
      <c r="E20" s="1031">
        <f t="shared" si="4"/>
        <v>720.1</v>
      </c>
      <c r="F20" s="1033">
        <f t="shared" si="5"/>
        <v>62907.935999999994</v>
      </c>
      <c r="G20" s="1028">
        <v>28</v>
      </c>
      <c r="J20" s="1196">
        <v>44531</v>
      </c>
      <c r="K20" s="1191">
        <v>8</v>
      </c>
      <c r="L20" s="1192">
        <v>167</v>
      </c>
      <c r="M20" s="1193">
        <f t="shared" si="2"/>
        <v>623</v>
      </c>
      <c r="N20" s="1194">
        <f t="shared" si="3"/>
        <v>539.5</v>
      </c>
      <c r="O20" s="1195">
        <f t="shared" si="0"/>
        <v>52180.44</v>
      </c>
      <c r="P20" s="1028">
        <v>31</v>
      </c>
      <c r="Q20" s="1028">
        <v>22.25</v>
      </c>
    </row>
    <row r="21" spans="1:17" ht="15.6" x14ac:dyDescent="0.3">
      <c r="A21" s="1029">
        <v>43525</v>
      </c>
      <c r="B21" s="1028">
        <v>6</v>
      </c>
      <c r="C21" s="1172">
        <v>38.4</v>
      </c>
      <c r="D21" s="1030">
        <f t="shared" si="1"/>
        <v>766</v>
      </c>
      <c r="E21" s="1031">
        <f t="shared" si="4"/>
        <v>746.80000000000007</v>
      </c>
      <c r="F21" s="1033">
        <f t="shared" si="5"/>
        <v>72230.496000000014</v>
      </c>
      <c r="G21" s="1028">
        <v>31</v>
      </c>
      <c r="J21" s="1196">
        <v>44562</v>
      </c>
      <c r="K21" s="1191">
        <v>7</v>
      </c>
      <c r="L21" s="1199">
        <v>44</v>
      </c>
      <c r="M21" s="1193">
        <f t="shared" si="2"/>
        <v>667</v>
      </c>
      <c r="N21" s="1194">
        <f t="shared" si="3"/>
        <v>645</v>
      </c>
      <c r="O21" s="1195">
        <f t="shared" si="0"/>
        <v>62384.4</v>
      </c>
      <c r="P21" s="1028">
        <v>31</v>
      </c>
      <c r="Q21" s="1028">
        <v>22.25</v>
      </c>
    </row>
    <row r="22" spans="1:17" ht="15.6" x14ac:dyDescent="0.3">
      <c r="A22" s="1029">
        <v>43556</v>
      </c>
      <c r="B22" s="1028">
        <v>3</v>
      </c>
      <c r="C22" s="1172">
        <v>31.4</v>
      </c>
      <c r="D22" s="1030">
        <f t="shared" si="1"/>
        <v>797.4</v>
      </c>
      <c r="E22" s="1031">
        <f t="shared" si="4"/>
        <v>781.7</v>
      </c>
      <c r="F22" s="1033">
        <f t="shared" si="5"/>
        <v>73167.12</v>
      </c>
      <c r="G22" s="1028">
        <v>30</v>
      </c>
      <c r="J22" s="1196">
        <v>44593</v>
      </c>
      <c r="K22" s="1191">
        <v>10</v>
      </c>
      <c r="L22" s="1199">
        <v>65</v>
      </c>
      <c r="M22" s="1193">
        <f t="shared" si="2"/>
        <v>732</v>
      </c>
      <c r="N22" s="1194">
        <f t="shared" si="3"/>
        <v>699.5</v>
      </c>
      <c r="O22" s="1195">
        <f t="shared" si="0"/>
        <v>61108.32</v>
      </c>
      <c r="P22" s="1028">
        <v>28</v>
      </c>
      <c r="Q22" s="1028">
        <v>22.25</v>
      </c>
    </row>
    <row r="23" spans="1:17" ht="15.6" x14ac:dyDescent="0.3">
      <c r="A23" s="1029">
        <v>43586</v>
      </c>
      <c r="B23" s="1028">
        <v>7</v>
      </c>
      <c r="C23" s="1172">
        <v>54</v>
      </c>
      <c r="D23" s="1030">
        <f t="shared" si="1"/>
        <v>851.4</v>
      </c>
      <c r="E23" s="1031">
        <f t="shared" si="4"/>
        <v>824.4</v>
      </c>
      <c r="F23" s="1033">
        <f t="shared" si="5"/>
        <v>79735.967999999993</v>
      </c>
      <c r="G23" s="1028">
        <v>31</v>
      </c>
      <c r="J23" s="1200">
        <v>44621</v>
      </c>
      <c r="K23" s="1191">
        <v>7</v>
      </c>
      <c r="L23" s="1199">
        <v>54</v>
      </c>
      <c r="M23" s="1193">
        <f t="shared" si="2"/>
        <v>786</v>
      </c>
      <c r="N23" s="1194">
        <f t="shared" si="3"/>
        <v>759</v>
      </c>
      <c r="O23" s="1195">
        <f t="shared" si="0"/>
        <v>73410.48</v>
      </c>
      <c r="P23" s="1028">
        <v>31</v>
      </c>
      <c r="Q23" s="1028">
        <v>22.25</v>
      </c>
    </row>
    <row r="24" spans="1:17" ht="15.6" x14ac:dyDescent="0.3">
      <c r="A24" s="1029">
        <v>43617</v>
      </c>
      <c r="B24" s="1028">
        <v>10</v>
      </c>
      <c r="C24" s="1172">
        <v>78.400000000000006</v>
      </c>
      <c r="D24" s="1030">
        <f t="shared" si="1"/>
        <v>929.8</v>
      </c>
      <c r="E24" s="1031">
        <f t="shared" si="4"/>
        <v>890.6</v>
      </c>
      <c r="F24" s="1033">
        <f t="shared" si="5"/>
        <v>83360.160000000003</v>
      </c>
      <c r="G24" s="1028">
        <v>30</v>
      </c>
      <c r="J24" s="1196">
        <v>44652</v>
      </c>
      <c r="K24" s="1191">
        <v>2</v>
      </c>
      <c r="L24" s="1199">
        <v>17.399999999999999</v>
      </c>
      <c r="M24" s="1193">
        <f t="shared" si="2"/>
        <v>803.4</v>
      </c>
      <c r="N24" s="1194">
        <f t="shared" si="3"/>
        <v>794.7</v>
      </c>
      <c r="O24" s="1195">
        <f t="shared" si="0"/>
        <v>74383.92</v>
      </c>
      <c r="P24" s="1028">
        <v>30</v>
      </c>
      <c r="Q24" s="1028">
        <v>22.25</v>
      </c>
    </row>
    <row r="25" spans="1:17" ht="15.6" x14ac:dyDescent="0.3">
      <c r="A25" s="1029">
        <v>43647</v>
      </c>
      <c r="B25" s="1028">
        <v>8</v>
      </c>
      <c r="C25" s="1172">
        <v>116</v>
      </c>
      <c r="D25" s="1030">
        <f t="shared" si="1"/>
        <v>1045.8</v>
      </c>
      <c r="E25" s="1031">
        <f t="shared" si="4"/>
        <v>987.8</v>
      </c>
      <c r="F25" s="1033">
        <f t="shared" si="5"/>
        <v>95540.016000000003</v>
      </c>
      <c r="G25" s="1028">
        <v>31</v>
      </c>
      <c r="J25" s="1196">
        <v>44682</v>
      </c>
      <c r="K25" s="1191">
        <v>8</v>
      </c>
      <c r="L25" s="1199">
        <v>57</v>
      </c>
      <c r="M25" s="1193">
        <f t="shared" si="2"/>
        <v>860.4</v>
      </c>
      <c r="N25" s="1194">
        <f t="shared" si="3"/>
        <v>831.9</v>
      </c>
      <c r="O25" s="1195">
        <f t="shared" si="0"/>
        <v>80461.368000000002</v>
      </c>
      <c r="P25" s="1028">
        <v>31</v>
      </c>
      <c r="Q25" s="1028">
        <v>22.25</v>
      </c>
    </row>
    <row r="26" spans="1:17" ht="15.6" x14ac:dyDescent="0.3">
      <c r="A26" s="1029">
        <v>43678</v>
      </c>
      <c r="B26" s="1028">
        <v>12</v>
      </c>
      <c r="C26" s="1172">
        <v>90</v>
      </c>
      <c r="D26" s="1030">
        <f t="shared" si="1"/>
        <v>1135.8</v>
      </c>
      <c r="E26" s="1031">
        <f t="shared" si="4"/>
        <v>1090.8</v>
      </c>
      <c r="F26" s="1033">
        <f t="shared" si="5"/>
        <v>105502.17599999999</v>
      </c>
      <c r="G26" s="1028">
        <v>31</v>
      </c>
      <c r="J26" s="1200">
        <v>44713</v>
      </c>
      <c r="K26" s="1191">
        <v>14</v>
      </c>
      <c r="L26" s="1199">
        <v>103</v>
      </c>
      <c r="M26" s="1193">
        <f t="shared" si="2"/>
        <v>963.4</v>
      </c>
      <c r="N26" s="1194">
        <f t="shared" si="3"/>
        <v>911.9</v>
      </c>
      <c r="O26" s="1195">
        <f t="shared" si="0"/>
        <v>85353.84</v>
      </c>
      <c r="P26" s="1028">
        <v>30</v>
      </c>
      <c r="Q26" s="1028">
        <v>22.25</v>
      </c>
    </row>
    <row r="27" spans="1:17" ht="15.6" x14ac:dyDescent="0.3">
      <c r="A27" s="1029"/>
      <c r="C27" s="1172"/>
      <c r="J27" s="1196"/>
      <c r="K27" s="1191">
        <f>SUM(K15:K26)</f>
        <v>107</v>
      </c>
      <c r="L27" s="1201">
        <f>SUM(L15:L26)</f>
        <v>963.4</v>
      </c>
      <c r="M27" s="1202"/>
      <c r="N27" s="1194"/>
      <c r="O27" s="1203"/>
    </row>
    <row r="28" spans="1:17" ht="30.6" x14ac:dyDescent="0.3">
      <c r="A28" s="1028" t="s">
        <v>1379</v>
      </c>
      <c r="C28" s="1172">
        <f>SUM(C15:C26)</f>
        <v>1135.8</v>
      </c>
      <c r="E28" s="1032" t="s">
        <v>1380</v>
      </c>
      <c r="F28" s="1033">
        <f>SUM(F15:F26)</f>
        <v>755154.50399999996</v>
      </c>
      <c r="G28" s="1028">
        <f>SUM(G15:G26)</f>
        <v>365</v>
      </c>
      <c r="J28" s="1204" t="s">
        <v>1462</v>
      </c>
      <c r="K28" s="1191"/>
      <c r="L28" s="1205">
        <f>SUM(L15:L26)</f>
        <v>963.4</v>
      </c>
      <c r="M28" s="1206" t="s">
        <v>1463</v>
      </c>
      <c r="N28" s="1206"/>
      <c r="O28" s="1207">
        <f>SUM(O15:O26)</f>
        <v>591726.40799999994</v>
      </c>
      <c r="P28" s="1028">
        <f>SUM(P15:P27)</f>
        <v>365</v>
      </c>
    </row>
    <row r="29" spans="1:17" ht="15.6" x14ac:dyDescent="0.3">
      <c r="C29" s="1172">
        <f>+C28*8760*0.13</f>
        <v>1293449.04</v>
      </c>
      <c r="D29" s="1034">
        <f>+F28/C29</f>
        <v>0.58383011672419649</v>
      </c>
      <c r="L29" s="1035">
        <f>(L28*8760*0.13)</f>
        <v>1097119.92</v>
      </c>
      <c r="M29" s="1208">
        <f>+O28/L29</f>
        <v>0.53934524131145112</v>
      </c>
      <c r="N29" s="1191"/>
    </row>
    <row r="30" spans="1:17" ht="43.2" x14ac:dyDescent="0.3">
      <c r="A30" s="1027" t="s">
        <v>1381</v>
      </c>
      <c r="C30" s="1173">
        <f>+(C28*8760*0.13)-F28</f>
        <v>538294.53600000008</v>
      </c>
      <c r="F30" s="1209"/>
      <c r="J30" s="1027" t="s">
        <v>1381</v>
      </c>
      <c r="K30" s="1191"/>
      <c r="L30" s="1193">
        <f>+(L28*8760*0.13)-O28</f>
        <v>505393.51199999999</v>
      </c>
      <c r="M30" s="1191"/>
      <c r="N30" s="1191"/>
      <c r="O30" s="1035"/>
    </row>
    <row r="31" spans="1:17" ht="45.6" x14ac:dyDescent="0.3">
      <c r="A31" s="1028" t="s">
        <v>1382</v>
      </c>
      <c r="C31" s="1035">
        <f>+F28</f>
        <v>755154.50399999996</v>
      </c>
      <c r="J31" s="1210" t="s">
        <v>1464</v>
      </c>
      <c r="K31" s="1191"/>
      <c r="L31" s="1195">
        <f>+O28</f>
        <v>591726.40799999994</v>
      </c>
      <c r="M31" s="1191"/>
      <c r="N31" s="1191"/>
    </row>
    <row r="32" spans="1:17" ht="45.6" x14ac:dyDescent="0.3">
      <c r="A32" s="1028" t="s">
        <v>1383</v>
      </c>
      <c r="C32" s="1035">
        <f>+C31+C30</f>
        <v>1293449.04</v>
      </c>
      <c r="J32" s="1210" t="s">
        <v>1465</v>
      </c>
      <c r="K32" s="1191"/>
      <c r="L32" s="1194">
        <f>+L31+L30</f>
        <v>1097119.92</v>
      </c>
      <c r="M32" s="1191"/>
      <c r="N32" s="1191"/>
    </row>
    <row r="33" spans="2:15" ht="15.6" x14ac:dyDescent="0.3">
      <c r="B33" s="1032" t="s">
        <v>1384</v>
      </c>
      <c r="C33" s="1211">
        <f>14958151/70493884</f>
        <v>0.21219076253480373</v>
      </c>
      <c r="J33" s="1212" t="s">
        <v>1384</v>
      </c>
      <c r="K33" s="1191"/>
      <c r="L33" s="1211">
        <f>16944851/70503428</f>
        <v>0.24034081009507793</v>
      </c>
      <c r="M33" s="1191"/>
      <c r="N33" s="1191"/>
    </row>
    <row r="34" spans="2:15" ht="15.6" x14ac:dyDescent="0.3">
      <c r="B34" s="1032" t="s">
        <v>1385</v>
      </c>
      <c r="C34" s="1174">
        <f>+C33*C32</f>
        <v>274457.93809750985</v>
      </c>
      <c r="J34" s="1028" t="s">
        <v>1466</v>
      </c>
      <c r="K34" s="1191"/>
      <c r="L34" s="1213">
        <f>+L33*L32</f>
        <v>263682.69034424709</v>
      </c>
    </row>
    <row r="35" spans="2:15" x14ac:dyDescent="0.3">
      <c r="B35" s="1032" t="s">
        <v>1386</v>
      </c>
      <c r="C35" s="1028">
        <f>SUM(B15:B26)</f>
        <v>92</v>
      </c>
      <c r="J35" s="1032" t="s">
        <v>1386</v>
      </c>
      <c r="L35" s="1028">
        <f>SUM(K15:K26)</f>
        <v>107</v>
      </c>
    </row>
    <row r="36" spans="2:15" ht="28.8" x14ac:dyDescent="0.3">
      <c r="B36" s="1032" t="s">
        <v>1387</v>
      </c>
      <c r="C36" s="1174">
        <f>+C35*14.19*12</f>
        <v>15665.76</v>
      </c>
      <c r="J36" s="1214" t="s">
        <v>1387</v>
      </c>
      <c r="L36" s="1215">
        <f>+L35*Q26*12</f>
        <v>28569</v>
      </c>
    </row>
    <row r="37" spans="2:15" x14ac:dyDescent="0.3">
      <c r="B37" s="1032" t="s">
        <v>1388</v>
      </c>
      <c r="C37" s="1216">
        <f>+C34-C36</f>
        <v>258792.17809750984</v>
      </c>
      <c r="L37" s="1216"/>
    </row>
    <row r="38" spans="2:15" x14ac:dyDescent="0.3">
      <c r="J38" s="1212" t="s">
        <v>1388</v>
      </c>
      <c r="K38" s="1217"/>
      <c r="L38" s="1218">
        <f>+L34-L36</f>
        <v>235113.69034424709</v>
      </c>
    </row>
    <row r="39" spans="2:15" ht="15.6" x14ac:dyDescent="0.3">
      <c r="C39" s="1036">
        <v>1.0900000000000001</v>
      </c>
      <c r="D39" s="1028" t="s">
        <v>1389</v>
      </c>
      <c r="L39" s="1219">
        <v>1.0900000000000001</v>
      </c>
      <c r="M39" s="1028" t="s">
        <v>1467</v>
      </c>
    </row>
    <row r="40" spans="2:15" ht="15.6" x14ac:dyDescent="0.3">
      <c r="C40" s="1035">
        <f>+C39*C32</f>
        <v>1409859.4536000001</v>
      </c>
      <c r="D40" s="1033" t="s">
        <v>1390</v>
      </c>
      <c r="L40" s="1220">
        <f>+L32*L39</f>
        <v>1195860.7128000001</v>
      </c>
      <c r="M40" s="1221" t="s">
        <v>1390</v>
      </c>
      <c r="N40" s="1222"/>
      <c r="O40" s="1222"/>
    </row>
  </sheetData>
  <pageMargins left="0.7" right="0.7" top="0.75" bottom="0.75" header="0.3" footer="0.3"/>
  <pageSetup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J84"/>
  <sheetViews>
    <sheetView zoomScale="90" zoomScaleNormal="90" workbookViewId="0">
      <selection activeCell="Q25" sqref="Q25"/>
    </sheetView>
  </sheetViews>
  <sheetFormatPr defaultColWidth="8.90625" defaultRowHeight="15" x14ac:dyDescent="0.25"/>
  <cols>
    <col min="1" max="1" width="9" style="423" bestFit="1" customWidth="1"/>
    <col min="2" max="2" width="49.1796875" style="423" bestFit="1" customWidth="1"/>
    <col min="3" max="3" width="2.90625" style="423" customWidth="1"/>
    <col min="4" max="4" width="15.453125" style="466" bestFit="1" customWidth="1"/>
    <col min="5" max="5" width="4.90625" style="466" bestFit="1" customWidth="1"/>
    <col min="6" max="6" width="11.1796875" style="453" bestFit="1" customWidth="1"/>
    <col min="7" max="7" width="12.90625" style="453" bestFit="1" customWidth="1"/>
    <col min="8" max="8" width="14.36328125" style="453" customWidth="1"/>
    <col min="9" max="9" width="4.6328125" style="453" customWidth="1"/>
    <col min="10" max="11" width="12.90625" style="453" customWidth="1"/>
    <col min="12" max="12" width="4.1796875" style="453" customWidth="1"/>
    <col min="13" max="13" width="12.90625" style="453" customWidth="1"/>
    <col min="14" max="14" width="13.453125" style="453" bestFit="1" customWidth="1"/>
    <col min="15" max="15" width="13.453125" style="453" customWidth="1"/>
    <col min="16" max="16" width="4.453125" style="453" customWidth="1"/>
    <col min="17" max="17" width="13.453125" style="453" customWidth="1"/>
    <col min="18" max="18" width="14.54296875" style="453" customWidth="1"/>
    <col min="19" max="19" width="5" style="453" bestFit="1" customWidth="1"/>
    <col min="20" max="20" width="20" style="453" bestFit="1" customWidth="1"/>
    <col min="21" max="21" width="4.08984375" style="453" customWidth="1"/>
    <col min="22" max="22" width="10" style="453" bestFit="1" customWidth="1"/>
    <col min="23" max="16384" width="8.90625" style="423"/>
  </cols>
  <sheetData>
    <row r="1" spans="1:36" x14ac:dyDescent="0.25">
      <c r="A1" s="375">
        <v>1</v>
      </c>
      <c r="B1" s="562" t="s">
        <v>747</v>
      </c>
      <c r="C1" s="561"/>
      <c r="D1" s="563"/>
      <c r="E1" s="561"/>
      <c r="F1" s="489"/>
      <c r="G1" s="489"/>
      <c r="H1" s="489"/>
      <c r="I1" s="489"/>
      <c r="J1" s="489"/>
      <c r="K1" s="489"/>
      <c r="L1" s="489"/>
      <c r="M1" s="489"/>
      <c r="N1" s="561"/>
      <c r="O1" s="561"/>
      <c r="P1" s="377"/>
      <c r="Q1" s="561"/>
      <c r="R1" s="561"/>
      <c r="S1" s="561"/>
      <c r="T1" s="561"/>
      <c r="U1" s="561"/>
      <c r="V1" s="428"/>
      <c r="W1" s="591"/>
      <c r="X1" s="591"/>
      <c r="Y1" s="591"/>
      <c r="Z1" s="591"/>
      <c r="AA1" s="591"/>
      <c r="AB1" s="591"/>
      <c r="AC1" s="591"/>
      <c r="AD1" s="591"/>
      <c r="AE1" s="591"/>
      <c r="AF1" s="591"/>
      <c r="AG1" s="591"/>
      <c r="AH1" s="591"/>
      <c r="AI1" s="591"/>
      <c r="AJ1" s="591"/>
    </row>
    <row r="2" spans="1:36" x14ac:dyDescent="0.25">
      <c r="A2" s="375">
        <v>2</v>
      </c>
      <c r="B2" s="564" t="s">
        <v>795</v>
      </c>
      <c r="C2" s="561"/>
      <c r="D2" s="563"/>
      <c r="E2" s="561"/>
      <c r="F2" s="489"/>
      <c r="G2" s="489"/>
      <c r="H2" s="489"/>
      <c r="I2" s="489"/>
      <c r="J2" s="489"/>
      <c r="K2" s="489"/>
      <c r="L2" s="489"/>
      <c r="M2" s="489"/>
      <c r="N2" s="565"/>
      <c r="O2" s="1181"/>
      <c r="P2" s="377"/>
      <c r="Q2" s="1181"/>
      <c r="R2" s="561"/>
      <c r="S2" s="561"/>
      <c r="T2" s="1329"/>
      <c r="U2" s="1330"/>
      <c r="V2" s="428"/>
      <c r="W2" s="591"/>
      <c r="X2" s="591"/>
      <c r="Y2" s="591"/>
      <c r="Z2" s="591"/>
      <c r="AA2" s="591"/>
      <c r="AB2" s="591"/>
      <c r="AC2" s="591"/>
      <c r="AD2" s="591"/>
      <c r="AE2" s="591"/>
      <c r="AF2" s="591"/>
      <c r="AG2" s="591"/>
      <c r="AH2" s="591"/>
      <c r="AI2" s="591"/>
      <c r="AJ2" s="591"/>
    </row>
    <row r="3" spans="1:36" ht="19.5" customHeight="1" x14ac:dyDescent="0.4">
      <c r="A3" s="375">
        <v>3</v>
      </c>
      <c r="B3" s="566" t="s">
        <v>796</v>
      </c>
      <c r="C3" s="561"/>
      <c r="D3" s="981"/>
      <c r="E3" s="489"/>
      <c r="F3" s="982"/>
      <c r="G3" s="376"/>
      <c r="H3" s="376"/>
      <c r="I3" s="376"/>
      <c r="J3" s="376"/>
      <c r="K3" s="376"/>
      <c r="L3" s="376"/>
      <c r="M3" s="376"/>
      <c r="N3" s="561"/>
      <c r="O3" s="561"/>
      <c r="P3" s="377"/>
      <c r="Q3" s="561"/>
      <c r="R3" s="561"/>
      <c r="S3" s="561"/>
      <c r="T3" s="561"/>
      <c r="U3" s="561"/>
      <c r="V3" s="428"/>
      <c r="W3" s="591"/>
      <c r="X3" s="591"/>
      <c r="Y3" s="591"/>
      <c r="Z3" s="591"/>
      <c r="AA3" s="591"/>
      <c r="AB3" s="591"/>
      <c r="AC3" s="591"/>
      <c r="AD3" s="591"/>
      <c r="AE3" s="591"/>
      <c r="AF3" s="591"/>
      <c r="AG3" s="591"/>
      <c r="AH3" s="591"/>
      <c r="AI3" s="591"/>
      <c r="AJ3" s="591"/>
    </row>
    <row r="4" spans="1:36" x14ac:dyDescent="0.25">
      <c r="A4" s="375">
        <v>4</v>
      </c>
      <c r="B4" s="564"/>
      <c r="C4" s="561"/>
      <c r="D4" s="563"/>
      <c r="E4" s="561"/>
      <c r="F4" s="489"/>
      <c r="G4" s="489"/>
      <c r="H4" s="489"/>
      <c r="I4" s="489"/>
      <c r="J4" s="489"/>
      <c r="K4" s="489"/>
      <c r="L4" s="489"/>
      <c r="M4" s="489"/>
      <c r="N4" s="561"/>
      <c r="O4" s="561"/>
      <c r="P4" s="377"/>
      <c r="Q4" s="561"/>
      <c r="R4" s="561" t="s">
        <v>1487</v>
      </c>
      <c r="S4" s="561"/>
      <c r="T4" s="561"/>
      <c r="U4" s="561"/>
      <c r="V4" s="428"/>
      <c r="W4" s="591"/>
      <c r="X4" s="591"/>
      <c r="Y4" s="591"/>
      <c r="Z4" s="591"/>
      <c r="AA4" s="591"/>
      <c r="AB4" s="591"/>
      <c r="AC4" s="591"/>
      <c r="AD4" s="591"/>
      <c r="AE4" s="591"/>
      <c r="AF4" s="591"/>
      <c r="AG4" s="591"/>
      <c r="AH4" s="591"/>
      <c r="AI4" s="591"/>
      <c r="AJ4" s="591"/>
    </row>
    <row r="5" spans="1:36" x14ac:dyDescent="0.25">
      <c r="A5" s="375">
        <v>5</v>
      </c>
      <c r="B5" s="567"/>
      <c r="C5" s="561"/>
      <c r="D5" s="563"/>
      <c r="E5" s="561"/>
      <c r="F5" s="489"/>
      <c r="G5" s="489"/>
      <c r="H5" s="489"/>
      <c r="I5" s="489"/>
      <c r="J5" s="489"/>
      <c r="K5" s="489"/>
      <c r="L5" s="489"/>
      <c r="M5" s="489"/>
      <c r="N5" s="561"/>
      <c r="O5" s="561"/>
      <c r="P5" s="377"/>
      <c r="Q5" s="561"/>
      <c r="R5" s="997">
        <f>+'S1-Revenue Requirement'!E42</f>
        <v>0.1419</v>
      </c>
      <c r="S5" s="561"/>
      <c r="T5" s="561"/>
      <c r="U5" s="561"/>
      <c r="V5" s="428"/>
      <c r="W5" s="591"/>
      <c r="X5" s="591"/>
      <c r="Y5" s="591"/>
      <c r="Z5" s="591"/>
      <c r="AA5" s="591"/>
      <c r="AB5" s="591"/>
      <c r="AC5" s="591"/>
      <c r="AD5" s="591"/>
      <c r="AE5" s="591"/>
      <c r="AF5" s="591"/>
      <c r="AG5" s="591"/>
      <c r="AH5" s="591"/>
      <c r="AI5" s="591"/>
      <c r="AJ5" s="591"/>
    </row>
    <row r="6" spans="1:36" x14ac:dyDescent="0.25">
      <c r="A6" s="375">
        <v>6</v>
      </c>
      <c r="B6" s="523"/>
      <c r="C6" s="428"/>
      <c r="D6" s="524"/>
      <c r="E6" s="561"/>
      <c r="F6" s="399"/>
      <c r="G6" s="400"/>
      <c r="H6" s="400"/>
      <c r="I6" s="400"/>
      <c r="J6" s="400"/>
      <c r="K6" s="400"/>
      <c r="L6" s="400"/>
      <c r="M6" s="400"/>
      <c r="N6" s="428"/>
      <c r="O6" s="428"/>
      <c r="P6" s="1232"/>
      <c r="Q6" s="428"/>
      <c r="R6" s="430"/>
      <c r="S6" s="428"/>
      <c r="T6" s="428"/>
      <c r="U6" s="428"/>
      <c r="V6" s="428"/>
      <c r="W6" s="591"/>
      <c r="X6" s="591"/>
      <c r="Y6" s="591"/>
      <c r="Z6" s="591"/>
      <c r="AA6" s="591"/>
      <c r="AB6" s="591"/>
      <c r="AC6" s="591"/>
      <c r="AD6" s="591"/>
      <c r="AE6" s="591"/>
      <c r="AF6" s="591"/>
      <c r="AG6" s="591"/>
      <c r="AH6" s="591"/>
      <c r="AI6" s="591"/>
      <c r="AJ6" s="591"/>
    </row>
    <row r="7" spans="1:36" x14ac:dyDescent="0.25">
      <c r="A7" s="375"/>
      <c r="B7" s="523"/>
      <c r="C7" s="428"/>
      <c r="D7" s="524"/>
      <c r="E7" s="561"/>
      <c r="F7" s="399"/>
      <c r="G7" s="400"/>
      <c r="H7" s="400"/>
      <c r="I7" s="400"/>
      <c r="J7" s="400"/>
      <c r="K7" s="400"/>
      <c r="L7" s="400"/>
      <c r="M7" s="400"/>
      <c r="N7" s="428"/>
      <c r="O7" s="428"/>
      <c r="P7" s="1232"/>
      <c r="Q7" s="428"/>
      <c r="R7" s="430"/>
      <c r="S7" s="428"/>
      <c r="T7" s="428"/>
      <c r="U7" s="428"/>
      <c r="V7" s="428"/>
      <c r="W7" s="591"/>
      <c r="X7" s="591"/>
      <c r="Y7" s="591"/>
      <c r="Z7" s="591"/>
      <c r="AA7" s="591"/>
      <c r="AB7" s="591"/>
      <c r="AC7" s="591"/>
      <c r="AD7" s="591"/>
      <c r="AE7" s="591"/>
      <c r="AF7" s="591"/>
      <c r="AG7" s="591"/>
      <c r="AH7" s="591"/>
      <c r="AI7" s="591"/>
      <c r="AJ7" s="591"/>
    </row>
    <row r="8" spans="1:36" ht="45" x14ac:dyDescent="0.25">
      <c r="A8" s="375">
        <v>7</v>
      </c>
      <c r="B8" s="523"/>
      <c r="C8" s="428"/>
      <c r="D8" s="701" t="s">
        <v>1432</v>
      </c>
      <c r="E8" s="561"/>
      <c r="F8" s="399"/>
      <c r="G8" s="701" t="s">
        <v>1351</v>
      </c>
      <c r="H8" s="705" t="s">
        <v>1433</v>
      </c>
      <c r="I8" s="431"/>
      <c r="J8" s="431"/>
      <c r="K8" s="431"/>
      <c r="L8" s="431"/>
      <c r="M8" s="706" t="s">
        <v>114</v>
      </c>
      <c r="N8" s="375" t="s">
        <v>1328</v>
      </c>
      <c r="O8" s="1224">
        <v>44743</v>
      </c>
      <c r="P8" s="1233"/>
      <c r="Q8" s="1331" t="s">
        <v>1470</v>
      </c>
      <c r="R8" s="428"/>
      <c r="S8" s="428"/>
      <c r="T8" s="432"/>
      <c r="U8" s="428"/>
      <c r="V8" s="428"/>
      <c r="W8" s="591"/>
      <c r="X8" s="591"/>
      <c r="Y8" s="591"/>
      <c r="Z8" s="591"/>
      <c r="AA8" s="591"/>
      <c r="AB8" s="591"/>
      <c r="AC8" s="591"/>
      <c r="AD8" s="591"/>
      <c r="AE8" s="591"/>
      <c r="AF8" s="591"/>
      <c r="AG8" s="591"/>
      <c r="AH8" s="591"/>
      <c r="AI8" s="591"/>
      <c r="AJ8" s="591"/>
    </row>
    <row r="9" spans="1:36" x14ac:dyDescent="0.25">
      <c r="A9" s="375">
        <v>8</v>
      </c>
      <c r="B9" s="568" t="s">
        <v>768</v>
      </c>
      <c r="C9" s="561"/>
      <c r="D9" s="569" t="s">
        <v>769</v>
      </c>
      <c r="E9" s="561"/>
      <c r="F9" s="570" t="s">
        <v>770</v>
      </c>
      <c r="G9" s="571" t="s">
        <v>769</v>
      </c>
      <c r="H9" s="569" t="s">
        <v>769</v>
      </c>
      <c r="I9" s="561"/>
      <c r="J9" s="570" t="s">
        <v>770</v>
      </c>
      <c r="K9" s="571" t="s">
        <v>769</v>
      </c>
      <c r="L9" s="571"/>
      <c r="M9" s="570" t="s">
        <v>770</v>
      </c>
      <c r="N9" s="375" t="s">
        <v>1329</v>
      </c>
      <c r="O9" s="963" t="s">
        <v>1469</v>
      </c>
      <c r="P9" s="377"/>
      <c r="Q9" s="1331"/>
      <c r="R9" s="572" t="s">
        <v>772</v>
      </c>
      <c r="S9" s="561"/>
      <c r="T9" s="571" t="s">
        <v>772</v>
      </c>
      <c r="U9" s="561"/>
      <c r="V9" s="565" t="s">
        <v>773</v>
      </c>
      <c r="W9" s="591"/>
      <c r="X9" s="591"/>
      <c r="Y9" s="591"/>
      <c r="Z9" s="591"/>
      <c r="AA9" s="591"/>
      <c r="AB9" s="591"/>
      <c r="AC9" s="591"/>
      <c r="AD9" s="591"/>
      <c r="AE9" s="591"/>
      <c r="AF9" s="591"/>
      <c r="AG9" s="591"/>
      <c r="AH9" s="591"/>
      <c r="AI9" s="591"/>
      <c r="AJ9" s="591"/>
    </row>
    <row r="10" spans="1:36" x14ac:dyDescent="0.25">
      <c r="A10" s="375">
        <v>9</v>
      </c>
      <c r="B10" s="568" t="s">
        <v>774</v>
      </c>
      <c r="C10" s="561"/>
      <c r="D10" s="569" t="s">
        <v>775</v>
      </c>
      <c r="E10" s="561"/>
      <c r="F10" s="571" t="s">
        <v>776</v>
      </c>
      <c r="G10" s="571" t="s">
        <v>771</v>
      </c>
      <c r="H10" s="569" t="s">
        <v>775</v>
      </c>
      <c r="I10" s="561"/>
      <c r="J10" s="571" t="s">
        <v>776</v>
      </c>
      <c r="K10" s="571" t="s">
        <v>771</v>
      </c>
      <c r="L10" s="571"/>
      <c r="M10" s="571" t="s">
        <v>776</v>
      </c>
      <c r="N10" s="561"/>
      <c r="O10" s="377"/>
      <c r="P10" s="377"/>
      <c r="Q10" s="1331"/>
      <c r="R10" s="375" t="s">
        <v>775</v>
      </c>
      <c r="S10" s="561"/>
      <c r="T10" s="375" t="s">
        <v>771</v>
      </c>
      <c r="U10" s="561"/>
      <c r="V10" s="565" t="s">
        <v>777</v>
      </c>
      <c r="W10" s="591"/>
      <c r="X10" s="591"/>
      <c r="Y10" s="591"/>
      <c r="Z10" s="591"/>
      <c r="AA10" s="591"/>
      <c r="AB10" s="591"/>
      <c r="AC10" s="591"/>
      <c r="AD10" s="591"/>
      <c r="AE10" s="591"/>
      <c r="AF10" s="591"/>
      <c r="AG10" s="591"/>
      <c r="AH10" s="591"/>
      <c r="AI10" s="591"/>
      <c r="AJ10" s="591"/>
    </row>
    <row r="11" spans="1:36" x14ac:dyDescent="0.25">
      <c r="A11" s="375">
        <v>10</v>
      </c>
      <c r="B11" s="573" t="s">
        <v>778</v>
      </c>
      <c r="C11" s="561"/>
      <c r="D11" s="574" t="s">
        <v>778</v>
      </c>
      <c r="E11" s="575" t="s">
        <v>778</v>
      </c>
      <c r="F11" s="576" t="s">
        <v>778</v>
      </c>
      <c r="G11" s="576" t="s">
        <v>778</v>
      </c>
      <c r="H11" s="576"/>
      <c r="I11" s="576"/>
      <c r="J11" s="576"/>
      <c r="K11" s="576"/>
      <c r="L11" s="576"/>
      <c r="M11" s="576"/>
      <c r="N11" s="576"/>
      <c r="O11" s="1225"/>
      <c r="P11" s="1225"/>
      <c r="Q11" s="576"/>
      <c r="R11" s="575" t="s">
        <v>778</v>
      </c>
      <c r="S11" s="575" t="s">
        <v>778</v>
      </c>
      <c r="T11" s="575" t="s">
        <v>778</v>
      </c>
      <c r="U11" s="561"/>
      <c r="V11" s="579" t="s">
        <v>1221</v>
      </c>
      <c r="W11" s="591"/>
      <c r="X11" s="591"/>
      <c r="Y11" s="591"/>
      <c r="Z11" s="591"/>
      <c r="AA11" s="591"/>
      <c r="AB11" s="591"/>
      <c r="AC11" s="591"/>
      <c r="AD11" s="591"/>
      <c r="AE11" s="591"/>
      <c r="AF11" s="591"/>
      <c r="AG11" s="591"/>
      <c r="AH11" s="591"/>
      <c r="AI11" s="591"/>
      <c r="AJ11" s="591"/>
    </row>
    <row r="12" spans="1:36" ht="15.6" x14ac:dyDescent="0.3">
      <c r="A12" s="375">
        <v>11</v>
      </c>
      <c r="B12" s="899" t="s">
        <v>779</v>
      </c>
      <c r="C12" s="428"/>
      <c r="D12" s="522"/>
      <c r="E12" s="561"/>
      <c r="F12" s="399"/>
      <c r="G12" s="399"/>
      <c r="H12" s="489"/>
      <c r="I12" s="489"/>
      <c r="J12" s="399"/>
      <c r="K12" s="399"/>
      <c r="L12" s="399"/>
      <c r="M12" s="399"/>
      <c r="N12" s="428"/>
      <c r="O12" s="403"/>
      <c r="P12" s="377"/>
      <c r="Q12" s="428"/>
      <c r="R12" s="428"/>
      <c r="S12" s="428"/>
      <c r="T12" s="428"/>
      <c r="U12" s="428"/>
      <c r="V12" s="399"/>
      <c r="W12" s="591"/>
      <c r="X12" s="591"/>
      <c r="Y12" s="591"/>
      <c r="Z12" s="591"/>
      <c r="AA12" s="591"/>
      <c r="AB12" s="591"/>
      <c r="AC12" s="591"/>
      <c r="AD12" s="591"/>
      <c r="AE12" s="591"/>
      <c r="AF12" s="591"/>
      <c r="AG12" s="591"/>
      <c r="AH12" s="591"/>
      <c r="AI12" s="591"/>
      <c r="AJ12" s="591"/>
    </row>
    <row r="13" spans="1:36" x14ac:dyDescent="0.25">
      <c r="A13" s="375">
        <v>12</v>
      </c>
      <c r="B13" s="568" t="s">
        <v>780</v>
      </c>
      <c r="C13" s="428"/>
      <c r="D13" s="1100">
        <v>22.25</v>
      </c>
      <c r="E13" s="894" t="s">
        <v>781</v>
      </c>
      <c r="F13" s="906">
        <f>+G13/D13</f>
        <v>65184.361348314611</v>
      </c>
      <c r="G13" s="1107">
        <v>1450352.04</v>
      </c>
      <c r="H13" s="1100">
        <v>22.25</v>
      </c>
      <c r="I13" s="894" t="s">
        <v>781</v>
      </c>
      <c r="J13" s="906">
        <f>+K13/H13</f>
        <v>65352.861123595503</v>
      </c>
      <c r="K13" s="1107">
        <v>1454101.16</v>
      </c>
      <c r="L13" s="400"/>
      <c r="M13" s="906">
        <f>+F13+J13</f>
        <v>130537.22247191012</v>
      </c>
      <c r="N13" s="989">
        <f>+K13+G13</f>
        <v>2904453.2</v>
      </c>
      <c r="O13" s="1226">
        <v>26.49</v>
      </c>
      <c r="P13" s="1234" t="s">
        <v>781</v>
      </c>
      <c r="Q13" s="1236">
        <f>M13*O13</f>
        <v>3457931.023280899</v>
      </c>
      <c r="R13" s="890">
        <f>+O13*(1+$R$5)</f>
        <v>30.248930999999995</v>
      </c>
      <c r="S13" s="894" t="s">
        <v>781</v>
      </c>
      <c r="T13" s="989">
        <f>+Q13*(1+$R$5)</f>
        <v>3948611.4354844582</v>
      </c>
      <c r="U13" s="451"/>
      <c r="V13" s="646">
        <f>+T13/Q13-1</f>
        <v>0.14189999999999992</v>
      </c>
      <c r="W13" s="591"/>
      <c r="X13" s="591"/>
      <c r="Y13" s="591"/>
      <c r="Z13" s="591"/>
      <c r="AA13" s="591"/>
      <c r="AB13" s="591"/>
      <c r="AC13" s="591"/>
      <c r="AD13" s="591"/>
      <c r="AE13" s="591"/>
      <c r="AF13" s="591"/>
      <c r="AG13" s="591"/>
      <c r="AH13" s="591"/>
      <c r="AI13" s="591"/>
      <c r="AJ13" s="591"/>
    </row>
    <row r="14" spans="1:36" x14ac:dyDescent="0.25">
      <c r="A14" s="375">
        <v>13</v>
      </c>
      <c r="B14" s="568" t="s">
        <v>797</v>
      </c>
      <c r="C14" s="451"/>
      <c r="D14" s="1101">
        <v>8.4760000000000002E-2</v>
      </c>
      <c r="E14" s="894" t="s">
        <v>781</v>
      </c>
      <c r="F14" s="1108">
        <v>5726058</v>
      </c>
      <c r="G14" s="907">
        <f>+D14*F14</f>
        <v>485340.67608</v>
      </c>
      <c r="H14" s="1101">
        <v>8.4760000000000002E-2</v>
      </c>
      <c r="I14" s="894" t="s">
        <v>781</v>
      </c>
      <c r="J14" s="1108">
        <v>5635631</v>
      </c>
      <c r="K14" s="907">
        <f>+J14*H14</f>
        <v>477676.08356</v>
      </c>
      <c r="L14" s="400"/>
      <c r="M14" s="906">
        <f>+F14+J14</f>
        <v>11361689</v>
      </c>
      <c r="N14" s="989">
        <f>+K14+G14</f>
        <v>963016.75964000006</v>
      </c>
      <c r="O14" s="1227">
        <v>8.4760000000000002E-2</v>
      </c>
      <c r="P14" s="1234" t="s">
        <v>781</v>
      </c>
      <c r="Q14" s="1236">
        <f t="shared" ref="Q14:Q15" si="0">M14*O14</f>
        <v>963016.75964000006</v>
      </c>
      <c r="R14" s="891">
        <f t="shared" ref="R14:R15" si="1">+O14*(1+$R$5)</f>
        <v>9.6787444E-2</v>
      </c>
      <c r="S14" s="894" t="s">
        <v>781</v>
      </c>
      <c r="T14" s="989">
        <f>+Q14*(1+$R$5)</f>
        <v>1099668.8378329161</v>
      </c>
      <c r="U14" s="451"/>
      <c r="V14" s="646">
        <f t="shared" ref="V14:V16" si="2">+T14/N14-1</f>
        <v>0.14189999999999992</v>
      </c>
      <c r="W14" s="591"/>
      <c r="X14" s="591"/>
      <c r="Y14" s="591"/>
      <c r="Z14" s="591"/>
      <c r="AA14" s="591"/>
      <c r="AB14" s="591"/>
      <c r="AC14" s="591"/>
      <c r="AD14" s="591"/>
      <c r="AE14" s="591"/>
      <c r="AF14" s="591"/>
      <c r="AG14" s="591"/>
      <c r="AH14" s="591"/>
      <c r="AI14" s="591"/>
      <c r="AJ14" s="591"/>
    </row>
    <row r="15" spans="1:36" x14ac:dyDescent="0.25">
      <c r="A15" s="375">
        <v>14</v>
      </c>
      <c r="B15" s="568" t="s">
        <v>798</v>
      </c>
      <c r="C15" s="451"/>
      <c r="D15" s="1102">
        <v>0.22220000000000001</v>
      </c>
      <c r="E15" s="894" t="s">
        <v>782</v>
      </c>
      <c r="F15" s="985">
        <v>24661531</v>
      </c>
      <c r="G15" s="1109">
        <f>5856925.68-114580.63-G14-G16</f>
        <v>5376316.9439200005</v>
      </c>
      <c r="H15" s="1102">
        <v>0.22220000000000001</v>
      </c>
      <c r="I15" s="895" t="s">
        <v>782</v>
      </c>
      <c r="J15" s="985">
        <v>27785063</v>
      </c>
      <c r="K15" s="1109">
        <f>6529867.5-K14-K16</f>
        <v>6279440.7464399999</v>
      </c>
      <c r="L15" s="606"/>
      <c r="M15" s="985">
        <f>+F15+J15</f>
        <v>52446594</v>
      </c>
      <c r="N15" s="992">
        <f>+K15+G15</f>
        <v>11655757.69036</v>
      </c>
      <c r="O15" s="1227">
        <v>0.21149000000000001</v>
      </c>
      <c r="P15" s="1234" t="s">
        <v>782</v>
      </c>
      <c r="Q15" s="1236">
        <f t="shared" si="0"/>
        <v>11091930.16506</v>
      </c>
      <c r="R15" s="891">
        <f t="shared" si="1"/>
        <v>0.24150043099999999</v>
      </c>
      <c r="S15" s="895" t="s">
        <v>782</v>
      </c>
      <c r="T15" s="989">
        <f>+Q15*(1+$R$5)</f>
        <v>12665875.055482013</v>
      </c>
      <c r="U15" s="451"/>
      <c r="V15" s="646">
        <f>+T15/Q15-1</f>
        <v>0.14189999999999992</v>
      </c>
      <c r="W15" s="591"/>
      <c r="X15" s="591"/>
      <c r="Y15" s="591"/>
      <c r="Z15" s="591"/>
      <c r="AA15" s="591"/>
      <c r="AB15" s="591"/>
      <c r="AC15" s="591"/>
      <c r="AD15" s="591"/>
      <c r="AE15" s="591"/>
      <c r="AF15" s="591"/>
      <c r="AG15" s="591"/>
      <c r="AH15" s="591"/>
      <c r="AI15" s="591"/>
      <c r="AJ15" s="591"/>
    </row>
    <row r="16" spans="1:36" x14ac:dyDescent="0.25">
      <c r="A16" s="375">
        <v>15</v>
      </c>
      <c r="B16" s="567" t="s">
        <v>1361</v>
      </c>
      <c r="C16" s="451"/>
      <c r="D16" s="1101"/>
      <c r="E16" s="894"/>
      <c r="F16" s="744"/>
      <c r="G16" s="1111">
        <f>-24329.4-96550.54-2233.28+3800.65</f>
        <v>-119312.57</v>
      </c>
      <c r="H16" s="1101"/>
      <c r="I16" s="894"/>
      <c r="J16" s="986"/>
      <c r="K16" s="1113">
        <f>-11591.21-133290.42-82593.79+226.09</f>
        <v>-227249.33</v>
      </c>
      <c r="L16" s="745"/>
      <c r="M16" s="986"/>
      <c r="N16" s="993">
        <f>+K16+G16</f>
        <v>-346561.9</v>
      </c>
      <c r="O16" s="1227"/>
      <c r="P16" s="1234"/>
      <c r="Q16" s="1237">
        <f>N16</f>
        <v>-346561.9</v>
      </c>
      <c r="R16" s="892"/>
      <c r="S16" s="895"/>
      <c r="T16" s="993">
        <f t="shared" ref="T16" si="3">+N16*(1+$R$5)</f>
        <v>-395739.03360999998</v>
      </c>
      <c r="U16" s="451"/>
      <c r="V16" s="646">
        <f t="shared" si="2"/>
        <v>0.14189999999999992</v>
      </c>
      <c r="W16" s="591"/>
      <c r="X16" s="591"/>
      <c r="Y16" s="591"/>
      <c r="Z16" s="591"/>
      <c r="AA16" s="591"/>
      <c r="AB16" s="591"/>
      <c r="AC16" s="591"/>
      <c r="AD16" s="591"/>
      <c r="AE16" s="591"/>
      <c r="AF16" s="591"/>
      <c r="AG16" s="591"/>
      <c r="AH16" s="591"/>
      <c r="AI16" s="591"/>
      <c r="AJ16" s="591"/>
    </row>
    <row r="17" spans="1:36" x14ac:dyDescent="0.25">
      <c r="A17" s="375">
        <v>16</v>
      </c>
      <c r="B17" s="900" t="s">
        <v>783</v>
      </c>
      <c r="C17" s="451"/>
      <c r="D17" s="1103"/>
      <c r="E17" s="894"/>
      <c r="F17" s="906">
        <f>F14+F15+F16</f>
        <v>30387589</v>
      </c>
      <c r="G17" s="907">
        <f>SUM(G13:G16)</f>
        <v>7192697.0899999999</v>
      </c>
      <c r="H17" s="1103"/>
      <c r="I17" s="894"/>
      <c r="J17" s="906">
        <f>J14+J15</f>
        <v>33420694</v>
      </c>
      <c r="K17" s="907">
        <f>SUM(K13:K16)</f>
        <v>7983968.6600000001</v>
      </c>
      <c r="L17" s="400"/>
      <c r="M17" s="906">
        <f>M14+M15</f>
        <v>63808283</v>
      </c>
      <c r="N17" s="907">
        <f>SUM(N13:N16)</f>
        <v>15176665.75</v>
      </c>
      <c r="O17" s="1228"/>
      <c r="P17" s="1234"/>
      <c r="Q17" s="890">
        <f>SUM(Q13:Q16)</f>
        <v>15166316.047980899</v>
      </c>
      <c r="R17" s="893"/>
      <c r="S17" s="894"/>
      <c r="T17" s="907">
        <f>SUM(T13:T16)</f>
        <v>17318416.295189388</v>
      </c>
      <c r="U17" s="451"/>
      <c r="V17" s="646">
        <f>+T17/Q17-1</f>
        <v>0.14189999999999992</v>
      </c>
      <c r="W17" s="591"/>
      <c r="X17" s="591"/>
      <c r="Y17" s="591"/>
      <c r="Z17" s="591"/>
      <c r="AA17" s="591"/>
      <c r="AB17" s="591"/>
      <c r="AC17" s="591"/>
      <c r="AD17" s="591"/>
      <c r="AE17" s="591"/>
      <c r="AF17" s="591"/>
      <c r="AG17" s="591"/>
      <c r="AH17" s="591"/>
      <c r="AI17" s="591"/>
      <c r="AJ17" s="591"/>
    </row>
    <row r="18" spans="1:36" x14ac:dyDescent="0.25">
      <c r="A18" s="375">
        <v>17</v>
      </c>
      <c r="B18" s="561"/>
      <c r="C18" s="428"/>
      <c r="D18" s="1104"/>
      <c r="E18" s="896"/>
      <c r="F18" s="401"/>
      <c r="G18" s="601"/>
      <c r="H18" s="1104"/>
      <c r="I18" s="896"/>
      <c r="J18" s="401"/>
      <c r="K18" s="601"/>
      <c r="L18" s="601"/>
      <c r="M18" s="401"/>
      <c r="N18" s="400"/>
      <c r="O18" s="1229"/>
      <c r="P18" s="1234"/>
      <c r="Q18" s="525"/>
      <c r="R18" s="743"/>
      <c r="S18" s="451"/>
      <c r="T18" s="599"/>
      <c r="U18" s="451"/>
      <c r="V18" s="647"/>
      <c r="W18" s="591"/>
      <c r="X18" s="591"/>
      <c r="Y18" s="591"/>
      <c r="Z18" s="591"/>
      <c r="AA18" s="591"/>
      <c r="AB18" s="591"/>
      <c r="AC18" s="591"/>
      <c r="AD18" s="591"/>
      <c r="AE18" s="591"/>
      <c r="AF18" s="591"/>
      <c r="AG18" s="591"/>
      <c r="AH18" s="591"/>
      <c r="AI18" s="591"/>
      <c r="AJ18" s="591"/>
    </row>
    <row r="19" spans="1:36" ht="15.6" x14ac:dyDescent="0.3">
      <c r="A19" s="375">
        <v>24</v>
      </c>
      <c r="B19" s="901" t="s">
        <v>784</v>
      </c>
      <c r="C19" s="451"/>
      <c r="D19" s="1105"/>
      <c r="E19" s="894"/>
      <c r="F19" s="401"/>
      <c r="G19" s="602"/>
      <c r="H19" s="1105"/>
      <c r="I19" s="894"/>
      <c r="J19" s="401"/>
      <c r="K19" s="602"/>
      <c r="L19" s="602"/>
      <c r="M19" s="401"/>
      <c r="N19" s="400"/>
      <c r="O19" s="1230"/>
      <c r="P19" s="1234"/>
      <c r="Q19" s="525"/>
      <c r="R19" s="400"/>
      <c r="S19" s="599"/>
      <c r="T19" s="747"/>
      <c r="U19" s="451"/>
      <c r="V19" s="647"/>
      <c r="W19" s="591"/>
      <c r="X19" s="591"/>
      <c r="Y19" s="591"/>
      <c r="Z19" s="591"/>
      <c r="AA19" s="591"/>
      <c r="AB19" s="591"/>
      <c r="AC19" s="591"/>
      <c r="AD19" s="591"/>
      <c r="AE19" s="591"/>
      <c r="AF19" s="591"/>
      <c r="AG19" s="591"/>
      <c r="AH19" s="591"/>
      <c r="AI19" s="591"/>
      <c r="AJ19" s="591"/>
    </row>
    <row r="20" spans="1:36" x14ac:dyDescent="0.25">
      <c r="A20" s="375">
        <v>25</v>
      </c>
      <c r="B20" s="568" t="s">
        <v>780</v>
      </c>
      <c r="C20" s="428"/>
      <c r="D20" s="1100">
        <v>26.49</v>
      </c>
      <c r="E20" s="894" t="s">
        <v>781</v>
      </c>
      <c r="F20" s="906">
        <f>+G20/D20</f>
        <v>3427.5356738391847</v>
      </c>
      <c r="G20" s="1107">
        <v>90795.42</v>
      </c>
      <c r="H20" s="1100">
        <v>26.49</v>
      </c>
      <c r="I20" s="894" t="s">
        <v>781</v>
      </c>
      <c r="J20" s="906">
        <f>+K20/H20</f>
        <v>3472.6768591921486</v>
      </c>
      <c r="K20" s="1107">
        <v>91991.21</v>
      </c>
      <c r="L20" s="400"/>
      <c r="M20" s="910">
        <f>+F20+J20</f>
        <v>6900.2125330313338</v>
      </c>
      <c r="N20" s="907">
        <f>+K20+G20</f>
        <v>182786.63</v>
      </c>
      <c r="O20" s="1226">
        <v>26.49</v>
      </c>
      <c r="P20" s="1234" t="s">
        <v>781</v>
      </c>
      <c r="Q20" s="890">
        <f>M20*O20</f>
        <v>182786.63000000003</v>
      </c>
      <c r="R20" s="890">
        <f>+H20*(1+$R$5)</f>
        <v>30.248930999999995</v>
      </c>
      <c r="S20" s="894" t="s">
        <v>781</v>
      </c>
      <c r="T20" s="989">
        <f>+N20*(1+$R$5)</f>
        <v>208724.05279699998</v>
      </c>
      <c r="U20" s="451"/>
      <c r="V20" s="646">
        <f t="shared" ref="V20:V22" si="4">+T20/N20-1</f>
        <v>0.14189999999999992</v>
      </c>
      <c r="W20" s="591"/>
      <c r="X20" s="591"/>
      <c r="Y20" s="591"/>
      <c r="Z20" s="591"/>
      <c r="AA20" s="591"/>
      <c r="AB20" s="591"/>
      <c r="AC20" s="591"/>
      <c r="AD20" s="591"/>
      <c r="AE20" s="591"/>
      <c r="AF20" s="591"/>
      <c r="AG20" s="591"/>
      <c r="AH20" s="591"/>
      <c r="AI20" s="591"/>
      <c r="AJ20" s="591"/>
    </row>
    <row r="21" spans="1:36" x14ac:dyDescent="0.25">
      <c r="A21" s="375">
        <v>26</v>
      </c>
      <c r="B21" s="902" t="s">
        <v>785</v>
      </c>
      <c r="C21" s="428"/>
      <c r="D21" s="1101">
        <v>0.20136000000000001</v>
      </c>
      <c r="E21" s="894" t="s">
        <v>782</v>
      </c>
      <c r="F21" s="985">
        <f>+G21/D21</f>
        <v>2431419.2987683746</v>
      </c>
      <c r="G21" s="1109">
        <f>489975.92-703.26-G22</f>
        <v>489590.58999999997</v>
      </c>
      <c r="H21" s="1101">
        <v>0.20136000000000001</v>
      </c>
      <c r="I21" s="894" t="s">
        <v>782</v>
      </c>
      <c r="J21" s="985">
        <f>+K21/H21</f>
        <v>2657938.1704410012</v>
      </c>
      <c r="K21" s="1109">
        <f>535174.64-K22</f>
        <v>535202.43000000005</v>
      </c>
      <c r="L21" s="606"/>
      <c r="M21" s="910">
        <f>+F21+J21</f>
        <v>5089357.4692093758</v>
      </c>
      <c r="N21" s="907">
        <f>+K21+G21</f>
        <v>1024793.02</v>
      </c>
      <c r="O21" s="1227">
        <v>0.20136000000000001</v>
      </c>
      <c r="P21" s="1234" t="s">
        <v>782</v>
      </c>
      <c r="Q21" s="890">
        <f>M21*O21</f>
        <v>1024793.02</v>
      </c>
      <c r="R21" s="891">
        <f>+H21*(1+$R$5)</f>
        <v>0.22993298400000001</v>
      </c>
      <c r="S21" s="894" t="s">
        <v>782</v>
      </c>
      <c r="T21" s="989">
        <f>+N21*(1+$R$5)</f>
        <v>1170211.1495379999</v>
      </c>
      <c r="U21" s="451"/>
      <c r="V21" s="646">
        <f t="shared" si="4"/>
        <v>0.14189999999999992</v>
      </c>
      <c r="W21" s="591"/>
      <c r="X21" s="591"/>
      <c r="Y21" s="591"/>
      <c r="Z21" s="591"/>
      <c r="AA21" s="591"/>
      <c r="AB21" s="591"/>
      <c r="AC21" s="591"/>
      <c r="AD21" s="591"/>
      <c r="AE21" s="591"/>
      <c r="AF21" s="591"/>
      <c r="AG21" s="591"/>
      <c r="AH21" s="591"/>
      <c r="AI21" s="591"/>
      <c r="AJ21" s="591"/>
    </row>
    <row r="22" spans="1:36" x14ac:dyDescent="0.25">
      <c r="A22" s="375"/>
      <c r="B22" s="983" t="s">
        <v>1362</v>
      </c>
      <c r="C22" s="428"/>
      <c r="D22" s="1101"/>
      <c r="E22" s="894" t="s">
        <v>782</v>
      </c>
      <c r="F22" s="986"/>
      <c r="G22" s="984">
        <v>-317.93</v>
      </c>
      <c r="H22" s="1101"/>
      <c r="I22" s="894"/>
      <c r="J22" s="986"/>
      <c r="K22" s="1111">
        <v>-27.79</v>
      </c>
      <c r="L22" s="746"/>
      <c r="M22" s="936">
        <f>+F22+J22</f>
        <v>0</v>
      </c>
      <c r="N22" s="908">
        <f>+K22+G22</f>
        <v>-345.72</v>
      </c>
      <c r="O22" s="1227"/>
      <c r="P22" s="1234"/>
      <c r="Q22" s="1238">
        <f>+N22</f>
        <v>-345.72</v>
      </c>
      <c r="R22" s="891"/>
      <c r="S22" s="894"/>
      <c r="T22" s="990">
        <f>+N22*(1+$R$5)</f>
        <v>-394.77766800000001</v>
      </c>
      <c r="U22" s="451"/>
      <c r="V22" s="646">
        <f t="shared" si="4"/>
        <v>0.14189999999999992</v>
      </c>
      <c r="W22" s="591"/>
      <c r="X22" s="591"/>
      <c r="Y22" s="591"/>
      <c r="Z22" s="591"/>
      <c r="AA22" s="591"/>
      <c r="AB22" s="591"/>
      <c r="AC22" s="591"/>
      <c r="AD22" s="591"/>
      <c r="AE22" s="591"/>
      <c r="AF22" s="591"/>
      <c r="AG22" s="591"/>
      <c r="AH22" s="591"/>
      <c r="AI22" s="591"/>
      <c r="AJ22" s="591"/>
    </row>
    <row r="23" spans="1:36" x14ac:dyDescent="0.25">
      <c r="A23" s="375">
        <v>27</v>
      </c>
      <c r="B23" s="903" t="s">
        <v>783</v>
      </c>
      <c r="C23" s="428"/>
      <c r="D23" s="1100"/>
      <c r="E23" s="894"/>
      <c r="F23" s="906">
        <f>F21+F22</f>
        <v>2431419.2987683746</v>
      </c>
      <c r="G23" s="907">
        <f>SUM(G20:G22)</f>
        <v>580068.07999999996</v>
      </c>
      <c r="H23" s="1100"/>
      <c r="I23" s="894"/>
      <c r="J23" s="906">
        <f>J21</f>
        <v>2657938.1704410012</v>
      </c>
      <c r="K23" s="907">
        <f>SUM(K20:K22)</f>
        <v>627165.85</v>
      </c>
      <c r="L23" s="400"/>
      <c r="M23" s="906">
        <f>SUM(M21:M22)</f>
        <v>5089357.4692093758</v>
      </c>
      <c r="N23" s="907">
        <f>SUM(N20:N22)</f>
        <v>1207233.93</v>
      </c>
      <c r="O23" s="1226"/>
      <c r="P23" s="1234"/>
      <c r="Q23" s="890">
        <f>SUM(Q20:Q22)</f>
        <v>1207233.9300000002</v>
      </c>
      <c r="R23" s="890"/>
      <c r="S23" s="894"/>
      <c r="T23" s="989">
        <f>SUM(T20:T22)</f>
        <v>1378540.4246669998</v>
      </c>
      <c r="U23" s="451"/>
      <c r="V23" s="647"/>
      <c r="W23" s="591"/>
      <c r="X23" s="591"/>
      <c r="Y23" s="591"/>
      <c r="Z23" s="591"/>
      <c r="AA23" s="591"/>
      <c r="AB23" s="591"/>
      <c r="AC23" s="591"/>
      <c r="AD23" s="591"/>
      <c r="AE23" s="591"/>
      <c r="AF23" s="591"/>
      <c r="AG23" s="591"/>
      <c r="AH23" s="591"/>
      <c r="AI23" s="591"/>
      <c r="AJ23" s="591"/>
    </row>
    <row r="24" spans="1:36" x14ac:dyDescent="0.25">
      <c r="A24" s="375">
        <v>28</v>
      </c>
      <c r="B24" s="903"/>
      <c r="C24" s="428"/>
      <c r="D24" s="1104"/>
      <c r="E24" s="896"/>
      <c r="F24" s="401"/>
      <c r="G24" s="400"/>
      <c r="H24" s="1104"/>
      <c r="I24" s="896"/>
      <c r="J24" s="401"/>
      <c r="K24" s="400"/>
      <c r="L24" s="400"/>
      <c r="M24" s="401"/>
      <c r="N24" s="400"/>
      <c r="O24" s="1229"/>
      <c r="P24" s="1234"/>
      <c r="Q24" s="525"/>
      <c r="R24" s="890"/>
      <c r="S24" s="894"/>
      <c r="T24" s="989"/>
      <c r="U24" s="451"/>
      <c r="V24" s="647"/>
      <c r="W24" s="591"/>
      <c r="X24" s="591"/>
      <c r="Y24" s="591"/>
      <c r="Z24" s="591"/>
      <c r="AA24" s="591"/>
      <c r="AB24" s="591"/>
      <c r="AC24" s="591"/>
      <c r="AD24" s="591"/>
      <c r="AE24" s="591"/>
      <c r="AF24" s="591"/>
      <c r="AG24" s="591"/>
      <c r="AH24" s="591"/>
      <c r="AI24" s="591"/>
      <c r="AJ24" s="591"/>
    </row>
    <row r="25" spans="1:36" ht="15.6" x14ac:dyDescent="0.3">
      <c r="A25" s="375">
        <v>34</v>
      </c>
      <c r="B25" s="899" t="s">
        <v>786</v>
      </c>
      <c r="C25" s="451"/>
      <c r="D25" s="1103"/>
      <c r="E25" s="894"/>
      <c r="F25" s="401"/>
      <c r="G25" s="400"/>
      <c r="H25" s="1103"/>
      <c r="I25" s="896"/>
      <c r="J25" s="401"/>
      <c r="K25" s="400"/>
      <c r="L25" s="400"/>
      <c r="M25" s="401"/>
      <c r="N25" s="431"/>
      <c r="O25" s="1228"/>
      <c r="P25" s="1234"/>
      <c r="Q25" s="525"/>
      <c r="R25" s="893"/>
      <c r="S25" s="894"/>
      <c r="T25" s="989"/>
      <c r="U25" s="451"/>
      <c r="V25" s="647"/>
      <c r="W25" s="591"/>
      <c r="X25" s="591"/>
      <c r="Y25" s="591"/>
      <c r="Z25" s="591"/>
      <c r="AA25" s="591"/>
      <c r="AB25" s="591"/>
      <c r="AC25" s="591"/>
      <c r="AD25" s="591"/>
      <c r="AE25" s="591"/>
      <c r="AF25" s="591"/>
      <c r="AG25" s="591"/>
      <c r="AH25" s="591"/>
      <c r="AI25" s="591"/>
      <c r="AJ25" s="591"/>
    </row>
    <row r="26" spans="1:36" x14ac:dyDescent="0.25">
      <c r="A26" s="375">
        <v>35</v>
      </c>
      <c r="B26" s="567" t="s">
        <v>780</v>
      </c>
      <c r="C26" s="451"/>
      <c r="D26" s="1100">
        <v>31.79</v>
      </c>
      <c r="E26" s="894" t="s">
        <v>781</v>
      </c>
      <c r="F26" s="906">
        <f>+G26/D26</f>
        <v>80.997168921044363</v>
      </c>
      <c r="G26" s="1107">
        <v>2574.9</v>
      </c>
      <c r="H26" s="1100">
        <v>31.79</v>
      </c>
      <c r="I26" s="894" t="s">
        <v>781</v>
      </c>
      <c r="J26" s="906">
        <f>+K26/H26</f>
        <v>80.997168921044363</v>
      </c>
      <c r="K26" s="1107">
        <v>2574.9</v>
      </c>
      <c r="L26" s="907"/>
      <c r="M26" s="910">
        <f>+F26+J26</f>
        <v>161.99433784208873</v>
      </c>
      <c r="N26" s="896">
        <f>+K26+G26</f>
        <v>5149.8</v>
      </c>
      <c r="O26" s="1226">
        <v>31.79</v>
      </c>
      <c r="P26" s="1234" t="s">
        <v>781</v>
      </c>
      <c r="Q26" s="890">
        <f>M26*O26</f>
        <v>5149.8</v>
      </c>
      <c r="R26" s="890">
        <f>+H26*(1+$R$5)</f>
        <v>36.301000999999999</v>
      </c>
      <c r="S26" s="894" t="s">
        <v>781</v>
      </c>
      <c r="T26" s="989">
        <f>+N26*(1+$R$5)</f>
        <v>5880.5566199999994</v>
      </c>
      <c r="U26" s="451"/>
      <c r="V26" s="646">
        <f t="shared" ref="V26:V28" si="5">+T26/N26-1</f>
        <v>0.14189999999999992</v>
      </c>
      <c r="W26" s="591"/>
      <c r="X26" s="591"/>
      <c r="Y26" s="591"/>
      <c r="Z26" s="591"/>
      <c r="AA26" s="591"/>
      <c r="AB26" s="591"/>
      <c r="AC26" s="591"/>
      <c r="AD26" s="591"/>
      <c r="AE26" s="591"/>
      <c r="AF26" s="591"/>
      <c r="AG26" s="591"/>
      <c r="AH26" s="591"/>
      <c r="AI26" s="591"/>
      <c r="AJ26" s="591"/>
    </row>
    <row r="27" spans="1:36" x14ac:dyDescent="0.25">
      <c r="A27" s="375">
        <v>36</v>
      </c>
      <c r="B27" s="567" t="s">
        <v>785</v>
      </c>
      <c r="C27" s="451"/>
      <c r="D27" s="1101">
        <v>0.11434</v>
      </c>
      <c r="E27" s="894" t="s">
        <v>782</v>
      </c>
      <c r="F27" s="906">
        <f>+G27/D27</f>
        <v>1731478.2228441488</v>
      </c>
      <c r="G27" s="1107">
        <f>194223.61+3753.61</f>
        <v>197977.21999999997</v>
      </c>
      <c r="H27" s="1101">
        <v>0.11434</v>
      </c>
      <c r="I27" s="894" t="s">
        <v>782</v>
      </c>
      <c r="J27" s="906">
        <f>+K27/H27</f>
        <v>1695127.601889103</v>
      </c>
      <c r="K27" s="1107">
        <f>178929.39-K29</f>
        <v>193820.89</v>
      </c>
      <c r="L27" s="400"/>
      <c r="M27" s="910">
        <f>+F27+J27</f>
        <v>3426605.8247332517</v>
      </c>
      <c r="N27" s="896">
        <f>+K27+G27</f>
        <v>391798.11</v>
      </c>
      <c r="O27" s="1227">
        <v>0.11434</v>
      </c>
      <c r="P27" s="1234" t="s">
        <v>782</v>
      </c>
      <c r="Q27" s="890">
        <f>M27*O27</f>
        <v>391798.11</v>
      </c>
      <c r="R27" s="891">
        <f>+H27*(1+$R$5)</f>
        <v>0.13056484599999998</v>
      </c>
      <c r="S27" s="894" t="s">
        <v>782</v>
      </c>
      <c r="T27" s="989">
        <f>+N27*(1+$R$5)</f>
        <v>447394.26180899993</v>
      </c>
      <c r="U27" s="451"/>
      <c r="V27" s="646">
        <f t="shared" si="5"/>
        <v>0.14189999999999992</v>
      </c>
      <c r="W27" s="591"/>
      <c r="X27" s="591"/>
      <c r="Y27" s="591"/>
      <c r="Z27" s="591"/>
      <c r="AA27" s="591"/>
      <c r="AB27" s="591"/>
      <c r="AC27" s="591"/>
      <c r="AD27" s="591"/>
      <c r="AE27" s="591"/>
      <c r="AF27" s="591"/>
      <c r="AG27" s="591"/>
      <c r="AH27" s="591"/>
      <c r="AI27" s="591"/>
      <c r="AJ27" s="591"/>
    </row>
    <row r="28" spans="1:36" x14ac:dyDescent="0.25">
      <c r="A28" s="375">
        <v>37</v>
      </c>
      <c r="B28" s="567" t="s">
        <v>787</v>
      </c>
      <c r="C28" s="428"/>
      <c r="D28" s="1100">
        <v>16.53</v>
      </c>
      <c r="E28" s="894" t="s">
        <v>788</v>
      </c>
      <c r="F28" s="985">
        <f>+G28/D28</f>
        <v>6784.8415003024793</v>
      </c>
      <c r="G28" s="1109">
        <v>112153.43</v>
      </c>
      <c r="H28" s="1100">
        <v>16.53</v>
      </c>
      <c r="I28" s="894" t="s">
        <v>788</v>
      </c>
      <c r="J28" s="985">
        <f>+K28/H28</f>
        <v>6485.9503932244397</v>
      </c>
      <c r="K28" s="1109">
        <v>107212.76</v>
      </c>
      <c r="L28" s="606"/>
      <c r="M28" s="1114">
        <f>+F28+J28</f>
        <v>13270.791893526919</v>
      </c>
      <c r="N28" s="909">
        <f>+K28+G28</f>
        <v>219366.19</v>
      </c>
      <c r="O28" s="1226">
        <v>16.53</v>
      </c>
      <c r="P28" s="1234" t="s">
        <v>788</v>
      </c>
      <c r="Q28" s="1239">
        <f>+N28</f>
        <v>219366.19</v>
      </c>
      <c r="R28" s="890">
        <f>+H28*(1+$R$5)</f>
        <v>18.875606999999999</v>
      </c>
      <c r="S28" s="894" t="s">
        <v>781</v>
      </c>
      <c r="T28" s="992">
        <f>+N28*(1+$R$5)</f>
        <v>250494.25236099999</v>
      </c>
      <c r="U28" s="451"/>
      <c r="V28" s="646">
        <f t="shared" si="5"/>
        <v>0.14189999999999992</v>
      </c>
      <c r="W28" s="591"/>
      <c r="X28" s="591"/>
      <c r="Y28" s="591"/>
      <c r="Z28" s="591"/>
      <c r="AA28" s="591"/>
      <c r="AB28" s="591"/>
      <c r="AC28" s="591"/>
      <c r="AD28" s="591"/>
      <c r="AE28" s="591"/>
      <c r="AF28" s="591"/>
      <c r="AG28" s="591"/>
      <c r="AH28" s="591"/>
      <c r="AI28" s="591"/>
      <c r="AJ28" s="591"/>
    </row>
    <row r="29" spans="1:36" x14ac:dyDescent="0.25">
      <c r="A29" s="375"/>
      <c r="B29" s="983" t="s">
        <v>1362</v>
      </c>
      <c r="C29" s="428"/>
      <c r="D29" s="1100"/>
      <c r="E29" s="894"/>
      <c r="F29" s="986"/>
      <c r="G29" s="1110"/>
      <c r="H29" s="1100"/>
      <c r="I29" s="894"/>
      <c r="J29" s="986"/>
      <c r="K29" s="1110">
        <v>-14891.5</v>
      </c>
      <c r="L29" s="746"/>
      <c r="M29" s="936"/>
      <c r="N29" s="908">
        <f>+K29+G29</f>
        <v>-14891.5</v>
      </c>
      <c r="O29" s="1226"/>
      <c r="P29" s="1234"/>
      <c r="Q29" s="1238">
        <f>+N29</f>
        <v>-14891.5</v>
      </c>
      <c r="R29" s="890"/>
      <c r="S29" s="894"/>
      <c r="T29" s="992">
        <f>+N29*(1+$R$5)</f>
        <v>-17004.60385</v>
      </c>
      <c r="U29" s="451"/>
      <c r="V29" s="646"/>
      <c r="W29" s="591"/>
      <c r="X29" s="591"/>
      <c r="Y29" s="591"/>
      <c r="Z29" s="591"/>
      <c r="AA29" s="591"/>
      <c r="AB29" s="591"/>
      <c r="AC29" s="591"/>
      <c r="AD29" s="591"/>
      <c r="AE29" s="591"/>
      <c r="AF29" s="591"/>
      <c r="AG29" s="591"/>
      <c r="AH29" s="591"/>
      <c r="AI29" s="591"/>
      <c r="AJ29" s="591"/>
    </row>
    <row r="30" spans="1:36" x14ac:dyDescent="0.25">
      <c r="A30" s="375">
        <v>38</v>
      </c>
      <c r="B30" s="903" t="s">
        <v>783</v>
      </c>
      <c r="C30" s="428"/>
      <c r="D30" s="1101"/>
      <c r="E30" s="894"/>
      <c r="F30" s="906">
        <f>F27</f>
        <v>1731478.2228441488</v>
      </c>
      <c r="G30" s="961">
        <f>SUM(G26:G28)</f>
        <v>312705.54999999993</v>
      </c>
      <c r="H30" s="1101"/>
      <c r="I30" s="894"/>
      <c r="J30" s="906">
        <f>J27</f>
        <v>1695127.601889103</v>
      </c>
      <c r="K30" s="961">
        <f>SUM(K26:K29)</f>
        <v>288717.05</v>
      </c>
      <c r="L30" s="748"/>
      <c r="M30" s="906">
        <f>+J30+F30</f>
        <v>3426605.8247332517</v>
      </c>
      <c r="N30" s="896">
        <f>SUM(N26:N29)</f>
        <v>601422.6</v>
      </c>
      <c r="O30" s="1227"/>
      <c r="P30" s="1234"/>
      <c r="Q30" s="890">
        <f>SUM(Q26:Q29)</f>
        <v>601422.6</v>
      </c>
      <c r="R30" s="891"/>
      <c r="S30" s="894"/>
      <c r="T30" s="989">
        <f>SUM(T26:T29)</f>
        <v>686764.46693999995</v>
      </c>
      <c r="U30" s="451"/>
      <c r="V30" s="646">
        <f>+T30/Q30-1</f>
        <v>0.14189999999999992</v>
      </c>
      <c r="W30" s="591"/>
      <c r="X30" s="591"/>
      <c r="Y30" s="591"/>
      <c r="Z30" s="591"/>
      <c r="AA30" s="591"/>
      <c r="AB30" s="591"/>
      <c r="AC30" s="591"/>
      <c r="AD30" s="591"/>
      <c r="AE30" s="591"/>
      <c r="AF30" s="591"/>
      <c r="AG30" s="591"/>
      <c r="AH30" s="591"/>
      <c r="AI30" s="591"/>
      <c r="AJ30" s="591"/>
    </row>
    <row r="31" spans="1:36" ht="15.6" x14ac:dyDescent="0.3">
      <c r="A31" s="375">
        <v>39</v>
      </c>
      <c r="B31" s="899"/>
      <c r="C31" s="451"/>
      <c r="D31" s="1104"/>
      <c r="E31" s="896"/>
      <c r="F31" s="401"/>
      <c r="G31" s="603"/>
      <c r="H31" s="1104"/>
      <c r="I31" s="896"/>
      <c r="J31" s="401"/>
      <c r="K31" s="603"/>
      <c r="L31" s="603"/>
      <c r="M31" s="401"/>
      <c r="N31" s="431"/>
      <c r="O31" s="1229"/>
      <c r="P31" s="1234"/>
      <c r="Q31" s="525"/>
      <c r="R31" s="400"/>
      <c r="S31" s="599"/>
      <c r="T31" s="747"/>
      <c r="U31" s="451"/>
      <c r="V31" s="647"/>
      <c r="W31" s="591"/>
      <c r="X31" s="591"/>
      <c r="Y31" s="591"/>
      <c r="Z31" s="591"/>
      <c r="AA31" s="591"/>
      <c r="AB31" s="591"/>
      <c r="AC31" s="591"/>
      <c r="AD31" s="591"/>
      <c r="AE31" s="591"/>
      <c r="AF31" s="591"/>
      <c r="AG31" s="591"/>
      <c r="AH31" s="591"/>
      <c r="AI31" s="591"/>
      <c r="AJ31" s="591"/>
    </row>
    <row r="32" spans="1:36" ht="15.6" x14ac:dyDescent="0.3">
      <c r="A32" s="375">
        <v>40</v>
      </c>
      <c r="B32" s="899" t="s">
        <v>789</v>
      </c>
      <c r="C32" s="428"/>
      <c r="D32" s="1105"/>
      <c r="E32" s="561"/>
      <c r="F32" s="401"/>
      <c r="G32" s="399"/>
      <c r="H32" s="1105"/>
      <c r="I32" s="561"/>
      <c r="J32" s="401"/>
      <c r="K32" s="399"/>
      <c r="L32" s="399"/>
      <c r="M32" s="401"/>
      <c r="N32" s="399"/>
      <c r="O32" s="1230"/>
      <c r="P32" s="377"/>
      <c r="Q32" s="525"/>
      <c r="R32" s="399"/>
      <c r="S32" s="428"/>
      <c r="T32" s="428"/>
      <c r="U32" s="428"/>
      <c r="V32" s="647"/>
      <c r="W32" s="591"/>
      <c r="X32" s="591"/>
      <c r="Y32" s="591"/>
      <c r="Z32" s="591"/>
      <c r="AA32" s="591"/>
      <c r="AB32" s="591"/>
      <c r="AC32" s="591"/>
      <c r="AD32" s="591"/>
      <c r="AE32" s="591"/>
      <c r="AF32" s="591"/>
      <c r="AG32" s="591"/>
      <c r="AH32" s="591"/>
      <c r="AI32" s="591"/>
      <c r="AJ32" s="591"/>
    </row>
    <row r="33" spans="1:36" x14ac:dyDescent="0.25">
      <c r="A33" s="375">
        <v>41</v>
      </c>
      <c r="B33" s="567" t="s">
        <v>780</v>
      </c>
      <c r="C33" s="428"/>
      <c r="D33" s="1100">
        <v>15.03</v>
      </c>
      <c r="E33" s="894" t="s">
        <v>781</v>
      </c>
      <c r="F33" s="906">
        <v>0</v>
      </c>
      <c r="G33" s="907">
        <f>F33*D33</f>
        <v>0</v>
      </c>
      <c r="H33" s="1100">
        <v>15.03</v>
      </c>
      <c r="I33" s="894" t="s">
        <v>781</v>
      </c>
      <c r="J33" s="906">
        <v>0</v>
      </c>
      <c r="K33" s="907">
        <f>J33*H33</f>
        <v>0</v>
      </c>
      <c r="L33" s="907"/>
      <c r="M33" s="910">
        <f>+F33+J33</f>
        <v>0</v>
      </c>
      <c r="N33" s="894">
        <f>+K33+G33</f>
        <v>0</v>
      </c>
      <c r="O33" s="1226">
        <v>15.03</v>
      </c>
      <c r="P33" s="1234" t="s">
        <v>781</v>
      </c>
      <c r="Q33" s="890">
        <f t="shared" ref="Q33:Q35" si="6">M33*O33</f>
        <v>0</v>
      </c>
      <c r="R33" s="890">
        <f>+H33*(1+$R$5)</f>
        <v>17.162756999999999</v>
      </c>
      <c r="S33" s="894" t="s">
        <v>781</v>
      </c>
      <c r="T33" s="989">
        <f>F33*R33</f>
        <v>0</v>
      </c>
      <c r="U33" s="451"/>
      <c r="V33" s="646" t="e">
        <f t="shared" ref="V33:V36" si="7">+T33/N33-1</f>
        <v>#DIV/0!</v>
      </c>
      <c r="W33" s="591"/>
      <c r="X33" s="591"/>
      <c r="Y33" s="591"/>
      <c r="Z33" s="591"/>
      <c r="AA33" s="591"/>
      <c r="AB33" s="591"/>
      <c r="AC33" s="591"/>
      <c r="AD33" s="591"/>
      <c r="AE33" s="591"/>
      <c r="AF33" s="591"/>
      <c r="AG33" s="591"/>
      <c r="AH33" s="591"/>
      <c r="AI33" s="591"/>
      <c r="AJ33" s="591"/>
    </row>
    <row r="34" spans="1:36" x14ac:dyDescent="0.25">
      <c r="A34" s="375">
        <v>42</v>
      </c>
      <c r="B34" s="568" t="s">
        <v>797</v>
      </c>
      <c r="C34" s="428"/>
      <c r="D34" s="1106">
        <v>0.12025</v>
      </c>
      <c r="E34" s="894" t="s">
        <v>782</v>
      </c>
      <c r="F34" s="906">
        <v>0</v>
      </c>
      <c r="G34" s="907">
        <f>F34*D34</f>
        <v>0</v>
      </c>
      <c r="H34" s="1106">
        <v>0.12025</v>
      </c>
      <c r="I34" s="894" t="s">
        <v>782</v>
      </c>
      <c r="J34" s="906">
        <v>0</v>
      </c>
      <c r="K34" s="907">
        <f>J34*H34</f>
        <v>0</v>
      </c>
      <c r="L34" s="907"/>
      <c r="M34" s="910">
        <f>+F34+J34</f>
        <v>0</v>
      </c>
      <c r="N34" s="894">
        <f>+K34+G34</f>
        <v>0</v>
      </c>
      <c r="O34" s="1231">
        <v>0.12025</v>
      </c>
      <c r="P34" s="1234" t="s">
        <v>782</v>
      </c>
      <c r="Q34" s="890">
        <f t="shared" si="6"/>
        <v>0</v>
      </c>
      <c r="R34" s="891">
        <f>+H34*(1+$R$5)</f>
        <v>0.13731347499999999</v>
      </c>
      <c r="S34" s="894" t="s">
        <v>782</v>
      </c>
      <c r="T34" s="989">
        <f>F34*R34</f>
        <v>0</v>
      </c>
      <c r="U34" s="451"/>
      <c r="V34" s="646" t="e">
        <f t="shared" si="7"/>
        <v>#DIV/0!</v>
      </c>
      <c r="W34" s="591"/>
      <c r="X34" s="591"/>
      <c r="Y34" s="591"/>
      <c r="Z34" s="591"/>
      <c r="AA34" s="591"/>
      <c r="AB34" s="591"/>
      <c r="AC34" s="591"/>
      <c r="AD34" s="591"/>
      <c r="AE34" s="591"/>
      <c r="AF34" s="591"/>
      <c r="AG34" s="591"/>
      <c r="AH34" s="591"/>
      <c r="AI34" s="591"/>
      <c r="AJ34" s="591"/>
    </row>
    <row r="35" spans="1:36" x14ac:dyDescent="0.25">
      <c r="A35" s="375">
        <v>43</v>
      </c>
      <c r="B35" s="568" t="s">
        <v>798</v>
      </c>
      <c r="C35" s="451"/>
      <c r="D35" s="1101">
        <v>0.25273000000000001</v>
      </c>
      <c r="E35" s="894" t="s">
        <v>782</v>
      </c>
      <c r="F35" s="986">
        <v>0</v>
      </c>
      <c r="G35" s="908">
        <f>F35*D35</f>
        <v>0</v>
      </c>
      <c r="H35" s="1101">
        <v>0.25273000000000001</v>
      </c>
      <c r="I35" s="894" t="s">
        <v>782</v>
      </c>
      <c r="J35" s="986">
        <v>0</v>
      </c>
      <c r="K35" s="908">
        <f>J35*H35</f>
        <v>0</v>
      </c>
      <c r="L35" s="908"/>
      <c r="M35" s="936">
        <f>+F35+J35</f>
        <v>0</v>
      </c>
      <c r="N35" s="988">
        <f>+K35+G35</f>
        <v>0</v>
      </c>
      <c r="O35" s="1227">
        <v>0.25273000000000001</v>
      </c>
      <c r="P35" s="1234" t="s">
        <v>782</v>
      </c>
      <c r="Q35" s="1238">
        <f t="shared" si="6"/>
        <v>0</v>
      </c>
      <c r="R35" s="891">
        <f>+H35*(1+$R$5)</f>
        <v>0.28859238700000001</v>
      </c>
      <c r="S35" s="894" t="s">
        <v>782</v>
      </c>
      <c r="T35" s="990">
        <f>F35*R35</f>
        <v>0</v>
      </c>
      <c r="U35" s="451"/>
      <c r="V35" s="646" t="e">
        <f t="shared" si="7"/>
        <v>#DIV/0!</v>
      </c>
      <c r="W35" s="591"/>
      <c r="X35" s="591"/>
      <c r="Y35" s="591"/>
      <c r="Z35" s="591"/>
      <c r="AA35" s="591"/>
      <c r="AB35" s="591"/>
      <c r="AC35" s="591"/>
      <c r="AD35" s="591"/>
      <c r="AE35" s="591"/>
      <c r="AF35" s="591"/>
      <c r="AG35" s="591"/>
      <c r="AH35" s="591"/>
      <c r="AI35" s="591"/>
      <c r="AJ35" s="591"/>
    </row>
    <row r="36" spans="1:36" x14ac:dyDescent="0.25">
      <c r="A36" s="375">
        <v>44</v>
      </c>
      <c r="B36" s="903" t="s">
        <v>783</v>
      </c>
      <c r="C36" s="451"/>
      <c r="D36" s="1100"/>
      <c r="E36" s="894"/>
      <c r="F36" s="906">
        <f>F34+F35</f>
        <v>0</v>
      </c>
      <c r="G36" s="907">
        <f>SUM(G33:G35)</f>
        <v>0</v>
      </c>
      <c r="H36" s="1100"/>
      <c r="I36" s="894"/>
      <c r="J36" s="906">
        <f>J34+J35</f>
        <v>0</v>
      </c>
      <c r="K36" s="907">
        <f>SUM(K33:K35)</f>
        <v>0</v>
      </c>
      <c r="L36" s="907"/>
      <c r="M36" s="907"/>
      <c r="N36" s="894">
        <f>+K36+G36</f>
        <v>0</v>
      </c>
      <c r="O36" s="1226"/>
      <c r="P36" s="1234"/>
      <c r="Q36" s="1236">
        <f>SUM(Q33:Q35)</f>
        <v>0</v>
      </c>
      <c r="R36" s="890"/>
      <c r="S36" s="894"/>
      <c r="T36" s="907">
        <f>SUM(T33:T35)</f>
        <v>0</v>
      </c>
      <c r="U36" s="451"/>
      <c r="V36" s="646" t="e">
        <f t="shared" si="7"/>
        <v>#DIV/0!</v>
      </c>
      <c r="W36" s="591"/>
      <c r="X36" s="591"/>
      <c r="Y36" s="591"/>
      <c r="Z36" s="591"/>
      <c r="AA36" s="591"/>
      <c r="AB36" s="591"/>
      <c r="AC36" s="591"/>
      <c r="AD36" s="591"/>
      <c r="AE36" s="591"/>
      <c r="AF36" s="591"/>
      <c r="AG36" s="591"/>
      <c r="AH36" s="591"/>
      <c r="AI36" s="591"/>
      <c r="AJ36" s="591"/>
    </row>
    <row r="37" spans="1:36" x14ac:dyDescent="0.25">
      <c r="A37" s="375">
        <v>45</v>
      </c>
      <c r="B37" s="903"/>
      <c r="C37" s="451"/>
      <c r="D37" s="1100"/>
      <c r="E37" s="894"/>
      <c r="F37" s="906"/>
      <c r="G37" s="896"/>
      <c r="H37" s="1100"/>
      <c r="I37" s="894"/>
      <c r="J37" s="906"/>
      <c r="K37" s="896"/>
      <c r="L37" s="896"/>
      <c r="M37" s="896"/>
      <c r="N37" s="894"/>
      <c r="O37" s="1226"/>
      <c r="P37" s="1234"/>
      <c r="Q37" s="1236"/>
      <c r="R37" s="890"/>
      <c r="S37" s="894"/>
      <c r="T37" s="907"/>
      <c r="U37" s="451"/>
      <c r="V37" s="647"/>
      <c r="W37" s="591"/>
      <c r="X37" s="591"/>
      <c r="Y37" s="591"/>
      <c r="Z37" s="591"/>
      <c r="AA37" s="591"/>
      <c r="AB37" s="591"/>
      <c r="AC37" s="591"/>
      <c r="AD37" s="591"/>
      <c r="AE37" s="591"/>
      <c r="AF37" s="591"/>
      <c r="AG37" s="591"/>
      <c r="AH37" s="591"/>
      <c r="AI37" s="591"/>
      <c r="AJ37" s="591"/>
    </row>
    <row r="38" spans="1:36" ht="15.6" x14ac:dyDescent="0.3">
      <c r="A38" s="375">
        <v>46</v>
      </c>
      <c r="B38" s="899" t="s">
        <v>790</v>
      </c>
      <c r="C38" s="451"/>
      <c r="D38" s="1100"/>
      <c r="E38" s="894"/>
      <c r="F38" s="906"/>
      <c r="G38" s="896"/>
      <c r="H38" s="1100"/>
      <c r="I38" s="894"/>
      <c r="J38" s="906"/>
      <c r="K38" s="896"/>
      <c r="L38" s="896"/>
      <c r="M38" s="896"/>
      <c r="N38" s="894"/>
      <c r="O38" s="1226"/>
      <c r="P38" s="1234"/>
      <c r="Q38" s="1236"/>
      <c r="R38" s="890"/>
      <c r="S38" s="894"/>
      <c r="T38" s="907"/>
      <c r="U38" s="451"/>
      <c r="V38" s="647"/>
      <c r="W38" s="591"/>
      <c r="X38" s="591"/>
      <c r="Y38" s="591"/>
      <c r="Z38" s="591"/>
      <c r="AA38" s="591"/>
      <c r="AB38" s="591"/>
      <c r="AC38" s="591"/>
      <c r="AD38" s="591"/>
      <c r="AE38" s="591"/>
      <c r="AF38" s="591"/>
      <c r="AG38" s="591"/>
      <c r="AH38" s="591"/>
      <c r="AI38" s="591"/>
      <c r="AJ38" s="591"/>
    </row>
    <row r="39" spans="1:36" x14ac:dyDescent="0.25">
      <c r="A39" s="375">
        <v>47</v>
      </c>
      <c r="B39" s="567" t="s">
        <v>780</v>
      </c>
      <c r="C39" s="451"/>
      <c r="D39" s="1100">
        <v>15.03</v>
      </c>
      <c r="E39" s="894" t="s">
        <v>781</v>
      </c>
      <c r="F39" s="906">
        <v>0</v>
      </c>
      <c r="G39" s="907">
        <f>F39*D39</f>
        <v>0</v>
      </c>
      <c r="H39" s="1100">
        <v>15.03</v>
      </c>
      <c r="I39" s="894" t="s">
        <v>781</v>
      </c>
      <c r="J39" s="906">
        <v>0</v>
      </c>
      <c r="K39" s="907">
        <f>J39*H39</f>
        <v>0</v>
      </c>
      <c r="L39" s="907"/>
      <c r="M39" s="910">
        <f>+F39+J39</f>
        <v>0</v>
      </c>
      <c r="N39" s="894">
        <f>+K39+G39</f>
        <v>0</v>
      </c>
      <c r="O39" s="1226">
        <v>15.03</v>
      </c>
      <c r="P39" s="1234" t="s">
        <v>781</v>
      </c>
      <c r="Q39" s="890">
        <f t="shared" ref="Q39:Q41" si="8">M39*O39</f>
        <v>0</v>
      </c>
      <c r="R39" s="890">
        <f>+H39*(1+$R$5)</f>
        <v>17.162756999999999</v>
      </c>
      <c r="S39" s="894" t="s">
        <v>781</v>
      </c>
      <c r="T39" s="989">
        <f>F39*R39</f>
        <v>0</v>
      </c>
      <c r="U39" s="451"/>
      <c r="V39" s="646" t="e">
        <f t="shared" ref="V39:V42" si="9">+T39/N39-1</f>
        <v>#DIV/0!</v>
      </c>
      <c r="W39" s="591"/>
      <c r="X39" s="591"/>
      <c r="Y39" s="591"/>
      <c r="Z39" s="591"/>
      <c r="AA39" s="591"/>
      <c r="AB39" s="591"/>
      <c r="AC39" s="591"/>
      <c r="AD39" s="591"/>
      <c r="AE39" s="591"/>
      <c r="AF39" s="591"/>
      <c r="AG39" s="591"/>
      <c r="AH39" s="591"/>
      <c r="AI39" s="591"/>
      <c r="AJ39" s="591"/>
    </row>
    <row r="40" spans="1:36" x14ac:dyDescent="0.25">
      <c r="A40" s="375">
        <v>48</v>
      </c>
      <c r="B40" s="568" t="s">
        <v>797</v>
      </c>
      <c r="C40" s="451"/>
      <c r="D40" s="1106">
        <v>0.12025</v>
      </c>
      <c r="E40" s="894" t="s">
        <v>782</v>
      </c>
      <c r="F40" s="906">
        <v>0</v>
      </c>
      <c r="G40" s="907">
        <f>F40*D40</f>
        <v>0</v>
      </c>
      <c r="H40" s="1106">
        <v>0.12025</v>
      </c>
      <c r="I40" s="894" t="s">
        <v>782</v>
      </c>
      <c r="J40" s="906">
        <v>0</v>
      </c>
      <c r="K40" s="907">
        <f>J40*H40</f>
        <v>0</v>
      </c>
      <c r="L40" s="907"/>
      <c r="M40" s="910">
        <f>+F40+J40</f>
        <v>0</v>
      </c>
      <c r="N40" s="894">
        <f>+K40+G40</f>
        <v>0</v>
      </c>
      <c r="O40" s="1231">
        <v>0.12025</v>
      </c>
      <c r="P40" s="1234" t="s">
        <v>782</v>
      </c>
      <c r="Q40" s="890">
        <f t="shared" si="8"/>
        <v>0</v>
      </c>
      <c r="R40" s="891">
        <f>+H40*(1+$R$5)</f>
        <v>0.13731347499999999</v>
      </c>
      <c r="S40" s="894" t="s">
        <v>782</v>
      </c>
      <c r="T40" s="989">
        <f>F40*R40</f>
        <v>0</v>
      </c>
      <c r="U40" s="451"/>
      <c r="V40" s="646" t="e">
        <f t="shared" si="9"/>
        <v>#DIV/0!</v>
      </c>
      <c r="W40" s="591"/>
      <c r="X40" s="591"/>
      <c r="Y40" s="591"/>
      <c r="Z40" s="591"/>
      <c r="AA40" s="591"/>
      <c r="AB40" s="591"/>
      <c r="AC40" s="591"/>
      <c r="AD40" s="591"/>
      <c r="AE40" s="591"/>
      <c r="AF40" s="591"/>
      <c r="AG40" s="591"/>
      <c r="AH40" s="591"/>
      <c r="AI40" s="591"/>
      <c r="AJ40" s="591"/>
    </row>
    <row r="41" spans="1:36" x14ac:dyDescent="0.25">
      <c r="A41" s="375">
        <v>49</v>
      </c>
      <c r="B41" s="568" t="s">
        <v>798</v>
      </c>
      <c r="C41" s="451"/>
      <c r="D41" s="1101">
        <v>0.29720000000000002</v>
      </c>
      <c r="E41" s="894" t="s">
        <v>782</v>
      </c>
      <c r="F41" s="986">
        <v>0</v>
      </c>
      <c r="G41" s="908">
        <f>F41*D41</f>
        <v>0</v>
      </c>
      <c r="H41" s="1101">
        <v>0.29720000000000002</v>
      </c>
      <c r="I41" s="894" t="s">
        <v>782</v>
      </c>
      <c r="J41" s="986">
        <v>0</v>
      </c>
      <c r="K41" s="908">
        <f>J41*H41</f>
        <v>0</v>
      </c>
      <c r="L41" s="908"/>
      <c r="M41" s="936">
        <f>+F41+J41</f>
        <v>0</v>
      </c>
      <c r="N41" s="988">
        <f>+K41+G41</f>
        <v>0</v>
      </c>
      <c r="O41" s="1227">
        <v>0.29720000000000002</v>
      </c>
      <c r="P41" s="1234" t="s">
        <v>782</v>
      </c>
      <c r="Q41" s="1238">
        <f t="shared" si="8"/>
        <v>0</v>
      </c>
      <c r="R41" s="891">
        <f>+H41*(1+$R$5)</f>
        <v>0.33937267999999998</v>
      </c>
      <c r="S41" s="894" t="s">
        <v>782</v>
      </c>
      <c r="T41" s="990">
        <f>F41*R41</f>
        <v>0</v>
      </c>
      <c r="U41" s="451"/>
      <c r="V41" s="646" t="e">
        <f t="shared" si="9"/>
        <v>#DIV/0!</v>
      </c>
      <c r="W41" s="591"/>
      <c r="X41" s="591"/>
      <c r="Y41" s="591"/>
      <c r="Z41" s="591"/>
      <c r="AA41" s="591"/>
      <c r="AB41" s="591"/>
      <c r="AC41" s="591"/>
      <c r="AD41" s="591"/>
      <c r="AE41" s="591"/>
      <c r="AF41" s="591"/>
      <c r="AG41" s="591"/>
      <c r="AH41" s="591"/>
      <c r="AI41" s="591"/>
      <c r="AJ41" s="591"/>
    </row>
    <row r="42" spans="1:36" x14ac:dyDescent="0.25">
      <c r="A42" s="375">
        <v>50</v>
      </c>
      <c r="B42" s="903" t="s">
        <v>783</v>
      </c>
      <c r="C42" s="451"/>
      <c r="D42" s="1100"/>
      <c r="E42" s="894"/>
      <c r="F42" s="906">
        <f>+F40+F41</f>
        <v>0</v>
      </c>
      <c r="G42" s="961">
        <f>SUM(G39:G41)</f>
        <v>0</v>
      </c>
      <c r="H42" s="1100"/>
      <c r="I42" s="894"/>
      <c r="J42" s="906">
        <f>+J40+J41</f>
        <v>0</v>
      </c>
      <c r="K42" s="961">
        <f>SUM(K39:K41)</f>
        <v>0</v>
      </c>
      <c r="L42" s="961"/>
      <c r="M42" s="961"/>
      <c r="N42" s="894">
        <f>+K42+G42</f>
        <v>0</v>
      </c>
      <c r="O42" s="1226"/>
      <c r="P42" s="1234"/>
      <c r="Q42" s="1236">
        <f>SUM(Q39:Q41)</f>
        <v>0</v>
      </c>
      <c r="R42" s="890"/>
      <c r="S42" s="894"/>
      <c r="T42" s="907">
        <f>SUM(T39:T41)</f>
        <v>0</v>
      </c>
      <c r="U42" s="451"/>
      <c r="V42" s="646" t="e">
        <f t="shared" si="9"/>
        <v>#DIV/0!</v>
      </c>
      <c r="W42" s="591"/>
      <c r="X42" s="591"/>
      <c r="Y42" s="591"/>
      <c r="Z42" s="591"/>
      <c r="AA42" s="591"/>
      <c r="AB42" s="591"/>
      <c r="AC42" s="591"/>
      <c r="AD42" s="591"/>
      <c r="AE42" s="591"/>
      <c r="AF42" s="591"/>
      <c r="AG42" s="591"/>
      <c r="AH42" s="591"/>
      <c r="AI42" s="591"/>
      <c r="AJ42" s="591"/>
    </row>
    <row r="43" spans="1:36" ht="15.6" x14ac:dyDescent="0.3">
      <c r="A43" s="375">
        <v>51</v>
      </c>
      <c r="B43" s="899"/>
      <c r="C43" s="428"/>
      <c r="D43" s="1101"/>
      <c r="E43" s="894"/>
      <c r="F43" s="906"/>
      <c r="G43" s="907"/>
      <c r="H43" s="1101"/>
      <c r="I43" s="894"/>
      <c r="J43" s="401"/>
      <c r="K43" s="400"/>
      <c r="L43" s="400"/>
      <c r="M43" s="400"/>
      <c r="N43" s="428"/>
      <c r="O43" s="1227"/>
      <c r="P43" s="1234"/>
      <c r="Q43" s="1240"/>
      <c r="R43" s="525"/>
      <c r="S43" s="599"/>
      <c r="T43" s="599"/>
      <c r="U43" s="428"/>
      <c r="V43" s="647"/>
      <c r="W43" s="591"/>
      <c r="X43" s="591"/>
      <c r="Y43" s="591"/>
      <c r="Z43" s="591"/>
      <c r="AA43" s="591"/>
      <c r="AB43" s="591"/>
      <c r="AC43" s="591"/>
      <c r="AD43" s="591"/>
      <c r="AE43" s="591"/>
      <c r="AF43" s="591"/>
      <c r="AG43" s="591"/>
      <c r="AH43" s="591"/>
      <c r="AI43" s="591"/>
      <c r="AJ43" s="591"/>
    </row>
    <row r="44" spans="1:36" ht="15.6" x14ac:dyDescent="0.3">
      <c r="A44" s="375">
        <v>52</v>
      </c>
      <c r="B44" s="899" t="s">
        <v>791</v>
      </c>
      <c r="C44" s="451"/>
      <c r="D44" s="1100"/>
      <c r="E44" s="894"/>
      <c r="F44" s="402"/>
      <c r="G44" s="400"/>
      <c r="H44" s="1100"/>
      <c r="I44" s="894"/>
      <c r="J44" s="402"/>
      <c r="K44" s="400"/>
      <c r="L44" s="400"/>
      <c r="M44" s="400"/>
      <c r="N44" s="451"/>
      <c r="O44" s="1226"/>
      <c r="P44" s="1234"/>
      <c r="Q44" s="1240"/>
      <c r="R44" s="525"/>
      <c r="S44" s="451"/>
      <c r="T44" s="599"/>
      <c r="U44" s="451"/>
      <c r="V44" s="647"/>
      <c r="W44" s="591"/>
      <c r="X44" s="591"/>
      <c r="Y44" s="591"/>
      <c r="Z44" s="591"/>
      <c r="AA44" s="591"/>
      <c r="AB44" s="591"/>
      <c r="AC44" s="591"/>
      <c r="AD44" s="591"/>
      <c r="AE44" s="591"/>
      <c r="AF44" s="591"/>
      <c r="AG44" s="591"/>
      <c r="AH44" s="591"/>
      <c r="AI44" s="591"/>
      <c r="AJ44" s="591"/>
    </row>
    <row r="45" spans="1:36" x14ac:dyDescent="0.25">
      <c r="A45" s="375">
        <v>53</v>
      </c>
      <c r="B45" s="567" t="s">
        <v>1356</v>
      </c>
      <c r="C45" s="451"/>
      <c r="D45" s="1100">
        <v>23.39</v>
      </c>
      <c r="E45" s="894" t="s">
        <v>792</v>
      </c>
      <c r="F45" s="906">
        <f>+G45/D45</f>
        <v>1005.8425896964515</v>
      </c>
      <c r="G45" s="1107">
        <f>41515.19*0.5667</f>
        <v>23526.658173</v>
      </c>
      <c r="H45" s="1100">
        <v>23.39</v>
      </c>
      <c r="I45" s="894" t="s">
        <v>792</v>
      </c>
      <c r="J45" s="906">
        <f>+K45/H45</f>
        <v>988.63661825566464</v>
      </c>
      <c r="K45" s="1107">
        <f>40805.03*0.5667</f>
        <v>23124.210500999998</v>
      </c>
      <c r="L45" s="400"/>
      <c r="M45" s="910">
        <f t="shared" ref="M45:M50" si="10">+F45+J45</f>
        <v>1994.4792079521162</v>
      </c>
      <c r="N45" s="907">
        <f t="shared" ref="N45:N50" si="11">+K45+G45</f>
        <v>46650.868673999998</v>
      </c>
      <c r="O45" s="1226">
        <v>23.39</v>
      </c>
      <c r="P45" s="1234" t="s">
        <v>792</v>
      </c>
      <c r="Q45" s="890">
        <f t="shared" ref="Q45:Q50" si="12">M45*O45</f>
        <v>46650.868673999998</v>
      </c>
      <c r="R45" s="890">
        <f t="shared" ref="R45:R50" si="13">+H45*(1+$R$5)</f>
        <v>26.709040999999999</v>
      </c>
      <c r="S45" s="896" t="s">
        <v>781</v>
      </c>
      <c r="T45" s="907">
        <f t="shared" ref="T45:T50" si="14">+N45*(1+$R$5)</f>
        <v>53270.626938840593</v>
      </c>
      <c r="U45" s="451"/>
      <c r="V45" s="646">
        <f t="shared" ref="V45:V51" si="15">+T45/N45-1</f>
        <v>0.14189999999999992</v>
      </c>
      <c r="W45" s="591"/>
      <c r="X45" s="591"/>
      <c r="Y45" s="591"/>
      <c r="Z45" s="591"/>
      <c r="AA45" s="591"/>
      <c r="AB45" s="591"/>
      <c r="AC45" s="591"/>
      <c r="AD45" s="591"/>
      <c r="AE45" s="591"/>
      <c r="AF45" s="591"/>
      <c r="AG45" s="591"/>
      <c r="AH45" s="591"/>
      <c r="AI45" s="591"/>
      <c r="AJ45" s="591"/>
    </row>
    <row r="46" spans="1:36" x14ac:dyDescent="0.25">
      <c r="A46" s="375">
        <v>54</v>
      </c>
      <c r="B46" s="567" t="s">
        <v>1355</v>
      </c>
      <c r="C46" s="451"/>
      <c r="D46" s="1100">
        <v>46.78</v>
      </c>
      <c r="E46" s="894" t="s">
        <v>792</v>
      </c>
      <c r="F46" s="906">
        <f>+G46/D46</f>
        <v>141.6379718683198</v>
      </c>
      <c r="G46" s="1107">
        <f>41515.19*0.1596</f>
        <v>6625.8243240000002</v>
      </c>
      <c r="H46" s="1100">
        <v>46.78</v>
      </c>
      <c r="I46" s="894" t="s">
        <v>792</v>
      </c>
      <c r="J46" s="906">
        <f t="shared" ref="J46:J50" si="16">+K46/H46</f>
        <v>139.21510876442923</v>
      </c>
      <c r="K46" s="1107">
        <f>40805.03*0.1596</f>
        <v>6512.4827879999993</v>
      </c>
      <c r="L46" s="400"/>
      <c r="M46" s="910">
        <f t="shared" si="10"/>
        <v>280.85308063274903</v>
      </c>
      <c r="N46" s="907">
        <f t="shared" si="11"/>
        <v>13138.307111999999</v>
      </c>
      <c r="O46" s="1226">
        <v>46.78</v>
      </c>
      <c r="P46" s="1234" t="s">
        <v>792</v>
      </c>
      <c r="Q46" s="890">
        <f t="shared" si="12"/>
        <v>13138.307112</v>
      </c>
      <c r="R46" s="890">
        <f t="shared" si="13"/>
        <v>53.418081999999998</v>
      </c>
      <c r="S46" s="896" t="s">
        <v>781</v>
      </c>
      <c r="T46" s="907">
        <f t="shared" si="14"/>
        <v>15002.632891192798</v>
      </c>
      <c r="U46" s="451"/>
      <c r="V46" s="646">
        <f t="shared" si="15"/>
        <v>0.14189999999999992</v>
      </c>
      <c r="W46" s="591"/>
      <c r="X46" s="591"/>
      <c r="Y46" s="591"/>
      <c r="Z46" s="591"/>
      <c r="AA46" s="591"/>
      <c r="AB46" s="591"/>
      <c r="AC46" s="591"/>
      <c r="AD46" s="591"/>
      <c r="AE46" s="591"/>
      <c r="AF46" s="591"/>
      <c r="AG46" s="591"/>
      <c r="AH46" s="591"/>
      <c r="AI46" s="591"/>
      <c r="AJ46" s="591"/>
    </row>
    <row r="47" spans="1:36" x14ac:dyDescent="0.25">
      <c r="A47" s="375">
        <v>55</v>
      </c>
      <c r="B47" s="567" t="s">
        <v>1357</v>
      </c>
      <c r="C47" s="451"/>
      <c r="D47" s="1100">
        <v>22.04</v>
      </c>
      <c r="E47" s="894"/>
      <c r="F47" s="906">
        <f t="shared" ref="F47:F50" si="17">+G47/D47</f>
        <v>150.87870775862072</v>
      </c>
      <c r="G47" s="1107">
        <f>41515.19*0.0801</f>
        <v>3325.3667190000006</v>
      </c>
      <c r="H47" s="1100">
        <v>22.04</v>
      </c>
      <c r="I47" s="894" t="s">
        <v>792</v>
      </c>
      <c r="J47" s="906">
        <f t="shared" si="16"/>
        <v>148.29777236842105</v>
      </c>
      <c r="K47" s="1107">
        <f>40805.03*0.0801</f>
        <v>3268.4829030000001</v>
      </c>
      <c r="L47" s="400"/>
      <c r="M47" s="910">
        <f t="shared" si="10"/>
        <v>299.17648012704177</v>
      </c>
      <c r="N47" s="907">
        <f t="shared" si="11"/>
        <v>6593.8496220000006</v>
      </c>
      <c r="O47" s="1226">
        <v>22.04</v>
      </c>
      <c r="P47" s="1234" t="s">
        <v>792</v>
      </c>
      <c r="Q47" s="890">
        <f t="shared" si="12"/>
        <v>6593.8496220000006</v>
      </c>
      <c r="R47" s="890">
        <f t="shared" si="13"/>
        <v>25.167475999999997</v>
      </c>
      <c r="S47" s="896" t="s">
        <v>781</v>
      </c>
      <c r="T47" s="907">
        <f t="shared" si="14"/>
        <v>7529.5168833618</v>
      </c>
      <c r="U47" s="451"/>
      <c r="V47" s="646">
        <f t="shared" si="15"/>
        <v>0.14189999999999992</v>
      </c>
      <c r="W47" s="591"/>
      <c r="X47" s="591"/>
      <c r="Y47" s="591"/>
      <c r="Z47" s="591"/>
      <c r="AA47" s="591"/>
      <c r="AB47" s="591"/>
      <c r="AC47" s="591"/>
      <c r="AD47" s="591"/>
      <c r="AE47" s="591"/>
      <c r="AF47" s="591"/>
      <c r="AG47" s="591"/>
      <c r="AH47" s="591"/>
      <c r="AI47" s="591"/>
      <c r="AJ47" s="591"/>
    </row>
    <row r="48" spans="1:36" x14ac:dyDescent="0.25">
      <c r="A48" s="375">
        <v>56</v>
      </c>
      <c r="B48" s="567" t="s">
        <v>1358</v>
      </c>
      <c r="C48" s="451"/>
      <c r="D48" s="1100">
        <v>22.44</v>
      </c>
      <c r="E48" s="896" t="s">
        <v>792</v>
      </c>
      <c r="F48" s="906">
        <f t="shared" si="17"/>
        <v>1.182810606060606E-8</v>
      </c>
      <c r="G48" s="1107">
        <f>26542.27*0.00000000001</f>
        <v>2.654227E-7</v>
      </c>
      <c r="H48" s="1100">
        <v>22.44</v>
      </c>
      <c r="I48" s="896" t="s">
        <v>792</v>
      </c>
      <c r="J48" s="906">
        <f t="shared" si="16"/>
        <v>1.182810606060606E-8</v>
      </c>
      <c r="K48" s="1107">
        <f>26542.27*0.00000000001</f>
        <v>2.654227E-7</v>
      </c>
      <c r="L48" s="400"/>
      <c r="M48" s="910">
        <f t="shared" si="10"/>
        <v>2.365621212121212E-8</v>
      </c>
      <c r="N48" s="907">
        <f t="shared" si="11"/>
        <v>5.3084540000000001E-7</v>
      </c>
      <c r="O48" s="1226">
        <v>22.44</v>
      </c>
      <c r="P48" s="1234" t="s">
        <v>792</v>
      </c>
      <c r="Q48" s="890">
        <f t="shared" si="12"/>
        <v>5.3084540000000001E-7</v>
      </c>
      <c r="R48" s="890">
        <f t="shared" si="13"/>
        <v>25.624236</v>
      </c>
      <c r="S48" s="896" t="s">
        <v>781</v>
      </c>
      <c r="T48" s="907">
        <f t="shared" si="14"/>
        <v>6.0617236225999997E-7</v>
      </c>
      <c r="U48" s="431"/>
      <c r="V48" s="646">
        <f t="shared" si="15"/>
        <v>0.14189999999999992</v>
      </c>
      <c r="W48" s="591"/>
      <c r="X48" s="591"/>
      <c r="Y48" s="591"/>
      <c r="Z48" s="591"/>
      <c r="AA48" s="591"/>
      <c r="AB48" s="591"/>
      <c r="AC48" s="591"/>
      <c r="AD48" s="591"/>
      <c r="AE48" s="591"/>
      <c r="AF48" s="591"/>
      <c r="AG48" s="591"/>
      <c r="AH48" s="591"/>
      <c r="AI48" s="591"/>
      <c r="AJ48" s="591"/>
    </row>
    <row r="49" spans="1:36" x14ac:dyDescent="0.25">
      <c r="A49" s="375">
        <v>57</v>
      </c>
      <c r="B49" s="567" t="s">
        <v>1359</v>
      </c>
      <c r="C49" s="451"/>
      <c r="D49" s="1100">
        <v>23.37</v>
      </c>
      <c r="E49" s="896" t="s">
        <v>792</v>
      </c>
      <c r="F49" s="906">
        <f t="shared" si="17"/>
        <v>136.07460650406506</v>
      </c>
      <c r="G49" s="1107">
        <f>41515.19*0.0766</f>
        <v>3180.0635540000003</v>
      </c>
      <c r="H49" s="1100">
        <v>23.37</v>
      </c>
      <c r="I49" s="896" t="s">
        <v>792</v>
      </c>
      <c r="J49" s="906">
        <f t="shared" si="16"/>
        <v>133.74691048352588</v>
      </c>
      <c r="K49" s="1107">
        <f>40805.03*0.0766</f>
        <v>3125.6652979999999</v>
      </c>
      <c r="L49" s="400"/>
      <c r="M49" s="910">
        <f t="shared" si="10"/>
        <v>269.82151698759094</v>
      </c>
      <c r="N49" s="907">
        <f t="shared" si="11"/>
        <v>6305.7288520000002</v>
      </c>
      <c r="O49" s="1226">
        <v>23.37</v>
      </c>
      <c r="P49" s="1234" t="s">
        <v>792</v>
      </c>
      <c r="Q49" s="890">
        <f t="shared" si="12"/>
        <v>6305.7288520000002</v>
      </c>
      <c r="R49" s="890">
        <f t="shared" si="13"/>
        <v>26.686202999999999</v>
      </c>
      <c r="S49" s="896" t="s">
        <v>781</v>
      </c>
      <c r="T49" s="907">
        <f t="shared" si="14"/>
        <v>7200.5117760987996</v>
      </c>
      <c r="U49" s="431"/>
      <c r="V49" s="646">
        <f t="shared" si="15"/>
        <v>0.14189999999999992</v>
      </c>
      <c r="W49" s="591"/>
      <c r="X49" s="591"/>
      <c r="Y49" s="591"/>
      <c r="Z49" s="591"/>
      <c r="AA49" s="591"/>
      <c r="AB49" s="591"/>
      <c r="AC49" s="591"/>
      <c r="AD49" s="591"/>
      <c r="AE49" s="591"/>
      <c r="AF49" s="591"/>
      <c r="AG49" s="591"/>
      <c r="AH49" s="591"/>
      <c r="AI49" s="591"/>
      <c r="AJ49" s="591"/>
    </row>
    <row r="50" spans="1:36" x14ac:dyDescent="0.25">
      <c r="A50" s="375">
        <v>58</v>
      </c>
      <c r="B50" s="567" t="s">
        <v>1360</v>
      </c>
      <c r="C50" s="451"/>
      <c r="D50" s="1100">
        <v>22.3</v>
      </c>
      <c r="E50" s="894" t="s">
        <v>792</v>
      </c>
      <c r="F50" s="986">
        <f t="shared" si="17"/>
        <v>217.81512242152468</v>
      </c>
      <c r="G50" s="1110">
        <f>41515.19*0.117</f>
        <v>4857.2772300000006</v>
      </c>
      <c r="H50" s="1100">
        <v>22.3</v>
      </c>
      <c r="I50" s="894" t="s">
        <v>792</v>
      </c>
      <c r="J50" s="986">
        <f t="shared" si="16"/>
        <v>214.08917085201793</v>
      </c>
      <c r="K50" s="1110">
        <f>40805.03*0.117</f>
        <v>4774.18851</v>
      </c>
      <c r="L50" s="746"/>
      <c r="M50" s="936">
        <f t="shared" si="10"/>
        <v>431.90429327354263</v>
      </c>
      <c r="N50" s="908">
        <f t="shared" si="11"/>
        <v>9631.4657399999996</v>
      </c>
      <c r="O50" s="1226">
        <v>22.3</v>
      </c>
      <c r="P50" s="1234" t="s">
        <v>792</v>
      </c>
      <c r="Q50" s="1238">
        <f t="shared" si="12"/>
        <v>9631.4657400000015</v>
      </c>
      <c r="R50" s="890">
        <f t="shared" si="13"/>
        <v>25.464369999999999</v>
      </c>
      <c r="S50" s="896" t="s">
        <v>781</v>
      </c>
      <c r="T50" s="908">
        <f t="shared" si="14"/>
        <v>10998.170728505998</v>
      </c>
      <c r="U50" s="451"/>
      <c r="V50" s="646">
        <f t="shared" si="15"/>
        <v>0.14189999999999992</v>
      </c>
      <c r="W50" s="591"/>
      <c r="X50" s="591"/>
      <c r="Y50" s="591"/>
      <c r="Z50" s="591"/>
      <c r="AA50" s="591"/>
      <c r="AB50" s="591"/>
      <c r="AC50" s="591"/>
      <c r="AD50" s="591"/>
      <c r="AE50" s="591"/>
      <c r="AF50" s="591"/>
      <c r="AG50" s="591"/>
      <c r="AH50" s="591"/>
      <c r="AI50" s="591"/>
      <c r="AJ50" s="591"/>
    </row>
    <row r="51" spans="1:36" x14ac:dyDescent="0.25">
      <c r="A51" s="375">
        <v>59</v>
      </c>
      <c r="B51" s="567" t="s">
        <v>783</v>
      </c>
      <c r="C51" s="428"/>
      <c r="D51" s="897" t="s">
        <v>1277</v>
      </c>
      <c r="E51" s="894"/>
      <c r="F51" s="987">
        <f>SUM(F45:F50)</f>
        <v>1652.2489982608099</v>
      </c>
      <c r="G51" s="907">
        <f>SUM(G45:G50)</f>
        <v>41515.190000265422</v>
      </c>
      <c r="H51" s="897" t="s">
        <v>1277</v>
      </c>
      <c r="I51" s="894"/>
      <c r="J51" s="987">
        <f>SUM(J45:J50)</f>
        <v>1623.985580735887</v>
      </c>
      <c r="K51" s="907">
        <f>SUM(K45:K50)</f>
        <v>40805.030000265418</v>
      </c>
      <c r="L51" s="400"/>
      <c r="M51" s="400"/>
      <c r="N51" s="907">
        <f>SUM(N45:N50)</f>
        <v>82320.220000530826</v>
      </c>
      <c r="O51" s="907"/>
      <c r="P51" s="1234"/>
      <c r="Q51" s="907">
        <f>SUM(Q45:Q50)</f>
        <v>82320.22000053084</v>
      </c>
      <c r="R51" s="890"/>
      <c r="S51" s="896"/>
      <c r="T51" s="907">
        <f>SUM(T45:T50)</f>
        <v>94001.459218606149</v>
      </c>
      <c r="U51" s="451"/>
      <c r="V51" s="646">
        <f t="shared" si="15"/>
        <v>0.14189999999999992</v>
      </c>
      <c r="W51" s="591"/>
      <c r="X51" s="591"/>
      <c r="Y51" s="591"/>
      <c r="Z51" s="591"/>
      <c r="AA51" s="591"/>
      <c r="AB51" s="591"/>
      <c r="AC51" s="591"/>
      <c r="AD51" s="591"/>
      <c r="AE51" s="591"/>
      <c r="AF51" s="591"/>
      <c r="AG51" s="591"/>
      <c r="AH51" s="591"/>
      <c r="AI51" s="591"/>
      <c r="AJ51" s="591"/>
    </row>
    <row r="52" spans="1:36" x14ac:dyDescent="0.25">
      <c r="A52" s="375">
        <v>60</v>
      </c>
      <c r="B52" s="567"/>
      <c r="C52" s="451"/>
      <c r="D52" s="898" t="s">
        <v>1278</v>
      </c>
      <c r="E52" s="894"/>
      <c r="F52" s="987">
        <v>54403</v>
      </c>
      <c r="G52" s="400"/>
      <c r="H52" s="898" t="s">
        <v>1278</v>
      </c>
      <c r="I52" s="894"/>
      <c r="J52" s="1112">
        <v>106308</v>
      </c>
      <c r="K52" s="400"/>
      <c r="L52" s="400"/>
      <c r="M52" s="400"/>
      <c r="N52" s="451"/>
      <c r="O52" s="451"/>
      <c r="P52" s="1234"/>
      <c r="Q52" s="451"/>
      <c r="R52" s="526"/>
      <c r="S52" s="451"/>
      <c r="T52" s="599"/>
      <c r="U52" s="451"/>
      <c r="V52" s="600"/>
      <c r="W52" s="591"/>
      <c r="X52" s="591"/>
      <c r="Y52" s="591"/>
      <c r="Z52" s="591"/>
      <c r="AA52" s="591"/>
      <c r="AB52" s="591"/>
      <c r="AC52" s="591"/>
      <c r="AD52" s="591"/>
      <c r="AE52" s="591"/>
      <c r="AF52" s="591"/>
      <c r="AG52" s="591"/>
      <c r="AH52" s="591"/>
      <c r="AI52" s="591"/>
      <c r="AJ52" s="591"/>
    </row>
    <row r="53" spans="1:36" x14ac:dyDescent="0.25">
      <c r="A53" s="375">
        <v>61</v>
      </c>
      <c r="B53" s="904"/>
      <c r="C53" s="580"/>
      <c r="D53" s="580"/>
      <c r="E53" s="909"/>
      <c r="F53" s="581"/>
      <c r="G53" s="604"/>
      <c r="H53" s="580"/>
      <c r="I53" s="578"/>
      <c r="J53" s="581"/>
      <c r="K53" s="604"/>
      <c r="L53" s="604"/>
      <c r="M53" s="604"/>
      <c r="N53" s="578"/>
      <c r="O53" s="578"/>
      <c r="P53" s="1233"/>
      <c r="Q53" s="578"/>
      <c r="R53" s="605"/>
      <c r="S53" s="606"/>
      <c r="T53" s="604"/>
      <c r="U53" s="431"/>
      <c r="V53" s="600"/>
      <c r="W53" s="591"/>
      <c r="X53" s="591"/>
      <c r="Y53" s="591"/>
      <c r="Z53" s="591"/>
      <c r="AA53" s="591"/>
      <c r="AB53" s="591"/>
      <c r="AC53" s="591"/>
      <c r="AD53" s="591"/>
      <c r="AE53" s="591"/>
      <c r="AF53" s="591"/>
      <c r="AG53" s="591"/>
      <c r="AH53" s="591"/>
      <c r="AI53" s="591"/>
      <c r="AJ53" s="591"/>
    </row>
    <row r="54" spans="1:36" x14ac:dyDescent="0.25">
      <c r="A54" s="375"/>
      <c r="B54" s="904"/>
      <c r="C54" s="580"/>
      <c r="D54" s="580"/>
      <c r="E54" s="909"/>
      <c r="F54" s="581"/>
      <c r="G54" s="962"/>
      <c r="H54" s="580"/>
      <c r="I54" s="578"/>
      <c r="J54" s="581"/>
      <c r="K54" s="962"/>
      <c r="L54" s="604"/>
      <c r="M54" s="604"/>
      <c r="N54" s="962"/>
      <c r="O54" s="962"/>
      <c r="P54" s="1233"/>
      <c r="Q54" s="962"/>
      <c r="R54" s="605"/>
      <c r="S54" s="606"/>
      <c r="T54" s="907"/>
      <c r="U54" s="431"/>
      <c r="V54" s="646"/>
      <c r="W54" s="591"/>
      <c r="X54" s="591"/>
      <c r="Y54" s="591"/>
      <c r="Z54" s="591"/>
      <c r="AA54" s="591"/>
      <c r="AB54" s="591"/>
      <c r="AC54" s="591"/>
      <c r="AD54" s="591"/>
      <c r="AE54" s="591"/>
      <c r="AF54" s="591"/>
      <c r="AG54" s="591"/>
      <c r="AH54" s="591"/>
      <c r="AI54" s="591"/>
      <c r="AJ54" s="591"/>
    </row>
    <row r="55" spans="1:36" x14ac:dyDescent="0.25">
      <c r="A55" s="375">
        <v>63</v>
      </c>
      <c r="B55" s="567"/>
      <c r="C55" s="527"/>
      <c r="D55" s="528"/>
      <c r="E55" s="894"/>
      <c r="F55" s="399"/>
      <c r="G55" s="431"/>
      <c r="H55" s="528"/>
      <c r="I55" s="451"/>
      <c r="J55" s="399"/>
      <c r="K55" s="431"/>
      <c r="L55" s="431"/>
      <c r="M55" s="431"/>
      <c r="N55" s="399"/>
      <c r="O55" s="399"/>
      <c r="P55" s="1233"/>
      <c r="Q55" s="399"/>
      <c r="R55" s="525"/>
      <c r="S55" s="399"/>
      <c r="T55" s="400"/>
      <c r="U55" s="399"/>
      <c r="V55" s="600"/>
      <c r="W55" s="591"/>
      <c r="X55" s="591"/>
      <c r="Y55" s="591"/>
      <c r="Z55" s="591"/>
      <c r="AA55" s="591"/>
      <c r="AB55" s="591"/>
      <c r="AC55" s="591"/>
      <c r="AD55" s="591"/>
      <c r="AE55" s="591"/>
      <c r="AF55" s="591"/>
      <c r="AG55" s="591"/>
      <c r="AH55" s="591"/>
      <c r="AI55" s="591"/>
      <c r="AJ55" s="591"/>
    </row>
    <row r="56" spans="1:36" ht="15.6" x14ac:dyDescent="0.3">
      <c r="A56" s="375">
        <v>64</v>
      </c>
      <c r="B56" s="899" t="s">
        <v>793</v>
      </c>
      <c r="C56" s="527"/>
      <c r="D56" s="528"/>
      <c r="E56" s="894"/>
      <c r="F56" s="399"/>
      <c r="G56" s="431"/>
      <c r="H56" s="528"/>
      <c r="I56" s="451"/>
      <c r="J56" s="399"/>
      <c r="K56" s="431"/>
      <c r="L56" s="431"/>
      <c r="M56" s="604"/>
      <c r="N56" s="399"/>
      <c r="O56" s="399"/>
      <c r="P56" s="1233"/>
      <c r="Q56" s="399"/>
      <c r="R56" s="525"/>
      <c r="S56" s="399"/>
      <c r="T56" s="400"/>
      <c r="U56" s="399"/>
      <c r="V56" s="600"/>
      <c r="W56" s="591"/>
      <c r="X56" s="591"/>
      <c r="Y56" s="591"/>
      <c r="Z56" s="591"/>
      <c r="AA56" s="591"/>
      <c r="AB56" s="591"/>
      <c r="AC56" s="591"/>
      <c r="AD56" s="591"/>
      <c r="AE56" s="591"/>
      <c r="AF56" s="591"/>
      <c r="AG56" s="591"/>
      <c r="AH56" s="591"/>
      <c r="AI56" s="591"/>
      <c r="AJ56" s="591"/>
    </row>
    <row r="57" spans="1:36" x14ac:dyDescent="0.25">
      <c r="A57" s="375">
        <v>65</v>
      </c>
      <c r="B57" s="905" t="s">
        <v>1366</v>
      </c>
      <c r="C57" s="527"/>
      <c r="D57" s="528"/>
      <c r="E57" s="894"/>
      <c r="F57" s="906">
        <f>F17+F23+F30+F36+F52+F53+F42</f>
        <v>34604889.521612525</v>
      </c>
      <c r="G57" s="896"/>
      <c r="H57" s="528"/>
      <c r="I57" s="451"/>
      <c r="J57" s="906">
        <f>J17+J23+J30+J36+J52+J53+J42</f>
        <v>37880067.772330105</v>
      </c>
      <c r="K57" s="431"/>
      <c r="L57" s="431"/>
      <c r="M57" s="991">
        <f>+J57+F57</f>
        <v>72484957.29394263</v>
      </c>
      <c r="N57" s="399"/>
      <c r="O57" s="399"/>
      <c r="P57" s="1233"/>
      <c r="Q57" s="399"/>
      <c r="R57" s="525"/>
      <c r="S57" s="399"/>
      <c r="T57" s="400"/>
      <c r="U57" s="399"/>
      <c r="V57" s="600"/>
      <c r="W57" s="591"/>
      <c r="X57" s="591"/>
      <c r="Y57" s="591"/>
      <c r="Z57" s="591"/>
      <c r="AA57" s="591"/>
      <c r="AB57" s="591"/>
      <c r="AC57" s="591"/>
      <c r="AD57" s="591"/>
      <c r="AE57" s="591"/>
      <c r="AF57" s="591"/>
      <c r="AG57" s="591"/>
      <c r="AH57" s="591"/>
      <c r="AI57" s="591"/>
      <c r="AJ57" s="591"/>
    </row>
    <row r="58" spans="1:36" x14ac:dyDescent="0.25">
      <c r="A58" s="375">
        <v>66</v>
      </c>
      <c r="B58" s="905" t="s">
        <v>794</v>
      </c>
      <c r="C58" s="750"/>
      <c r="D58" s="528"/>
      <c r="E58" s="894"/>
      <c r="F58" s="489"/>
      <c r="G58" s="907">
        <f>G17+G23+G30+G36+G51+G53+G42+G54</f>
        <v>8126985.9100002656</v>
      </c>
      <c r="H58" s="528"/>
      <c r="I58" s="451"/>
      <c r="J58" s="399"/>
      <c r="K58" s="907">
        <f>K17+K23+K30+K36+K51+K53+K42</f>
        <v>8940656.5900002662</v>
      </c>
      <c r="L58" s="400"/>
      <c r="M58" s="431"/>
      <c r="N58" s="907">
        <f>N17+N23+N30+N36+N51+N53+N42+N54</f>
        <v>17067642.500000533</v>
      </c>
      <c r="O58" s="907"/>
      <c r="P58" s="1233"/>
      <c r="Q58" s="907">
        <f>+Q17+Q23+Q30+Q36+Q42+Q51</f>
        <v>17057292.79798143</v>
      </c>
      <c r="R58" s="400"/>
      <c r="S58" s="452"/>
      <c r="T58" s="907">
        <f>T17+T23+T30+T36+T51+T53+T42+T54</f>
        <v>19477722.646014996</v>
      </c>
      <c r="U58" s="429"/>
      <c r="V58" s="646">
        <f>+T58/Q58-1</f>
        <v>0.14190000000000014</v>
      </c>
      <c r="W58" s="591"/>
      <c r="X58" s="591"/>
      <c r="Y58" s="591"/>
      <c r="Z58" s="591"/>
      <c r="AA58" s="591"/>
      <c r="AB58" s="591"/>
      <c r="AC58" s="591"/>
      <c r="AD58" s="591"/>
      <c r="AE58" s="591"/>
      <c r="AF58" s="591"/>
      <c r="AG58" s="591"/>
      <c r="AH58" s="591"/>
      <c r="AI58" s="591"/>
      <c r="AJ58" s="591"/>
    </row>
    <row r="59" spans="1:36" x14ac:dyDescent="0.25">
      <c r="A59" s="375">
        <v>67</v>
      </c>
      <c r="B59" s="749"/>
      <c r="C59" s="750"/>
      <c r="D59" s="528"/>
      <c r="E59" s="894"/>
      <c r="F59" s="399"/>
      <c r="G59" s="400"/>
      <c r="H59" s="528"/>
      <c r="I59" s="528"/>
      <c r="J59" s="528"/>
      <c r="K59" s="400"/>
      <c r="L59" s="400"/>
      <c r="M59" s="400"/>
      <c r="N59" s="751"/>
      <c r="O59" s="751"/>
      <c r="P59" s="750"/>
      <c r="Q59" s="751"/>
      <c r="R59" s="490"/>
      <c r="S59" s="490"/>
      <c r="T59" s="996"/>
      <c r="U59" s="490"/>
      <c r="V59" s="490"/>
      <c r="W59" s="591"/>
      <c r="X59" s="591"/>
      <c r="Y59" s="591"/>
      <c r="Z59" s="591"/>
      <c r="AA59" s="591"/>
      <c r="AB59" s="591"/>
      <c r="AC59" s="591"/>
      <c r="AD59" s="591"/>
      <c r="AE59" s="591"/>
      <c r="AF59" s="591"/>
      <c r="AG59" s="591"/>
      <c r="AH59" s="591"/>
      <c r="AI59" s="591"/>
      <c r="AJ59" s="591"/>
    </row>
    <row r="60" spans="1:36" ht="45" x14ac:dyDescent="0.25">
      <c r="A60" s="375">
        <v>68</v>
      </c>
      <c r="B60" s="1115" t="s">
        <v>1485</v>
      </c>
      <c r="C60" s="750"/>
      <c r="D60" s="528"/>
      <c r="E60" s="894"/>
      <c r="F60" s="401"/>
      <c r="G60" s="400"/>
      <c r="H60" s="528"/>
      <c r="I60" s="400"/>
      <c r="J60" s="400"/>
      <c r="K60" s="400"/>
      <c r="L60" s="400"/>
      <c r="M60" s="400"/>
      <c r="N60" s="995"/>
      <c r="O60" s="995"/>
      <c r="P60" s="1232"/>
      <c r="Q60" s="995">
        <f>+Q58-N58</f>
        <v>-10349.702019102871</v>
      </c>
      <c r="R60" s="490"/>
      <c r="S60" s="490"/>
      <c r="T60" s="907">
        <f>+Q60*(1+$R$5)</f>
        <v>-11818.324735613567</v>
      </c>
      <c r="U60" s="490"/>
      <c r="V60" s="646">
        <f>+T60/Q60-1</f>
        <v>0.14189999999999992</v>
      </c>
      <c r="W60" s="591"/>
      <c r="X60" s="591"/>
      <c r="Y60" s="591"/>
      <c r="Z60" s="591"/>
      <c r="AA60" s="591"/>
      <c r="AB60" s="591"/>
      <c r="AC60" s="591"/>
      <c r="AD60" s="591"/>
      <c r="AE60" s="591"/>
      <c r="AF60" s="591"/>
      <c r="AG60" s="591"/>
      <c r="AH60" s="591"/>
      <c r="AI60" s="591"/>
      <c r="AJ60" s="591"/>
    </row>
    <row r="61" spans="1:36" x14ac:dyDescent="0.25">
      <c r="A61" s="375">
        <v>69</v>
      </c>
      <c r="B61" s="1115" t="s">
        <v>1368</v>
      </c>
      <c r="C61" s="750"/>
      <c r="D61" s="528"/>
      <c r="E61" s="894"/>
      <c r="F61" s="401"/>
      <c r="G61" s="400"/>
      <c r="H61" s="528"/>
      <c r="I61" s="400"/>
      <c r="J61" s="400"/>
      <c r="K61" s="400"/>
      <c r="L61" s="400"/>
      <c r="M61" s="400"/>
      <c r="N61" s="751"/>
      <c r="O61" s="751"/>
      <c r="P61" s="1232"/>
      <c r="Q61" s="751"/>
      <c r="R61" s="907">
        <v>-235114</v>
      </c>
      <c r="S61" s="490"/>
      <c r="T61" s="907">
        <f>+R61*(1+$R$5)</f>
        <v>-268476.67660000001</v>
      </c>
      <c r="U61" s="490"/>
      <c r="V61" s="646">
        <f>+T61/R61-1</f>
        <v>0.14190000000000014</v>
      </c>
      <c r="W61" s="591"/>
      <c r="X61" s="591"/>
      <c r="Y61" s="591"/>
      <c r="Z61" s="591"/>
      <c r="AA61" s="591"/>
      <c r="AB61" s="591"/>
      <c r="AC61" s="591"/>
      <c r="AD61" s="591"/>
      <c r="AE61" s="591"/>
      <c r="AF61" s="591"/>
      <c r="AG61" s="591"/>
      <c r="AH61" s="591"/>
      <c r="AI61" s="591"/>
      <c r="AJ61" s="591"/>
    </row>
    <row r="62" spans="1:36" x14ac:dyDescent="0.25">
      <c r="A62" s="375"/>
      <c r="B62" s="994"/>
      <c r="C62" s="750"/>
      <c r="D62" s="528"/>
      <c r="E62" s="894"/>
      <c r="F62" s="401"/>
      <c r="G62" s="400"/>
      <c r="H62" s="528"/>
      <c r="I62" s="400"/>
      <c r="J62" s="400"/>
      <c r="K62" s="400"/>
      <c r="L62" s="400"/>
      <c r="M62" s="400"/>
      <c r="N62" s="751"/>
      <c r="O62" s="751"/>
      <c r="P62" s="1232"/>
      <c r="Q62" s="751"/>
      <c r="R62" s="490"/>
      <c r="S62" s="490"/>
      <c r="T62" s="989">
        <f>SUM(T58:T61)</f>
        <v>19197427.644679379</v>
      </c>
      <c r="U62" s="490"/>
      <c r="V62" s="646"/>
      <c r="W62" s="591"/>
      <c r="X62" s="591"/>
      <c r="Y62" s="591"/>
      <c r="Z62" s="591"/>
      <c r="AA62" s="591"/>
      <c r="AB62" s="591"/>
      <c r="AC62" s="591"/>
      <c r="AD62" s="591"/>
      <c r="AE62" s="591"/>
      <c r="AF62" s="591"/>
      <c r="AG62" s="591"/>
      <c r="AH62" s="591"/>
      <c r="AI62" s="591"/>
      <c r="AJ62" s="591"/>
    </row>
    <row r="63" spans="1:36" x14ac:dyDescent="0.25">
      <c r="A63" s="375"/>
      <c r="B63" s="994"/>
      <c r="C63" s="750"/>
      <c r="D63" s="528"/>
      <c r="E63" s="894"/>
      <c r="F63" s="401"/>
      <c r="G63" s="400"/>
      <c r="H63" s="528"/>
      <c r="I63" s="400"/>
      <c r="J63" s="400"/>
      <c r="K63" s="400"/>
      <c r="L63" s="400"/>
      <c r="M63" s="400"/>
      <c r="N63" s="751"/>
      <c r="O63" s="751"/>
      <c r="P63" s="1232"/>
      <c r="Q63" s="751"/>
      <c r="R63" s="490"/>
      <c r="S63" s="490"/>
      <c r="T63" s="599"/>
      <c r="U63" s="490"/>
      <c r="V63" s="646"/>
      <c r="W63" s="591"/>
      <c r="X63" s="591"/>
      <c r="Y63" s="591"/>
      <c r="Z63" s="591"/>
      <c r="AA63" s="591"/>
      <c r="AB63" s="591"/>
      <c r="AC63" s="591"/>
      <c r="AD63" s="591"/>
      <c r="AE63" s="591"/>
      <c r="AF63" s="591"/>
      <c r="AG63" s="591"/>
      <c r="AH63" s="591"/>
      <c r="AI63" s="591"/>
      <c r="AJ63" s="591"/>
    </row>
    <row r="64" spans="1:36" x14ac:dyDescent="0.25">
      <c r="A64" s="375"/>
      <c r="B64" s="429"/>
      <c r="C64" s="403"/>
      <c r="D64" s="403"/>
      <c r="E64" s="377"/>
      <c r="F64" s="642"/>
      <c r="G64" s="529"/>
      <c r="H64" s="528"/>
      <c r="I64" s="529"/>
      <c r="J64" s="742"/>
      <c r="K64" s="529"/>
      <c r="L64" s="529"/>
      <c r="M64" s="991"/>
      <c r="N64" s="751"/>
      <c r="O64" s="751"/>
      <c r="P64" s="1235"/>
      <c r="Q64" s="751"/>
      <c r="R64" s="490"/>
      <c r="S64" s="490"/>
      <c r="T64" s="752"/>
      <c r="U64" s="490"/>
      <c r="V64" s="490"/>
      <c r="W64" s="591"/>
      <c r="X64" s="591"/>
      <c r="Y64" s="591"/>
      <c r="Z64" s="591"/>
      <c r="AA64" s="591"/>
      <c r="AB64" s="591"/>
      <c r="AC64" s="591"/>
      <c r="AD64" s="591"/>
      <c r="AE64" s="591"/>
      <c r="AF64" s="591"/>
      <c r="AG64" s="591"/>
      <c r="AH64" s="591"/>
      <c r="AI64" s="591"/>
      <c r="AJ64" s="591"/>
    </row>
    <row r="65" spans="1:36" x14ac:dyDescent="0.25">
      <c r="A65" s="377"/>
      <c r="B65" s="429"/>
      <c r="C65" s="403"/>
      <c r="D65" s="403"/>
      <c r="E65" s="377"/>
      <c r="F65" s="642"/>
      <c r="G65" s="529"/>
      <c r="H65" s="528"/>
      <c r="I65" s="529"/>
      <c r="J65" s="642"/>
      <c r="K65" s="529"/>
      <c r="L65" s="529"/>
      <c r="M65" s="642"/>
      <c r="N65" s="912"/>
      <c r="O65" s="912"/>
      <c r="P65" s="1235"/>
      <c r="Q65" s="912"/>
      <c r="R65" s="490"/>
      <c r="S65" s="490"/>
      <c r="T65" s="753"/>
      <c r="U65" s="490"/>
      <c r="V65" s="490"/>
      <c r="W65" s="591"/>
      <c r="X65" s="591"/>
      <c r="Y65" s="591"/>
      <c r="Z65" s="591"/>
      <c r="AA65" s="591"/>
      <c r="AB65" s="591"/>
      <c r="AC65" s="591"/>
      <c r="AD65" s="591"/>
      <c r="AE65" s="591"/>
      <c r="AF65" s="591"/>
      <c r="AG65" s="591"/>
      <c r="AH65" s="591"/>
      <c r="AI65" s="591"/>
      <c r="AJ65" s="591"/>
    </row>
    <row r="66" spans="1:36" x14ac:dyDescent="0.25">
      <c r="A66" s="377"/>
      <c r="B66" s="429"/>
      <c r="C66" s="403"/>
      <c r="D66" s="429"/>
      <c r="E66" s="376"/>
      <c r="F66" s="429"/>
      <c r="G66" s="529"/>
      <c r="H66" s="528"/>
      <c r="I66" s="529"/>
      <c r="J66" s="529"/>
      <c r="K66" s="529"/>
      <c r="L66" s="529"/>
      <c r="M66" s="529"/>
      <c r="N66" s="429"/>
      <c r="O66" s="429"/>
      <c r="P66" s="1235"/>
      <c r="Q66" s="429"/>
      <c r="R66" s="582"/>
      <c r="S66" s="490"/>
      <c r="T66" s="504"/>
      <c r="U66" s="490"/>
      <c r="V66" s="490"/>
      <c r="W66" s="591"/>
      <c r="X66" s="591"/>
      <c r="Y66" s="591"/>
      <c r="Z66" s="591"/>
      <c r="AA66" s="591"/>
      <c r="AB66" s="591"/>
      <c r="AC66" s="591"/>
      <c r="AD66" s="591"/>
      <c r="AE66" s="591"/>
      <c r="AF66" s="591"/>
      <c r="AG66" s="591"/>
      <c r="AH66" s="591"/>
      <c r="AI66" s="591"/>
      <c r="AJ66" s="591"/>
    </row>
    <row r="67" spans="1:36" x14ac:dyDescent="0.25">
      <c r="A67" s="377"/>
      <c r="B67" s="429"/>
      <c r="C67" s="403"/>
      <c r="D67" s="429"/>
      <c r="E67" s="376"/>
      <c r="F67" s="429"/>
      <c r="G67" s="529"/>
      <c r="H67" s="529"/>
      <c r="I67" s="529"/>
      <c r="J67" s="529"/>
      <c r="K67" s="529"/>
      <c r="L67" s="529"/>
      <c r="M67" s="529"/>
      <c r="N67" s="429"/>
      <c r="O67" s="429"/>
      <c r="P67" s="1235"/>
      <c r="Q67" s="429"/>
      <c r="R67" s="583"/>
      <c r="S67" s="490"/>
      <c r="T67" s="504"/>
      <c r="U67" s="490"/>
      <c r="V67" s="490"/>
      <c r="W67" s="591"/>
      <c r="X67" s="591"/>
      <c r="Y67" s="591"/>
      <c r="Z67" s="591"/>
      <c r="AA67" s="591"/>
      <c r="AB67" s="591"/>
      <c r="AC67" s="591"/>
      <c r="AD67" s="591"/>
      <c r="AE67" s="591"/>
      <c r="AF67" s="591"/>
      <c r="AG67" s="591"/>
      <c r="AH67" s="591"/>
      <c r="AI67" s="591"/>
      <c r="AJ67" s="591"/>
    </row>
    <row r="68" spans="1:36" x14ac:dyDescent="0.25">
      <c r="A68" s="377"/>
      <c r="B68" s="429"/>
      <c r="C68" s="403"/>
      <c r="D68" s="429"/>
      <c r="E68" s="376"/>
      <c r="F68" s="429"/>
      <c r="G68" s="529"/>
      <c r="H68" s="529"/>
      <c r="I68" s="529"/>
      <c r="J68" s="529"/>
      <c r="K68" s="529"/>
      <c r="L68" s="529"/>
      <c r="M68" s="529"/>
      <c r="N68" s="429"/>
      <c r="O68" s="429"/>
      <c r="P68" s="1235"/>
      <c r="Q68" s="429"/>
      <c r="R68" s="582"/>
      <c r="S68" s="490"/>
      <c r="T68" s="504"/>
      <c r="U68" s="490"/>
      <c r="V68" s="490"/>
      <c r="W68" s="591"/>
      <c r="X68" s="591"/>
      <c r="Y68" s="591"/>
      <c r="Z68" s="591"/>
      <c r="AA68" s="591"/>
      <c r="AB68" s="591"/>
      <c r="AC68" s="591"/>
      <c r="AD68" s="591"/>
      <c r="AE68" s="591"/>
      <c r="AF68" s="591"/>
      <c r="AG68" s="591"/>
      <c r="AH68" s="591"/>
      <c r="AI68" s="591"/>
      <c r="AJ68" s="591"/>
    </row>
    <row r="69" spans="1:36" x14ac:dyDescent="0.25">
      <c r="A69" s="377"/>
      <c r="B69" s="429"/>
      <c r="C69" s="403"/>
      <c r="D69" s="429"/>
      <c r="E69" s="376"/>
      <c r="F69" s="429"/>
      <c r="G69" s="529"/>
      <c r="H69" s="529"/>
      <c r="I69" s="529"/>
      <c r="J69" s="529"/>
      <c r="K69" s="529"/>
      <c r="L69" s="529"/>
      <c r="M69" s="529"/>
      <c r="N69" s="429"/>
      <c r="O69" s="429"/>
      <c r="P69" s="1235"/>
      <c r="Q69" s="429"/>
      <c r="R69" s="582"/>
      <c r="S69" s="490"/>
      <c r="T69" s="504"/>
      <c r="U69" s="490"/>
      <c r="V69" s="490"/>
      <c r="W69" s="591"/>
      <c r="X69" s="591"/>
      <c r="Y69" s="591"/>
      <c r="Z69" s="591"/>
      <c r="AA69" s="591"/>
      <c r="AB69" s="591"/>
      <c r="AC69" s="591"/>
      <c r="AD69" s="591"/>
      <c r="AE69" s="591"/>
      <c r="AF69" s="591"/>
      <c r="AG69" s="591"/>
      <c r="AH69" s="591"/>
      <c r="AI69" s="591"/>
      <c r="AJ69" s="591"/>
    </row>
    <row r="70" spans="1:36" x14ac:dyDescent="0.25">
      <c r="A70" s="377"/>
      <c r="B70" s="429"/>
      <c r="C70" s="403"/>
      <c r="D70" s="429"/>
      <c r="E70" s="376"/>
      <c r="F70" s="429"/>
      <c r="G70" s="529"/>
      <c r="H70" s="529"/>
      <c r="I70" s="529"/>
      <c r="J70" s="529"/>
      <c r="K70" s="529"/>
      <c r="L70" s="529"/>
      <c r="M70" s="529"/>
      <c r="N70" s="429"/>
      <c r="O70" s="429"/>
      <c r="P70" s="1235"/>
      <c r="Q70" s="429"/>
      <c r="R70" s="582"/>
      <c r="S70" s="490"/>
      <c r="T70" s="504"/>
      <c r="U70" s="490"/>
      <c r="V70" s="490"/>
      <c r="W70" s="591"/>
      <c r="X70" s="591"/>
      <c r="Y70" s="591"/>
      <c r="Z70" s="591"/>
      <c r="AA70" s="591"/>
      <c r="AB70" s="591"/>
      <c r="AC70" s="591"/>
      <c r="AD70" s="591"/>
      <c r="AE70" s="591"/>
      <c r="AF70" s="591"/>
      <c r="AG70" s="591"/>
      <c r="AH70" s="591"/>
      <c r="AI70" s="591"/>
      <c r="AJ70" s="591"/>
    </row>
    <row r="71" spans="1:36" x14ac:dyDescent="0.25">
      <c r="A71" s="377"/>
      <c r="B71" s="429"/>
      <c r="C71" s="403"/>
      <c r="D71" s="429"/>
      <c r="E71" s="376"/>
      <c r="F71" s="429"/>
      <c r="G71" s="529"/>
      <c r="H71" s="529"/>
      <c r="I71" s="529"/>
      <c r="J71" s="529"/>
      <c r="K71" s="529"/>
      <c r="L71" s="529"/>
      <c r="M71" s="529"/>
      <c r="N71" s="429"/>
      <c r="O71" s="429"/>
      <c r="P71" s="1235"/>
      <c r="Q71" s="429"/>
      <c r="R71" s="490"/>
      <c r="S71" s="490"/>
      <c r="T71" s="504"/>
      <c r="U71" s="490"/>
      <c r="V71" s="490"/>
      <c r="W71" s="591"/>
      <c r="X71" s="591"/>
      <c r="Y71" s="591"/>
      <c r="Z71" s="591"/>
      <c r="AA71" s="591"/>
      <c r="AB71" s="591"/>
      <c r="AC71" s="591"/>
      <c r="AD71" s="591"/>
      <c r="AE71" s="591"/>
      <c r="AF71" s="591"/>
      <c r="AG71" s="591"/>
      <c r="AH71" s="591"/>
      <c r="AI71" s="591"/>
      <c r="AJ71" s="591"/>
    </row>
    <row r="72" spans="1:36" x14ac:dyDescent="0.25">
      <c r="A72" s="377"/>
      <c r="B72" s="429"/>
      <c r="C72" s="403"/>
      <c r="D72" s="429"/>
      <c r="E72" s="376"/>
      <c r="F72" s="492"/>
      <c r="G72" s="584"/>
      <c r="H72" s="584"/>
      <c r="I72" s="584"/>
      <c r="J72" s="584"/>
      <c r="K72" s="584"/>
      <c r="L72" s="584"/>
      <c r="M72" s="584"/>
      <c r="N72" s="429"/>
      <c r="O72" s="429"/>
      <c r="P72" s="584"/>
      <c r="Q72" s="429"/>
      <c r="R72" s="582"/>
      <c r="S72" s="582"/>
      <c r="T72" s="582"/>
      <c r="U72" s="490"/>
      <c r="V72" s="490"/>
    </row>
    <row r="73" spans="1:36" x14ac:dyDescent="0.25">
      <c r="A73" s="377"/>
      <c r="B73" s="429"/>
      <c r="C73" s="403"/>
      <c r="D73" s="429"/>
      <c r="E73" s="376"/>
      <c r="F73" s="429"/>
      <c r="G73" s="452"/>
      <c r="H73" s="452"/>
      <c r="I73" s="452"/>
      <c r="J73" s="452"/>
      <c r="K73" s="452"/>
      <c r="L73" s="452"/>
      <c r="M73" s="452"/>
      <c r="N73" s="491"/>
      <c r="O73" s="491"/>
      <c r="P73" s="1232"/>
      <c r="Q73" s="491"/>
      <c r="R73" s="577"/>
      <c r="S73" s="490"/>
      <c r="T73" s="577"/>
      <c r="U73" s="490"/>
      <c r="V73" s="490"/>
    </row>
    <row r="74" spans="1:36" x14ac:dyDescent="0.25">
      <c r="A74" s="377"/>
      <c r="B74" s="429"/>
      <c r="C74" s="403"/>
      <c r="D74" s="403"/>
      <c r="E74" s="377"/>
      <c r="F74" s="403"/>
      <c r="G74" s="454"/>
      <c r="H74" s="454"/>
      <c r="I74" s="454"/>
      <c r="J74" s="454"/>
      <c r="K74" s="454"/>
      <c r="L74" s="454"/>
      <c r="M74" s="454"/>
      <c r="N74" s="429"/>
      <c r="O74" s="429"/>
      <c r="P74" s="454"/>
      <c r="Q74" s="429"/>
    </row>
    <row r="75" spans="1:36" x14ac:dyDescent="0.25">
      <c r="A75" s="377"/>
      <c r="B75" s="429"/>
      <c r="C75" s="403"/>
      <c r="D75" s="403"/>
      <c r="E75" s="377"/>
      <c r="F75" s="403"/>
      <c r="G75" s="403"/>
      <c r="H75" s="403"/>
      <c r="I75" s="403"/>
      <c r="J75" s="403"/>
      <c r="K75" s="403"/>
      <c r="L75" s="403"/>
      <c r="M75" s="403"/>
      <c r="N75" s="429"/>
      <c r="O75" s="429"/>
      <c r="P75" s="403"/>
      <c r="Q75" s="429"/>
    </row>
    <row r="76" spans="1:36" x14ac:dyDescent="0.25">
      <c r="B76" s="453"/>
      <c r="C76" s="453"/>
      <c r="D76" s="453"/>
    </row>
    <row r="77" spans="1:36" x14ac:dyDescent="0.25">
      <c r="B77" s="453"/>
      <c r="C77" s="453"/>
      <c r="D77" s="453"/>
    </row>
    <row r="78" spans="1:36" x14ac:dyDescent="0.25">
      <c r="B78" s="453"/>
      <c r="C78" s="453"/>
      <c r="D78" s="453"/>
    </row>
    <row r="79" spans="1:36" x14ac:dyDescent="0.25">
      <c r="B79" s="453"/>
      <c r="C79" s="453"/>
      <c r="D79" s="453"/>
    </row>
    <row r="80" spans="1:36" x14ac:dyDescent="0.25">
      <c r="B80" s="453"/>
      <c r="C80" s="453"/>
      <c r="D80" s="453"/>
    </row>
    <row r="81" spans="2:4" x14ac:dyDescent="0.25">
      <c r="B81" s="453"/>
      <c r="C81" s="453"/>
      <c r="D81" s="453"/>
    </row>
    <row r="82" spans="2:4" x14ac:dyDescent="0.25">
      <c r="B82" s="453"/>
      <c r="C82" s="453"/>
      <c r="D82" s="453"/>
    </row>
    <row r="83" spans="2:4" x14ac:dyDescent="0.25">
      <c r="B83" s="453"/>
      <c r="C83" s="453"/>
      <c r="D83" s="453"/>
    </row>
    <row r="84" spans="2:4" x14ac:dyDescent="0.25">
      <c r="B84" s="453"/>
      <c r="C84" s="453"/>
      <c r="D84" s="453"/>
    </row>
  </sheetData>
  <mergeCells count="2">
    <mergeCell ref="T2:U2"/>
    <mergeCell ref="Q8:Q10"/>
  </mergeCells>
  <printOptions gridLines="1"/>
  <pageMargins left="0.7" right="0.7" top="0.75" bottom="0.75" header="0.3" footer="0.3"/>
  <pageSetup scale="86" orientation="portrait" r:id="rId1"/>
  <headerFooter>
    <oddHeader>&amp;RS17</oddHeader>
    <oddFooter>&amp;L&amp;Z&amp;F&amp;R&amp;T&amp;D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J617"/>
  <sheetViews>
    <sheetView showGridLines="0" workbookViewId="0">
      <pane ySplit="5" topLeftCell="A6" activePane="bottomLeft" state="frozen"/>
      <selection pane="bottomLeft" activeCell="A451" sqref="A451:XFD453"/>
    </sheetView>
  </sheetViews>
  <sheetFormatPr defaultColWidth="8" defaultRowHeight="15" customHeight="1" x14ac:dyDescent="0.25"/>
  <cols>
    <col min="1" max="1" width="7.6328125" style="36" customWidth="1"/>
    <col min="2" max="2" width="34.36328125" style="36" customWidth="1"/>
    <col min="3" max="3" width="12.54296875" style="207" bestFit="1" customWidth="1"/>
    <col min="4" max="4" width="13.81640625" style="686" customWidth="1"/>
    <col min="5" max="5" width="11" style="36" bestFit="1" customWidth="1"/>
    <col min="6" max="6" width="11.6328125" style="36" hidden="1" customWidth="1"/>
    <col min="7" max="8" width="8" style="36" hidden="1" customWidth="1"/>
    <col min="9" max="9" width="10.6328125" style="36" bestFit="1" customWidth="1"/>
    <col min="10" max="10" width="9.08984375" style="36" bestFit="1" customWidth="1"/>
    <col min="11" max="16384" width="8" style="36"/>
  </cols>
  <sheetData>
    <row r="1" spans="1:9" ht="15" customHeight="1" x14ac:dyDescent="0.25">
      <c r="A1" s="64" t="s">
        <v>748</v>
      </c>
    </row>
    <row r="2" spans="1:9" ht="15" customHeight="1" x14ac:dyDescent="0.25">
      <c r="A2" s="64" t="s">
        <v>351</v>
      </c>
      <c r="B2" s="68"/>
      <c r="C2" s="252"/>
    </row>
    <row r="3" spans="1:9" ht="15" customHeight="1" x14ac:dyDescent="0.25">
      <c r="A3" s="62" t="s">
        <v>350</v>
      </c>
      <c r="B3" s="62"/>
      <c r="C3" s="252"/>
    </row>
    <row r="4" spans="1:9" ht="15" customHeight="1" x14ac:dyDescent="0.25">
      <c r="A4" s="101" t="s">
        <v>236</v>
      </c>
      <c r="B4" s="102"/>
      <c r="C4" s="765">
        <v>44742</v>
      </c>
      <c r="D4" s="687"/>
      <c r="E4" s="409"/>
    </row>
    <row r="5" spans="1:9" ht="15" customHeight="1" x14ac:dyDescent="0.25">
      <c r="A5" s="98" t="s">
        <v>42</v>
      </c>
      <c r="B5" s="98" t="s">
        <v>43</v>
      </c>
      <c r="C5" s="766" t="s">
        <v>309</v>
      </c>
      <c r="D5" s="686" t="s">
        <v>77</v>
      </c>
      <c r="E5" s="406" t="s">
        <v>214</v>
      </c>
      <c r="F5" s="100"/>
    </row>
    <row r="6" spans="1:9" ht="15" customHeight="1" x14ac:dyDescent="0.25">
      <c r="A6" s="98">
        <v>440.01</v>
      </c>
      <c r="B6" s="68" t="s">
        <v>109</v>
      </c>
      <c r="C6" s="258"/>
      <c r="D6" s="688"/>
      <c r="E6" s="207"/>
      <c r="F6" s="259"/>
      <c r="G6" s="207"/>
      <c r="H6" s="207"/>
      <c r="I6" s="207"/>
    </row>
    <row r="7" spans="1:9" ht="15" customHeight="1" x14ac:dyDescent="0.3">
      <c r="A7" s="98">
        <v>440.01</v>
      </c>
      <c r="B7" s="265" t="s">
        <v>362</v>
      </c>
      <c r="C7" s="684">
        <v>-15258985.970000001</v>
      </c>
      <c r="D7" s="688"/>
      <c r="E7" s="207"/>
      <c r="F7" s="260"/>
      <c r="G7" s="207"/>
      <c r="H7" s="207"/>
      <c r="I7" s="207"/>
    </row>
    <row r="8" spans="1:9" ht="15" customHeight="1" x14ac:dyDescent="0.3">
      <c r="A8" s="98">
        <v>440.02</v>
      </c>
      <c r="B8" s="68" t="s">
        <v>237</v>
      </c>
      <c r="C8" s="684"/>
      <c r="D8" s="688"/>
      <c r="E8" s="207"/>
      <c r="F8" s="259"/>
      <c r="G8" s="207"/>
      <c r="H8" s="207"/>
      <c r="I8" s="207"/>
    </row>
    <row r="9" spans="1:9" ht="15" customHeight="1" x14ac:dyDescent="0.3">
      <c r="A9" s="98">
        <v>442.01</v>
      </c>
      <c r="B9" s="68" t="s">
        <v>238</v>
      </c>
      <c r="C9" s="684">
        <v>-1207233.93</v>
      </c>
      <c r="D9" s="688"/>
      <c r="E9" s="207"/>
      <c r="F9" s="259"/>
      <c r="G9" s="207"/>
      <c r="H9" s="207"/>
      <c r="I9" s="207"/>
    </row>
    <row r="10" spans="1:9" ht="15" customHeight="1" x14ac:dyDescent="0.3">
      <c r="A10" s="98">
        <v>442.02</v>
      </c>
      <c r="B10" s="68" t="s">
        <v>239</v>
      </c>
      <c r="C10" s="684">
        <v>-601422.6</v>
      </c>
      <c r="D10" s="688"/>
      <c r="E10" s="207"/>
      <c r="F10" s="207"/>
      <c r="G10" s="207"/>
      <c r="H10" s="207"/>
      <c r="I10" s="207"/>
    </row>
    <row r="11" spans="1:9" ht="15" customHeight="1" x14ac:dyDescent="0.3">
      <c r="A11" s="98">
        <v>451</v>
      </c>
      <c r="B11" s="68" t="s">
        <v>240</v>
      </c>
      <c r="C11" s="684">
        <v>-3845</v>
      </c>
      <c r="D11" s="688"/>
      <c r="E11" s="207"/>
      <c r="F11" s="207"/>
      <c r="G11" s="207"/>
      <c r="H11" s="207"/>
      <c r="I11" s="207"/>
    </row>
    <row r="12" spans="1:9" ht="15" customHeight="1" x14ac:dyDescent="0.3">
      <c r="A12" s="98">
        <v>454.02</v>
      </c>
      <c r="B12" s="68" t="s">
        <v>241</v>
      </c>
      <c r="C12" s="684">
        <v>-496226.26</v>
      </c>
      <c r="D12" s="688"/>
      <c r="E12" s="207"/>
      <c r="F12" s="207"/>
      <c r="G12" s="207"/>
      <c r="H12" s="207"/>
      <c r="I12" s="207"/>
    </row>
    <row r="13" spans="1:9" ht="15" customHeight="1" x14ac:dyDescent="0.3">
      <c r="A13" s="98">
        <v>454.03</v>
      </c>
      <c r="B13" s="265" t="s">
        <v>363</v>
      </c>
      <c r="C13" s="684">
        <v>-39283</v>
      </c>
      <c r="D13" s="688"/>
      <c r="E13" s="207"/>
      <c r="F13" s="207"/>
      <c r="G13" s="207"/>
      <c r="H13" s="207"/>
      <c r="I13" s="207"/>
    </row>
    <row r="14" spans="1:9" ht="15" customHeight="1" x14ac:dyDescent="0.3">
      <c r="A14" s="98">
        <v>456.01</v>
      </c>
      <c r="B14" s="68" t="s">
        <v>242</v>
      </c>
      <c r="C14" s="684">
        <v>-121333.75999999999</v>
      </c>
      <c r="D14" s="688"/>
      <c r="E14" s="207"/>
      <c r="F14" s="207"/>
      <c r="G14" s="207"/>
      <c r="H14" s="207"/>
      <c r="I14" s="207"/>
    </row>
    <row r="15" spans="1:9" ht="15" customHeight="1" x14ac:dyDescent="0.3">
      <c r="A15" s="98">
        <v>459.01</v>
      </c>
      <c r="B15" s="265" t="s">
        <v>364</v>
      </c>
      <c r="C15" s="684">
        <v>-2041470.06</v>
      </c>
      <c r="D15" s="688"/>
      <c r="E15" s="207"/>
      <c r="F15" s="207"/>
      <c r="G15" s="207"/>
      <c r="H15" s="207"/>
      <c r="I15" s="207"/>
    </row>
    <row r="16" spans="1:9" ht="15" customHeight="1" x14ac:dyDescent="0.25">
      <c r="A16" s="98"/>
      <c r="B16" s="68" t="s">
        <v>243</v>
      </c>
      <c r="C16" s="763">
        <f>SUM(C6:C15)</f>
        <v>-19769800.580000002</v>
      </c>
      <c r="D16" s="688"/>
      <c r="E16" s="207"/>
      <c r="F16" s="207"/>
      <c r="G16" s="207"/>
      <c r="H16" s="207"/>
      <c r="I16" s="207"/>
    </row>
    <row r="17" spans="1:9" ht="15" customHeight="1" x14ac:dyDescent="0.25">
      <c r="A17" s="98"/>
      <c r="B17" s="68"/>
      <c r="C17" s="258"/>
      <c r="D17" s="688"/>
      <c r="E17" s="207"/>
      <c r="F17" s="207"/>
      <c r="G17" s="207"/>
      <c r="H17" s="207"/>
      <c r="I17" s="207"/>
    </row>
    <row r="18" spans="1:9" ht="15" customHeight="1" x14ac:dyDescent="0.25">
      <c r="A18" s="289" t="s">
        <v>473</v>
      </c>
      <c r="B18" s="68"/>
      <c r="C18" s="258"/>
      <c r="D18" s="688"/>
      <c r="E18" s="207"/>
      <c r="F18" s="207"/>
      <c r="G18" s="207"/>
      <c r="H18" s="207"/>
      <c r="I18" s="207"/>
    </row>
    <row r="19" spans="1:9" ht="15" customHeight="1" x14ac:dyDescent="0.25">
      <c r="A19" s="98">
        <v>537.01</v>
      </c>
      <c r="B19" s="68" t="s">
        <v>1342</v>
      </c>
      <c r="C19" s="780"/>
      <c r="D19" s="688"/>
      <c r="E19" s="207"/>
      <c r="F19" s="207"/>
      <c r="G19" s="207"/>
      <c r="H19" s="207"/>
      <c r="I19" s="207"/>
    </row>
    <row r="20" spans="1:9" s="1273" customFormat="1" ht="15" customHeight="1" x14ac:dyDescent="0.25">
      <c r="A20" s="98">
        <v>535.01</v>
      </c>
      <c r="B20" s="68" t="s">
        <v>1395</v>
      </c>
      <c r="C20" s="780">
        <v>1504.01</v>
      </c>
      <c r="D20" s="688"/>
      <c r="E20" s="207"/>
      <c r="F20" s="207"/>
      <c r="G20" s="207"/>
      <c r="H20" s="207"/>
      <c r="I20" s="207"/>
    </row>
    <row r="21" spans="1:9" ht="15" customHeight="1" x14ac:dyDescent="0.3">
      <c r="A21" s="98">
        <v>538.01</v>
      </c>
      <c r="B21" s="265" t="s">
        <v>475</v>
      </c>
      <c r="C21" s="684">
        <v>109762.61</v>
      </c>
      <c r="D21" s="688"/>
      <c r="E21" s="207"/>
      <c r="F21" s="207"/>
      <c r="G21" s="207"/>
      <c r="H21" s="207"/>
      <c r="I21" s="207"/>
    </row>
    <row r="22" spans="1:9" ht="15" customHeight="1" x14ac:dyDescent="0.25">
      <c r="A22" s="98">
        <v>539.01</v>
      </c>
      <c r="B22" s="265" t="s">
        <v>476</v>
      </c>
      <c r="C22" s="780">
        <v>1776.46</v>
      </c>
      <c r="D22" s="688"/>
      <c r="E22" s="207"/>
      <c r="F22" s="207"/>
      <c r="G22" s="207"/>
      <c r="H22" s="207"/>
      <c r="I22" s="207"/>
    </row>
    <row r="23" spans="1:9" ht="15" customHeight="1" x14ac:dyDescent="0.3">
      <c r="A23" s="98">
        <v>540.01</v>
      </c>
      <c r="B23" s="265" t="s">
        <v>477</v>
      </c>
      <c r="C23" s="684">
        <v>9500</v>
      </c>
      <c r="D23" s="688"/>
      <c r="E23" s="207"/>
      <c r="F23" s="207"/>
      <c r="G23" s="207"/>
      <c r="H23" s="207"/>
      <c r="I23" s="207"/>
    </row>
    <row r="24" spans="1:9" ht="15" customHeight="1" x14ac:dyDescent="0.3">
      <c r="A24" s="98">
        <v>541.01</v>
      </c>
      <c r="B24" s="265" t="s">
        <v>478</v>
      </c>
      <c r="C24" s="684">
        <v>2733.1</v>
      </c>
      <c r="D24" s="688"/>
      <c r="E24" s="207"/>
      <c r="F24" s="207"/>
      <c r="G24" s="207"/>
      <c r="H24" s="207"/>
      <c r="I24" s="207"/>
    </row>
    <row r="25" spans="1:9" ht="15" customHeight="1" x14ac:dyDescent="0.3">
      <c r="A25" s="98">
        <v>542.01</v>
      </c>
      <c r="B25" s="265" t="s">
        <v>479</v>
      </c>
      <c r="C25" s="684"/>
      <c r="D25" s="688"/>
      <c r="E25" s="207"/>
      <c r="F25" s="207"/>
      <c r="G25" s="207"/>
      <c r="H25" s="207"/>
      <c r="I25" s="207"/>
    </row>
    <row r="26" spans="1:9" ht="15" customHeight="1" x14ac:dyDescent="0.3">
      <c r="A26" s="98">
        <v>543.01</v>
      </c>
      <c r="B26" s="265" t="s">
        <v>480</v>
      </c>
      <c r="C26" s="684">
        <v>1898.28</v>
      </c>
      <c r="D26" s="688"/>
      <c r="E26" s="207"/>
      <c r="F26" s="207"/>
      <c r="G26" s="207"/>
      <c r="H26" s="207"/>
      <c r="I26" s="207"/>
    </row>
    <row r="27" spans="1:9" ht="15" customHeight="1" x14ac:dyDescent="0.3">
      <c r="A27" s="98">
        <v>544.01</v>
      </c>
      <c r="B27" s="265" t="s">
        <v>481</v>
      </c>
      <c r="C27" s="684"/>
      <c r="D27" s="688"/>
      <c r="E27" s="207"/>
      <c r="F27" s="207"/>
      <c r="G27" s="207"/>
      <c r="H27" s="207"/>
      <c r="I27" s="207"/>
    </row>
    <row r="28" spans="1:9" ht="15" customHeight="1" x14ac:dyDescent="0.3">
      <c r="A28" s="98">
        <v>545.01</v>
      </c>
      <c r="B28" s="265" t="s">
        <v>482</v>
      </c>
      <c r="C28" s="684">
        <v>5485.25</v>
      </c>
      <c r="D28" s="688"/>
      <c r="E28" s="207"/>
      <c r="F28" s="207"/>
      <c r="G28" s="207"/>
      <c r="H28" s="207"/>
      <c r="I28" s="207"/>
    </row>
    <row r="29" spans="1:9" s="438" customFormat="1" ht="15" customHeight="1" x14ac:dyDescent="0.3">
      <c r="A29" s="98">
        <v>548.01</v>
      </c>
      <c r="B29" s="265" t="s">
        <v>955</v>
      </c>
      <c r="C29" s="684">
        <v>100148.22</v>
      </c>
      <c r="D29" s="688"/>
      <c r="E29" s="207"/>
      <c r="F29" s="207"/>
      <c r="G29" s="207"/>
      <c r="H29" s="207"/>
      <c r="I29" s="207"/>
    </row>
    <row r="30" spans="1:9" s="543" customFormat="1" ht="15" customHeight="1" x14ac:dyDescent="0.25">
      <c r="A30" s="98">
        <v>552.01</v>
      </c>
      <c r="B30" s="68" t="s">
        <v>1170</v>
      </c>
      <c r="C30" s="781"/>
      <c r="D30" s="688"/>
      <c r="E30" s="207"/>
      <c r="F30" s="207"/>
      <c r="G30" s="207"/>
      <c r="H30" s="207"/>
      <c r="I30" s="207"/>
    </row>
    <row r="31" spans="1:9" s="543" customFormat="1" ht="15" customHeight="1" x14ac:dyDescent="0.25">
      <c r="A31" s="98">
        <v>553.01</v>
      </c>
      <c r="B31" s="68" t="s">
        <v>1189</v>
      </c>
      <c r="C31" s="781"/>
      <c r="D31" s="688"/>
      <c r="E31" s="207"/>
      <c r="F31" s="207"/>
      <c r="G31" s="207"/>
      <c r="H31" s="207"/>
      <c r="I31" s="207"/>
    </row>
    <row r="32" spans="1:9" s="512" customFormat="1" ht="15" customHeight="1" x14ac:dyDescent="0.25">
      <c r="A32" s="98">
        <v>554.01</v>
      </c>
      <c r="B32" s="68" t="s">
        <v>1190</v>
      </c>
      <c r="C32" s="781"/>
      <c r="D32" s="688"/>
      <c r="E32" s="207"/>
      <c r="F32" s="207"/>
      <c r="G32" s="207"/>
      <c r="H32" s="207"/>
      <c r="I32" s="207"/>
    </row>
    <row r="33" spans="1:9" ht="15" customHeight="1" x14ac:dyDescent="0.25">
      <c r="A33" s="98"/>
      <c r="B33" s="265" t="s">
        <v>474</v>
      </c>
      <c r="C33" s="763">
        <f>SUM(C19:C32)</f>
        <v>232807.93000000002</v>
      </c>
      <c r="D33" s="688"/>
      <c r="E33" s="207"/>
      <c r="F33" s="207"/>
      <c r="G33" s="207"/>
      <c r="H33" s="207"/>
      <c r="I33" s="207"/>
    </row>
    <row r="34" spans="1:9" ht="15" customHeight="1" x14ac:dyDescent="0.25">
      <c r="A34" s="98"/>
      <c r="B34" s="68"/>
      <c r="C34" s="258"/>
      <c r="D34" s="688"/>
      <c r="E34" s="207"/>
      <c r="F34" s="207"/>
      <c r="G34" s="207"/>
      <c r="H34" s="207"/>
      <c r="I34" s="207"/>
    </row>
    <row r="35" spans="1:9" ht="15" customHeight="1" x14ac:dyDescent="0.25">
      <c r="A35" s="99" t="s">
        <v>244</v>
      </c>
      <c r="B35" s="68"/>
      <c r="C35" s="258"/>
      <c r="D35" s="688"/>
      <c r="E35" s="207"/>
      <c r="F35" s="207"/>
      <c r="G35" s="207"/>
      <c r="H35" s="207"/>
      <c r="I35" s="207"/>
    </row>
    <row r="36" spans="1:9" ht="15" customHeight="1" x14ac:dyDescent="0.3">
      <c r="A36" s="98">
        <v>555</v>
      </c>
      <c r="B36" s="68" t="s">
        <v>131</v>
      </c>
      <c r="C36" s="684">
        <v>8142455.3300000001</v>
      </c>
      <c r="D36" s="688"/>
      <c r="E36" s="207"/>
      <c r="F36" s="207"/>
      <c r="G36" s="207"/>
      <c r="H36" s="207"/>
      <c r="I36" s="207"/>
    </row>
    <row r="37" spans="1:9" ht="15" customHeight="1" x14ac:dyDescent="0.3">
      <c r="A37" s="98">
        <v>557.01</v>
      </c>
      <c r="B37" s="265" t="s">
        <v>365</v>
      </c>
      <c r="C37" s="684">
        <v>10869.67</v>
      </c>
      <c r="D37" s="688"/>
      <c r="E37" s="207"/>
      <c r="F37" s="207"/>
      <c r="G37" s="207"/>
      <c r="H37" s="207"/>
      <c r="I37" s="207"/>
    </row>
    <row r="38" spans="1:9" ht="15" customHeight="1" x14ac:dyDescent="0.3">
      <c r="A38" s="98">
        <v>557.02</v>
      </c>
      <c r="B38" s="68" t="s">
        <v>881</v>
      </c>
      <c r="C38" s="684">
        <v>2996.4</v>
      </c>
      <c r="D38" s="688"/>
      <c r="E38" s="207"/>
      <c r="F38" s="207"/>
      <c r="G38" s="207"/>
      <c r="H38" s="207"/>
      <c r="I38" s="207"/>
    </row>
    <row r="39" spans="1:9" ht="15" customHeight="1" x14ac:dyDescent="0.3">
      <c r="A39" s="98">
        <v>557.03</v>
      </c>
      <c r="B39" s="265" t="s">
        <v>366</v>
      </c>
      <c r="C39" s="684">
        <v>546</v>
      </c>
      <c r="D39" s="688"/>
      <c r="E39" s="207"/>
      <c r="F39" s="207"/>
      <c r="G39" s="207"/>
      <c r="H39" s="207"/>
      <c r="I39" s="207"/>
    </row>
    <row r="40" spans="1:9" s="725" customFormat="1" ht="15" customHeight="1" x14ac:dyDescent="0.3">
      <c r="A40" s="98">
        <v>557.04</v>
      </c>
      <c r="B40" s="68" t="s">
        <v>1343</v>
      </c>
      <c r="C40" s="684">
        <v>51881.94</v>
      </c>
      <c r="D40" s="688"/>
      <c r="E40" s="207"/>
      <c r="F40" s="207"/>
      <c r="G40" s="207"/>
      <c r="H40" s="207"/>
      <c r="I40" s="207"/>
    </row>
    <row r="41" spans="1:9" ht="15" customHeight="1" x14ac:dyDescent="0.3">
      <c r="A41" s="98">
        <v>559.01</v>
      </c>
      <c r="B41" s="68" t="s">
        <v>1231</v>
      </c>
      <c r="C41" s="684">
        <v>287250</v>
      </c>
      <c r="D41" s="688"/>
      <c r="E41" s="207"/>
      <c r="F41" s="207"/>
      <c r="G41" s="207"/>
      <c r="H41" s="207"/>
      <c r="I41" s="207"/>
    </row>
    <row r="42" spans="1:9" ht="15" customHeight="1" x14ac:dyDescent="0.25">
      <c r="A42" s="98"/>
      <c r="B42" s="68" t="s">
        <v>245</v>
      </c>
      <c r="C42" s="759">
        <f>SUM(C36:C41)</f>
        <v>8495999.3399999999</v>
      </c>
      <c r="D42" s="689"/>
      <c r="E42" s="205"/>
      <c r="F42" s="205"/>
      <c r="G42" s="207"/>
      <c r="H42" s="207"/>
      <c r="I42" s="207"/>
    </row>
    <row r="43" spans="1:9" ht="15" customHeight="1" x14ac:dyDescent="0.25">
      <c r="A43" s="98"/>
      <c r="B43" s="68"/>
      <c r="C43" s="258"/>
      <c r="D43" s="688"/>
      <c r="E43" s="205"/>
      <c r="F43" s="205"/>
      <c r="G43" s="207"/>
      <c r="H43" s="207"/>
      <c r="I43" s="207"/>
    </row>
    <row r="44" spans="1:9" ht="15" customHeight="1" x14ac:dyDescent="0.25">
      <c r="A44" s="99" t="s">
        <v>246</v>
      </c>
      <c r="B44" s="68"/>
      <c r="C44" s="258"/>
      <c r="D44" s="688"/>
      <c r="E44" s="261"/>
      <c r="F44" s="205"/>
      <c r="G44" s="207"/>
      <c r="H44" s="207"/>
      <c r="I44" s="207"/>
    </row>
    <row r="45" spans="1:9" ht="15" customHeight="1" x14ac:dyDescent="0.3">
      <c r="A45" s="98">
        <v>560.01</v>
      </c>
      <c r="B45" s="265" t="s">
        <v>367</v>
      </c>
      <c r="C45" s="684">
        <v>89.79</v>
      </c>
      <c r="D45" s="688"/>
      <c r="E45" s="261"/>
      <c r="F45" s="205"/>
      <c r="G45" s="207"/>
      <c r="H45" s="207"/>
      <c r="I45" s="207"/>
    </row>
    <row r="46" spans="1:9" s="512" customFormat="1" ht="15" customHeight="1" x14ac:dyDescent="0.25">
      <c r="A46" s="98">
        <v>563.01</v>
      </c>
      <c r="B46" s="68" t="s">
        <v>1171</v>
      </c>
      <c r="C46" s="782"/>
      <c r="D46" s="688"/>
      <c r="E46" s="261"/>
      <c r="F46" s="205"/>
      <c r="G46" s="207"/>
      <c r="H46" s="207"/>
      <c r="I46" s="207"/>
    </row>
    <row r="47" spans="1:9" s="438" customFormat="1" ht="15" customHeight="1" x14ac:dyDescent="0.3">
      <c r="A47" s="98">
        <v>563.02</v>
      </c>
      <c r="B47" s="265" t="s">
        <v>887</v>
      </c>
      <c r="C47" s="684">
        <v>62615</v>
      </c>
      <c r="D47" s="688"/>
      <c r="E47" s="261"/>
      <c r="F47" s="205"/>
      <c r="G47" s="207"/>
      <c r="H47" s="207"/>
      <c r="I47" s="207"/>
    </row>
    <row r="48" spans="1:9" ht="15" customHeight="1" x14ac:dyDescent="0.25">
      <c r="A48" s="98">
        <v>563.03</v>
      </c>
      <c r="B48" s="265" t="s">
        <v>368</v>
      </c>
      <c r="C48" s="782"/>
      <c r="D48" s="688"/>
      <c r="E48" s="261"/>
      <c r="F48" s="205"/>
      <c r="G48" s="207"/>
      <c r="H48" s="207"/>
      <c r="I48" s="207"/>
    </row>
    <row r="49" spans="1:9" s="1037" customFormat="1" ht="15" customHeight="1" x14ac:dyDescent="0.25">
      <c r="A49" s="98">
        <v>569.01</v>
      </c>
      <c r="B49" s="68" t="s">
        <v>1396</v>
      </c>
      <c r="C49" s="782">
        <v>1098.8499999999999</v>
      </c>
      <c r="D49" s="688"/>
      <c r="E49" s="261"/>
      <c r="F49" s="205"/>
      <c r="G49" s="207"/>
      <c r="H49" s="207"/>
      <c r="I49" s="207"/>
    </row>
    <row r="50" spans="1:9" s="543" customFormat="1" ht="15" customHeight="1" x14ac:dyDescent="0.25">
      <c r="A50" s="98">
        <v>571.01</v>
      </c>
      <c r="B50" s="68" t="s">
        <v>1344</v>
      </c>
      <c r="C50" s="782"/>
      <c r="D50" s="688"/>
      <c r="E50" s="261"/>
      <c r="F50" s="205"/>
      <c r="G50" s="207"/>
      <c r="H50" s="207"/>
      <c r="I50" s="207"/>
    </row>
    <row r="51" spans="1:9" ht="15" customHeight="1" x14ac:dyDescent="0.3">
      <c r="A51" s="98">
        <v>571.02</v>
      </c>
      <c r="B51" s="265" t="s">
        <v>369</v>
      </c>
      <c r="C51" s="684">
        <v>1823.45</v>
      </c>
      <c r="D51" s="690"/>
      <c r="E51" s="205"/>
      <c r="F51" s="205"/>
      <c r="G51" s="207"/>
      <c r="H51" s="207"/>
      <c r="I51" s="207"/>
    </row>
    <row r="52" spans="1:9" ht="15" customHeight="1" x14ac:dyDescent="0.3">
      <c r="A52" s="98">
        <v>571.03</v>
      </c>
      <c r="B52" s="265" t="s">
        <v>370</v>
      </c>
      <c r="C52" s="684">
        <v>21594.39</v>
      </c>
      <c r="D52" s="690"/>
      <c r="E52" s="205"/>
      <c r="F52" s="205"/>
      <c r="G52" s="207"/>
      <c r="H52" s="207"/>
      <c r="I52" s="207"/>
    </row>
    <row r="53" spans="1:9" ht="15" customHeight="1" x14ac:dyDescent="0.3">
      <c r="A53" s="98">
        <v>571.04</v>
      </c>
      <c r="B53" s="265" t="s">
        <v>371</v>
      </c>
      <c r="C53" s="684">
        <v>3278.15</v>
      </c>
      <c r="D53" s="690"/>
      <c r="E53" s="205"/>
      <c r="F53" s="205"/>
      <c r="G53" s="207"/>
      <c r="H53" s="207"/>
      <c r="I53" s="207"/>
    </row>
    <row r="54" spans="1:9" ht="15" customHeight="1" x14ac:dyDescent="0.25">
      <c r="A54" s="98"/>
      <c r="B54" s="68" t="s">
        <v>247</v>
      </c>
      <c r="C54" s="759">
        <f>SUM(C45:C53)</f>
        <v>90499.62999999999</v>
      </c>
      <c r="D54" s="688"/>
      <c r="E54" s="207"/>
      <c r="F54" s="207"/>
      <c r="G54" s="207"/>
      <c r="H54" s="207"/>
      <c r="I54" s="207"/>
    </row>
    <row r="55" spans="1:9" ht="15" customHeight="1" x14ac:dyDescent="0.25">
      <c r="A55" s="98"/>
      <c r="B55" s="68"/>
      <c r="C55" s="290"/>
      <c r="D55" s="688"/>
      <c r="E55" s="207"/>
      <c r="F55" s="207"/>
      <c r="G55" s="207"/>
      <c r="H55" s="207"/>
      <c r="I55" s="207"/>
    </row>
    <row r="56" spans="1:9" ht="15" customHeight="1" x14ac:dyDescent="0.25">
      <c r="A56" s="99" t="s">
        <v>248</v>
      </c>
      <c r="B56" s="68"/>
      <c r="C56" s="258"/>
      <c r="D56" s="688"/>
      <c r="E56" s="207"/>
      <c r="F56" s="207"/>
      <c r="G56" s="207"/>
      <c r="H56" s="207"/>
      <c r="I56" s="207"/>
    </row>
    <row r="57" spans="1:9" ht="15" customHeight="1" x14ac:dyDescent="0.25">
      <c r="A57" s="98"/>
      <c r="B57" s="68"/>
      <c r="C57" s="258"/>
      <c r="D57" s="688"/>
      <c r="E57" s="207"/>
      <c r="F57" s="207"/>
      <c r="G57" s="207"/>
      <c r="H57" s="207"/>
      <c r="I57" s="207"/>
    </row>
    <row r="58" spans="1:9" ht="15" customHeight="1" x14ac:dyDescent="0.3">
      <c r="A58" s="98">
        <v>580.01</v>
      </c>
      <c r="B58" s="265" t="s">
        <v>372</v>
      </c>
      <c r="C58" s="684">
        <v>154110.17000000001</v>
      </c>
      <c r="D58" s="688"/>
      <c r="E58" s="207"/>
      <c r="F58" s="207"/>
      <c r="G58" s="207"/>
      <c r="H58" s="207"/>
      <c r="I58" s="207"/>
    </row>
    <row r="59" spans="1:9" ht="15" customHeight="1" x14ac:dyDescent="0.3">
      <c r="A59" s="98">
        <v>582.01</v>
      </c>
      <c r="B59" s="265" t="s">
        <v>373</v>
      </c>
      <c r="C59" s="684">
        <v>137764.85999999999</v>
      </c>
      <c r="D59" s="688"/>
      <c r="E59" s="207"/>
      <c r="F59" s="207"/>
      <c r="G59" s="207"/>
      <c r="H59" s="207"/>
      <c r="I59" s="207"/>
    </row>
    <row r="60" spans="1:9" ht="15" customHeight="1" x14ac:dyDescent="0.3">
      <c r="A60" s="98">
        <v>583.01</v>
      </c>
      <c r="B60" s="265" t="s">
        <v>374</v>
      </c>
      <c r="C60" s="684">
        <v>1149811.24</v>
      </c>
      <c r="D60" s="688"/>
      <c r="E60" s="207"/>
      <c r="F60" s="207"/>
      <c r="G60" s="207"/>
      <c r="H60" s="207"/>
      <c r="I60" s="207"/>
    </row>
    <row r="61" spans="1:9" ht="15" customHeight="1" x14ac:dyDescent="0.3">
      <c r="A61" s="98">
        <v>583.02</v>
      </c>
      <c r="B61" s="265" t="s">
        <v>375</v>
      </c>
      <c r="C61" s="684">
        <v>4532.1499999999996</v>
      </c>
      <c r="D61" s="688"/>
      <c r="E61" s="207"/>
      <c r="F61" s="207"/>
      <c r="G61" s="207"/>
      <c r="H61" s="207"/>
      <c r="I61" s="207"/>
    </row>
    <row r="62" spans="1:9" ht="15" customHeight="1" x14ac:dyDescent="0.3">
      <c r="A62" s="98">
        <v>583.03</v>
      </c>
      <c r="B62" s="265" t="s">
        <v>376</v>
      </c>
      <c r="C62" s="684">
        <v>57169.87</v>
      </c>
      <c r="D62" s="688"/>
      <c r="E62" s="207"/>
      <c r="F62" s="207"/>
      <c r="G62" s="207"/>
      <c r="H62" s="207"/>
      <c r="I62" s="207"/>
    </row>
    <row r="63" spans="1:9" ht="15" customHeight="1" x14ac:dyDescent="0.3">
      <c r="A63" s="98">
        <v>583.04</v>
      </c>
      <c r="B63" s="265" t="s">
        <v>377</v>
      </c>
      <c r="C63" s="684">
        <v>19889.14</v>
      </c>
      <c r="D63" s="689"/>
      <c r="E63" s="207"/>
      <c r="F63" s="207"/>
      <c r="G63" s="207"/>
      <c r="H63" s="207"/>
      <c r="I63" s="207"/>
    </row>
    <row r="64" spans="1:9" s="608" customFormat="1" ht="15" customHeight="1" x14ac:dyDescent="0.25">
      <c r="A64" s="98">
        <v>583.04999999999995</v>
      </c>
      <c r="B64" s="68" t="s">
        <v>1232</v>
      </c>
      <c r="C64" s="783"/>
      <c r="D64" s="689"/>
      <c r="E64" s="207"/>
      <c r="F64" s="207"/>
      <c r="G64" s="207"/>
      <c r="H64" s="207"/>
      <c r="I64" s="207"/>
    </row>
    <row r="65" spans="1:9" s="512" customFormat="1" ht="15" customHeight="1" x14ac:dyDescent="0.3">
      <c r="A65" s="98">
        <v>583.05999999999995</v>
      </c>
      <c r="B65" s="68" t="s">
        <v>1191</v>
      </c>
      <c r="C65" s="684">
        <v>1053.32</v>
      </c>
      <c r="D65" s="689"/>
      <c r="E65" s="207"/>
      <c r="F65" s="207"/>
      <c r="G65" s="207"/>
      <c r="H65" s="207"/>
      <c r="I65" s="207"/>
    </row>
    <row r="66" spans="1:9" ht="15" customHeight="1" x14ac:dyDescent="0.25">
      <c r="A66" s="98">
        <v>584.01</v>
      </c>
      <c r="B66" s="265" t="s">
        <v>379</v>
      </c>
      <c r="C66" s="783">
        <v>991.65</v>
      </c>
      <c r="D66" s="688"/>
      <c r="E66" s="207"/>
      <c r="F66" s="207"/>
      <c r="G66" s="207"/>
      <c r="H66" s="207"/>
      <c r="I66" s="207"/>
    </row>
    <row r="67" spans="1:9" ht="15" customHeight="1" x14ac:dyDescent="0.25">
      <c r="A67" s="98">
        <v>584.02</v>
      </c>
      <c r="B67" s="265" t="s">
        <v>380</v>
      </c>
      <c r="C67" s="783"/>
      <c r="D67" s="688"/>
      <c r="E67" s="207"/>
      <c r="F67" s="207"/>
      <c r="G67" s="207"/>
      <c r="H67" s="207"/>
      <c r="I67" s="207"/>
    </row>
    <row r="68" spans="1:9" ht="15" customHeight="1" x14ac:dyDescent="0.3">
      <c r="A68" s="98">
        <v>586.01</v>
      </c>
      <c r="B68" s="265" t="s">
        <v>381</v>
      </c>
      <c r="C68" s="684">
        <v>86948.800000000003</v>
      </c>
      <c r="D68" s="688"/>
      <c r="E68" s="207"/>
      <c r="F68" s="207"/>
      <c r="G68" s="207"/>
      <c r="H68" s="207"/>
      <c r="I68" s="207"/>
    </row>
    <row r="69" spans="1:9" ht="15" customHeight="1" x14ac:dyDescent="0.3">
      <c r="A69" s="98">
        <v>587.01</v>
      </c>
      <c r="B69" s="265" t="s">
        <v>382</v>
      </c>
      <c r="C69" s="684">
        <v>131317.4</v>
      </c>
      <c r="D69" s="688"/>
      <c r="E69" s="207"/>
      <c r="F69" s="207"/>
      <c r="G69" s="207"/>
      <c r="H69" s="207"/>
      <c r="I69" s="207"/>
    </row>
    <row r="70" spans="1:9" ht="15" customHeight="1" x14ac:dyDescent="0.3">
      <c r="A70" s="98">
        <v>588.01</v>
      </c>
      <c r="B70" s="265" t="s">
        <v>383</v>
      </c>
      <c r="C70" s="684">
        <v>117213.2</v>
      </c>
      <c r="D70" s="688"/>
      <c r="E70" s="207"/>
      <c r="F70" s="207"/>
      <c r="G70" s="207"/>
      <c r="H70" s="207"/>
      <c r="I70" s="207"/>
    </row>
    <row r="71" spans="1:9" ht="15" customHeight="1" x14ac:dyDescent="0.3">
      <c r="A71" s="98">
        <v>588.02</v>
      </c>
      <c r="B71" s="265" t="s">
        <v>384</v>
      </c>
      <c r="C71" s="684">
        <v>47948.62</v>
      </c>
      <c r="D71" s="688"/>
      <c r="E71" s="207"/>
      <c r="F71" s="207"/>
      <c r="G71" s="207"/>
      <c r="H71" s="207"/>
      <c r="I71" s="207"/>
    </row>
    <row r="72" spans="1:9" ht="15" customHeight="1" x14ac:dyDescent="0.3">
      <c r="A72" s="98">
        <v>588.03</v>
      </c>
      <c r="B72" s="265" t="s">
        <v>385</v>
      </c>
      <c r="C72" s="684">
        <v>102321.83</v>
      </c>
      <c r="D72" s="688"/>
      <c r="E72" s="207"/>
      <c r="F72" s="207"/>
      <c r="G72" s="207"/>
      <c r="H72" s="207"/>
      <c r="I72" s="207"/>
    </row>
    <row r="73" spans="1:9" ht="15" customHeight="1" x14ac:dyDescent="0.3">
      <c r="A73" s="98">
        <v>588.04</v>
      </c>
      <c r="B73" s="265" t="s">
        <v>386</v>
      </c>
      <c r="C73" s="684">
        <v>50060.28</v>
      </c>
      <c r="D73" s="688"/>
      <c r="E73" s="207"/>
      <c r="F73" s="207"/>
      <c r="G73" s="207"/>
      <c r="H73" s="207"/>
      <c r="I73" s="207"/>
    </row>
    <row r="74" spans="1:9" ht="15" customHeight="1" x14ac:dyDescent="0.3">
      <c r="A74" s="98">
        <v>588.04999999999995</v>
      </c>
      <c r="B74" s="265" t="s">
        <v>387</v>
      </c>
      <c r="C74" s="684">
        <v>64110.95</v>
      </c>
      <c r="D74" s="688"/>
      <c r="E74" s="207"/>
      <c r="F74" s="207"/>
      <c r="G74" s="207"/>
      <c r="H74" s="207"/>
      <c r="I74" s="207"/>
    </row>
    <row r="75" spans="1:9" ht="15" customHeight="1" x14ac:dyDescent="0.3">
      <c r="A75" s="98">
        <v>588.08000000000004</v>
      </c>
      <c r="B75" s="265" t="s">
        <v>388</v>
      </c>
      <c r="C75" s="684">
        <v>184541.43</v>
      </c>
      <c r="D75" s="688"/>
      <c r="E75" s="207"/>
      <c r="F75" s="207"/>
      <c r="G75" s="207"/>
      <c r="H75" s="207"/>
      <c r="I75" s="207"/>
    </row>
    <row r="76" spans="1:9" ht="15" customHeight="1" x14ac:dyDescent="0.3">
      <c r="A76" s="98">
        <v>589.01</v>
      </c>
      <c r="B76" s="265" t="s">
        <v>389</v>
      </c>
      <c r="C76" s="684">
        <v>3252.99</v>
      </c>
      <c r="D76" s="688"/>
      <c r="E76" s="207"/>
      <c r="F76" s="207"/>
      <c r="G76" s="207"/>
      <c r="H76" s="207"/>
      <c r="I76" s="207"/>
    </row>
    <row r="77" spans="1:9" ht="15" customHeight="1" x14ac:dyDescent="0.25">
      <c r="A77" s="98"/>
      <c r="B77" s="68"/>
      <c r="C77" s="759"/>
      <c r="D77" s="688"/>
      <c r="E77" s="207"/>
      <c r="F77" s="207"/>
      <c r="G77" s="207"/>
      <c r="H77" s="207"/>
      <c r="I77" s="207"/>
    </row>
    <row r="78" spans="1:9" ht="15" customHeight="1" x14ac:dyDescent="0.25">
      <c r="A78" s="98"/>
      <c r="B78" s="68" t="s">
        <v>250</v>
      </c>
      <c r="C78" s="759">
        <f>SUM(C58:C76)</f>
        <v>2313037.9000000004</v>
      </c>
      <c r="D78" s="688"/>
      <c r="E78" s="207"/>
      <c r="F78" s="207"/>
      <c r="G78" s="207"/>
      <c r="H78" s="207"/>
      <c r="I78" s="207"/>
    </row>
    <row r="79" spans="1:9" ht="15" customHeight="1" x14ac:dyDescent="0.25">
      <c r="A79" s="98"/>
      <c r="B79" s="68"/>
      <c r="C79" s="258"/>
      <c r="D79" s="688"/>
      <c r="E79" s="207"/>
      <c r="F79" s="207"/>
      <c r="G79" s="207"/>
      <c r="H79" s="207"/>
      <c r="I79" s="207"/>
    </row>
    <row r="80" spans="1:9" ht="15" customHeight="1" x14ac:dyDescent="0.25">
      <c r="A80" s="99" t="s">
        <v>251</v>
      </c>
      <c r="B80" s="68"/>
      <c r="C80" s="258"/>
      <c r="D80" s="688"/>
      <c r="E80" s="207"/>
      <c r="F80" s="207"/>
      <c r="G80" s="207"/>
      <c r="H80" s="207"/>
      <c r="I80" s="207"/>
    </row>
    <row r="81" spans="1:9" ht="15" customHeight="1" x14ac:dyDescent="0.25">
      <c r="A81" s="98"/>
      <c r="B81" s="68"/>
      <c r="C81" s="258"/>
      <c r="D81" s="688"/>
      <c r="E81" s="207"/>
      <c r="F81" s="207"/>
      <c r="G81" s="207"/>
      <c r="H81" s="207"/>
      <c r="I81" s="207"/>
    </row>
    <row r="82" spans="1:9" ht="15" customHeight="1" x14ac:dyDescent="0.25">
      <c r="A82" s="98">
        <v>590</v>
      </c>
      <c r="B82" s="265" t="s">
        <v>390</v>
      </c>
      <c r="C82" s="784"/>
      <c r="E82" s="207"/>
      <c r="F82" s="207"/>
      <c r="G82" s="207"/>
      <c r="H82" s="207"/>
      <c r="I82" s="207"/>
    </row>
    <row r="83" spans="1:9" ht="15" customHeight="1" x14ac:dyDescent="0.3">
      <c r="A83" s="98">
        <v>590.01</v>
      </c>
      <c r="B83" s="265" t="s">
        <v>391</v>
      </c>
      <c r="C83" s="684">
        <v>127588.03</v>
      </c>
      <c r="E83" s="207"/>
      <c r="F83" s="207"/>
      <c r="G83" s="207"/>
      <c r="H83" s="207"/>
      <c r="I83" s="207"/>
    </row>
    <row r="84" spans="1:9" ht="15" customHeight="1" x14ac:dyDescent="0.3">
      <c r="A84" s="98">
        <v>590.02</v>
      </c>
      <c r="B84" s="265" t="s">
        <v>392</v>
      </c>
      <c r="C84" s="684">
        <v>8275.1200000000008</v>
      </c>
      <c r="E84" s="207"/>
      <c r="F84" s="207"/>
      <c r="G84" s="207"/>
      <c r="H84" s="207"/>
      <c r="I84" s="207"/>
    </row>
    <row r="85" spans="1:9" ht="15" customHeight="1" x14ac:dyDescent="0.3">
      <c r="A85" s="98">
        <v>590.54999999999995</v>
      </c>
      <c r="B85" s="265" t="s">
        <v>393</v>
      </c>
      <c r="C85" s="684">
        <v>2588.4299999999998</v>
      </c>
      <c r="E85" s="207"/>
      <c r="F85" s="207"/>
      <c r="G85" s="207"/>
      <c r="H85" s="207"/>
      <c r="I85" s="207"/>
    </row>
    <row r="86" spans="1:9" ht="15" customHeight="1" x14ac:dyDescent="0.3">
      <c r="A86" s="98">
        <v>592.01</v>
      </c>
      <c r="B86" s="265" t="s">
        <v>394</v>
      </c>
      <c r="C86" s="684">
        <v>26413.07</v>
      </c>
      <c r="E86" s="207"/>
      <c r="F86" s="207"/>
      <c r="G86" s="207"/>
      <c r="H86" s="207"/>
      <c r="I86" s="207"/>
    </row>
    <row r="87" spans="1:9" ht="15" customHeight="1" x14ac:dyDescent="0.3">
      <c r="A87" s="98">
        <v>593</v>
      </c>
      <c r="B87" s="265" t="s">
        <v>395</v>
      </c>
      <c r="C87" s="684">
        <v>33037.339999999997</v>
      </c>
      <c r="E87" s="207"/>
      <c r="F87" s="207"/>
      <c r="G87" s="207"/>
      <c r="H87" s="207"/>
      <c r="I87" s="207"/>
    </row>
    <row r="88" spans="1:9" ht="15" customHeight="1" x14ac:dyDescent="0.3">
      <c r="A88" s="98">
        <v>593.01</v>
      </c>
      <c r="B88" s="265" t="s">
        <v>396</v>
      </c>
      <c r="C88" s="684">
        <v>665269.06999999995</v>
      </c>
      <c r="E88" s="207"/>
      <c r="F88" s="207"/>
      <c r="G88" s="207"/>
      <c r="H88" s="207"/>
      <c r="I88" s="207"/>
    </row>
    <row r="89" spans="1:9" ht="15" customHeight="1" x14ac:dyDescent="0.3">
      <c r="A89" s="98">
        <v>593.02</v>
      </c>
      <c r="B89" s="265" t="s">
        <v>397</v>
      </c>
      <c r="C89" s="684">
        <v>87635.520000000004</v>
      </c>
      <c r="E89" s="207"/>
      <c r="F89" s="207"/>
      <c r="G89" s="207"/>
      <c r="H89" s="207"/>
      <c r="I89" s="207"/>
    </row>
    <row r="90" spans="1:9" ht="15" customHeight="1" x14ac:dyDescent="0.3">
      <c r="A90" s="98">
        <v>593.03</v>
      </c>
      <c r="B90" s="265" t="s">
        <v>398</v>
      </c>
      <c r="C90" s="684">
        <v>1392291.58</v>
      </c>
      <c r="E90" s="207"/>
      <c r="F90" s="207"/>
      <c r="G90" s="207"/>
      <c r="H90" s="207"/>
      <c r="I90" s="207"/>
    </row>
    <row r="91" spans="1:9" ht="15" customHeight="1" x14ac:dyDescent="0.3">
      <c r="A91" s="98">
        <v>593.04999999999995</v>
      </c>
      <c r="B91" s="265" t="s">
        <v>399</v>
      </c>
      <c r="C91" s="684"/>
      <c r="E91" s="207"/>
      <c r="F91" s="207"/>
      <c r="G91" s="207"/>
      <c r="H91" s="207"/>
      <c r="I91" s="207"/>
    </row>
    <row r="92" spans="1:9" ht="15" customHeight="1" x14ac:dyDescent="0.3">
      <c r="A92" s="98">
        <v>593.07000000000005</v>
      </c>
      <c r="B92" s="265" t="s">
        <v>400</v>
      </c>
      <c r="C92" s="684">
        <v>704869.98</v>
      </c>
      <c r="E92" s="207"/>
      <c r="F92" s="207"/>
      <c r="G92" s="207"/>
      <c r="H92" s="207"/>
      <c r="I92" s="207"/>
    </row>
    <row r="93" spans="1:9" ht="15" customHeight="1" x14ac:dyDescent="0.25">
      <c r="A93" s="98">
        <v>593.08000000000004</v>
      </c>
      <c r="B93" s="265" t="s">
        <v>401</v>
      </c>
      <c r="C93" s="784"/>
      <c r="E93" s="207"/>
      <c r="F93" s="207"/>
      <c r="G93" s="207"/>
      <c r="H93" s="207"/>
      <c r="I93" s="207"/>
    </row>
    <row r="94" spans="1:9" ht="15" customHeight="1" x14ac:dyDescent="0.3">
      <c r="A94" s="98">
        <v>593.09</v>
      </c>
      <c r="B94" s="265" t="s">
        <v>402</v>
      </c>
      <c r="C94" s="684">
        <v>319838.51</v>
      </c>
      <c r="E94" s="207"/>
      <c r="F94" s="207"/>
      <c r="G94" s="207"/>
      <c r="H94" s="207"/>
      <c r="I94" s="207"/>
    </row>
    <row r="95" spans="1:9" ht="15" customHeight="1" x14ac:dyDescent="0.3">
      <c r="A95" s="98">
        <v>593.54999999999995</v>
      </c>
      <c r="B95" s="265" t="s">
        <v>403</v>
      </c>
      <c r="C95" s="684">
        <v>38984.5</v>
      </c>
      <c r="E95" s="207"/>
      <c r="F95" s="207"/>
      <c r="G95" s="207"/>
      <c r="H95" s="207"/>
      <c r="I95" s="207"/>
    </row>
    <row r="96" spans="1:9" ht="15" customHeight="1" x14ac:dyDescent="0.3">
      <c r="A96" s="98">
        <v>593.99</v>
      </c>
      <c r="B96" s="265" t="s">
        <v>404</v>
      </c>
      <c r="C96" s="684"/>
      <c r="E96" s="207"/>
      <c r="F96" s="207"/>
      <c r="G96" s="207"/>
      <c r="H96" s="207"/>
      <c r="I96" s="207"/>
    </row>
    <row r="97" spans="1:9" ht="15" customHeight="1" x14ac:dyDescent="0.3">
      <c r="A97" s="98">
        <v>594.01</v>
      </c>
      <c r="B97" s="265" t="s">
        <v>405</v>
      </c>
      <c r="C97" s="684">
        <v>16671.48</v>
      </c>
      <c r="E97" s="207"/>
      <c r="F97" s="207"/>
      <c r="G97" s="207"/>
      <c r="H97" s="207"/>
      <c r="I97" s="207"/>
    </row>
    <row r="98" spans="1:9" ht="15" customHeight="1" x14ac:dyDescent="0.3">
      <c r="A98" s="98">
        <v>595.01</v>
      </c>
      <c r="B98" s="265" t="s">
        <v>406</v>
      </c>
      <c r="C98" s="684">
        <v>19840.21</v>
      </c>
      <c r="E98" s="207"/>
      <c r="F98" s="207"/>
      <c r="G98" s="207"/>
      <c r="H98" s="207"/>
      <c r="I98" s="207"/>
    </row>
    <row r="99" spans="1:9" ht="15" customHeight="1" x14ac:dyDescent="0.3">
      <c r="A99" s="98">
        <v>595.02</v>
      </c>
      <c r="B99" s="265" t="s">
        <v>407</v>
      </c>
      <c r="C99" s="684">
        <v>7885.97</v>
      </c>
      <c r="E99" s="207"/>
      <c r="F99" s="207"/>
      <c r="G99" s="207"/>
      <c r="H99" s="207"/>
      <c r="I99" s="207"/>
    </row>
    <row r="100" spans="1:9" ht="15" customHeight="1" x14ac:dyDescent="0.3">
      <c r="A100" s="98">
        <v>596.02</v>
      </c>
      <c r="B100" s="68" t="s">
        <v>760</v>
      </c>
      <c r="C100" s="684">
        <v>2965.39</v>
      </c>
      <c r="E100" s="207"/>
      <c r="F100" s="207"/>
      <c r="G100" s="207"/>
      <c r="H100" s="207"/>
      <c r="I100" s="207"/>
    </row>
    <row r="101" spans="1:9" s="410" customFormat="1" ht="15" customHeight="1" x14ac:dyDescent="0.3">
      <c r="A101" s="98">
        <v>596.03</v>
      </c>
      <c r="B101" s="265" t="s">
        <v>408</v>
      </c>
      <c r="C101" s="684"/>
      <c r="D101" s="686"/>
      <c r="E101" s="207"/>
      <c r="F101" s="207"/>
      <c r="G101" s="207"/>
      <c r="H101" s="207"/>
      <c r="I101" s="207"/>
    </row>
    <row r="102" spans="1:9" ht="15" customHeight="1" x14ac:dyDescent="0.25">
      <c r="A102" s="98">
        <v>597.01</v>
      </c>
      <c r="B102" s="68" t="s">
        <v>1192</v>
      </c>
      <c r="C102" s="784">
        <v>0</v>
      </c>
      <c r="E102" s="207"/>
      <c r="F102" s="207"/>
      <c r="G102" s="207"/>
      <c r="H102" s="207"/>
      <c r="I102" s="207"/>
    </row>
    <row r="103" spans="1:9" ht="15" customHeight="1" x14ac:dyDescent="0.25">
      <c r="A103" s="98"/>
      <c r="B103" s="68" t="s">
        <v>256</v>
      </c>
      <c r="C103" s="759">
        <f>SUM(C82:C102)</f>
        <v>3454154.2000000007</v>
      </c>
      <c r="E103" s="207"/>
      <c r="F103" s="207"/>
      <c r="G103" s="207"/>
      <c r="H103" s="207"/>
      <c r="I103" s="207"/>
    </row>
    <row r="104" spans="1:9" ht="15" customHeight="1" x14ac:dyDescent="0.25">
      <c r="A104" s="98"/>
      <c r="B104" s="68"/>
      <c r="C104" s="258"/>
      <c r="D104" s="688"/>
      <c r="E104" s="207"/>
      <c r="F104" s="207"/>
      <c r="G104" s="207"/>
      <c r="H104" s="207"/>
      <c r="I104" s="207"/>
    </row>
    <row r="105" spans="1:9" ht="15" customHeight="1" x14ac:dyDescent="0.25">
      <c r="A105" s="289" t="s">
        <v>429</v>
      </c>
      <c r="B105" s="68"/>
      <c r="C105" s="258"/>
      <c r="D105" s="688"/>
      <c r="E105" s="207"/>
      <c r="F105" s="207"/>
      <c r="G105" s="207"/>
      <c r="H105" s="207"/>
      <c r="I105" s="207"/>
    </row>
    <row r="106" spans="1:9" ht="15" customHeight="1" x14ac:dyDescent="0.25">
      <c r="A106" s="98"/>
      <c r="B106" s="68"/>
      <c r="C106" s="258"/>
      <c r="D106" s="688"/>
      <c r="E106" s="207"/>
      <c r="F106" s="207"/>
      <c r="G106" s="207"/>
      <c r="H106" s="207"/>
      <c r="I106" s="207"/>
    </row>
    <row r="107" spans="1:9" ht="15" customHeight="1" x14ac:dyDescent="0.3">
      <c r="A107" s="98">
        <v>901.01</v>
      </c>
      <c r="B107" s="265" t="s">
        <v>409</v>
      </c>
      <c r="C107" s="684">
        <v>4381.74</v>
      </c>
      <c r="D107" s="688"/>
      <c r="E107" s="207"/>
      <c r="F107" s="207"/>
      <c r="G107" s="207"/>
      <c r="H107" s="207"/>
      <c r="I107" s="207"/>
    </row>
    <row r="108" spans="1:9" ht="15" customHeight="1" x14ac:dyDescent="0.3">
      <c r="A108" s="98">
        <v>902.01</v>
      </c>
      <c r="B108" s="265" t="s">
        <v>410</v>
      </c>
      <c r="C108" s="684">
        <v>61892.83</v>
      </c>
      <c r="D108" s="688"/>
      <c r="E108" s="207"/>
      <c r="F108" s="207"/>
      <c r="G108" s="207"/>
      <c r="H108" s="207"/>
      <c r="I108" s="207"/>
    </row>
    <row r="109" spans="1:9" s="438" customFormat="1" ht="15" customHeight="1" x14ac:dyDescent="0.3">
      <c r="A109" s="98">
        <v>902.06</v>
      </c>
      <c r="B109" s="515" t="s">
        <v>888</v>
      </c>
      <c r="C109" s="684">
        <v>19710.05</v>
      </c>
      <c r="D109" s="688"/>
      <c r="E109" s="207"/>
      <c r="F109" s="207"/>
      <c r="G109" s="207"/>
      <c r="H109" s="207"/>
      <c r="I109" s="207"/>
    </row>
    <row r="110" spans="1:9" ht="15" customHeight="1" x14ac:dyDescent="0.3">
      <c r="A110" s="98">
        <v>903</v>
      </c>
      <c r="B110" s="265" t="s">
        <v>412</v>
      </c>
      <c r="C110" s="684">
        <v>118466.7</v>
      </c>
      <c r="D110" s="688"/>
      <c r="E110" s="207"/>
      <c r="F110" s="207"/>
      <c r="G110" s="207"/>
      <c r="H110" s="207"/>
      <c r="I110" s="207"/>
    </row>
    <row r="111" spans="1:9" ht="15" customHeight="1" x14ac:dyDescent="0.3">
      <c r="A111" s="98">
        <v>903.01</v>
      </c>
      <c r="B111" s="265" t="s">
        <v>413</v>
      </c>
      <c r="C111" s="684">
        <v>58941.2</v>
      </c>
      <c r="D111" s="688"/>
      <c r="E111" s="207"/>
      <c r="F111" s="207"/>
      <c r="G111" s="207"/>
      <c r="H111" s="207"/>
      <c r="I111" s="207"/>
    </row>
    <row r="112" spans="1:9" ht="15" customHeight="1" x14ac:dyDescent="0.3">
      <c r="A112" s="98">
        <v>903.02</v>
      </c>
      <c r="B112" s="265" t="s">
        <v>414</v>
      </c>
      <c r="C112" s="684">
        <v>81566.7</v>
      </c>
      <c r="D112" s="688"/>
      <c r="E112" s="207"/>
      <c r="F112" s="207"/>
      <c r="G112" s="207"/>
      <c r="H112" s="207"/>
      <c r="I112" s="207"/>
    </row>
    <row r="113" spans="1:9" ht="15" customHeight="1" x14ac:dyDescent="0.3">
      <c r="A113" s="98">
        <v>903.03</v>
      </c>
      <c r="B113" s="265" t="s">
        <v>415</v>
      </c>
      <c r="C113" s="684">
        <v>47769.88</v>
      </c>
      <c r="D113" s="688"/>
      <c r="E113" s="207"/>
      <c r="F113" s="207"/>
      <c r="G113" s="207"/>
      <c r="H113" s="207"/>
      <c r="I113" s="207"/>
    </row>
    <row r="114" spans="1:9" ht="15" customHeight="1" x14ac:dyDescent="0.3">
      <c r="A114" s="98">
        <v>903.04</v>
      </c>
      <c r="B114" s="265" t="s">
        <v>416</v>
      </c>
      <c r="C114" s="684">
        <v>2485.5</v>
      </c>
      <c r="D114" s="688"/>
      <c r="E114" s="207"/>
      <c r="F114" s="207"/>
      <c r="G114" s="207"/>
      <c r="H114" s="207"/>
      <c r="I114" s="207"/>
    </row>
    <row r="115" spans="1:9" ht="15" customHeight="1" x14ac:dyDescent="0.3">
      <c r="A115" s="98">
        <v>903.05</v>
      </c>
      <c r="B115" s="265" t="s">
        <v>417</v>
      </c>
      <c r="C115" s="684">
        <v>52099.34</v>
      </c>
      <c r="D115" s="688"/>
      <c r="E115" s="207"/>
      <c r="F115" s="207"/>
      <c r="G115" s="207"/>
      <c r="H115" s="207"/>
      <c r="I115" s="207"/>
    </row>
    <row r="116" spans="1:9" ht="15" customHeight="1" x14ac:dyDescent="0.3">
      <c r="A116" s="98">
        <v>903.06</v>
      </c>
      <c r="B116" s="265" t="s">
        <v>418</v>
      </c>
      <c r="C116" s="684">
        <v>6212.93</v>
      </c>
      <c r="D116" s="688"/>
      <c r="E116" s="207"/>
      <c r="F116" s="207"/>
      <c r="G116" s="207"/>
      <c r="H116" s="207"/>
      <c r="I116" s="207"/>
    </row>
    <row r="117" spans="1:9" ht="15" customHeight="1" x14ac:dyDescent="0.3">
      <c r="A117" s="98">
        <v>903.07</v>
      </c>
      <c r="B117" s="265" t="s">
        <v>419</v>
      </c>
      <c r="C117" s="684">
        <v>189803.72</v>
      </c>
      <c r="D117" s="688"/>
      <c r="E117" s="207"/>
      <c r="F117" s="207"/>
      <c r="G117" s="207"/>
      <c r="H117" s="207"/>
      <c r="I117" s="207"/>
    </row>
    <row r="118" spans="1:9" ht="15" customHeight="1" x14ac:dyDescent="0.25">
      <c r="A118" s="98">
        <v>903.09</v>
      </c>
      <c r="B118" s="265" t="s">
        <v>420</v>
      </c>
      <c r="C118" s="785"/>
      <c r="D118" s="688"/>
      <c r="E118" s="207"/>
      <c r="F118" s="207"/>
      <c r="G118" s="207"/>
      <c r="H118" s="207"/>
      <c r="I118" s="207"/>
    </row>
    <row r="119" spans="1:9" ht="15" customHeight="1" x14ac:dyDescent="0.3">
      <c r="A119" s="98">
        <v>903.11</v>
      </c>
      <c r="B119" s="265" t="s">
        <v>421</v>
      </c>
      <c r="C119" s="684">
        <v>14822.14</v>
      </c>
      <c r="D119" s="688"/>
      <c r="E119" s="207"/>
      <c r="F119" s="207"/>
      <c r="G119" s="207"/>
      <c r="H119" s="207"/>
      <c r="I119" s="207"/>
    </row>
    <row r="120" spans="1:9" ht="15" customHeight="1" x14ac:dyDescent="0.3">
      <c r="A120" s="98">
        <v>903.13</v>
      </c>
      <c r="B120" s="265" t="s">
        <v>422</v>
      </c>
      <c r="C120" s="684">
        <v>632.66</v>
      </c>
      <c r="D120" s="688"/>
      <c r="E120" s="207"/>
      <c r="F120" s="207"/>
      <c r="G120" s="207"/>
      <c r="H120" s="207"/>
      <c r="I120" s="207"/>
    </row>
    <row r="121" spans="1:9" ht="15" customHeight="1" x14ac:dyDescent="0.3">
      <c r="A121" s="98">
        <v>903.5</v>
      </c>
      <c r="B121" s="265" t="s">
        <v>423</v>
      </c>
      <c r="C121" s="684">
        <v>231.91</v>
      </c>
      <c r="D121" s="688"/>
      <c r="E121" s="207"/>
      <c r="F121" s="207"/>
      <c r="G121" s="207"/>
      <c r="H121" s="207"/>
      <c r="I121" s="207"/>
    </row>
    <row r="122" spans="1:9" ht="15" customHeight="1" x14ac:dyDescent="0.3">
      <c r="A122" s="98">
        <v>903.51</v>
      </c>
      <c r="B122" s="265" t="s">
        <v>424</v>
      </c>
      <c r="C122" s="684">
        <v>-181.58</v>
      </c>
      <c r="D122" s="688"/>
      <c r="E122" s="207"/>
      <c r="F122" s="207"/>
      <c r="G122" s="207"/>
      <c r="H122" s="207"/>
      <c r="I122" s="207"/>
    </row>
    <row r="123" spans="1:9" ht="15" customHeight="1" x14ac:dyDescent="0.3">
      <c r="A123" s="98">
        <v>903.53</v>
      </c>
      <c r="B123" s="265" t="s">
        <v>425</v>
      </c>
      <c r="C123" s="684">
        <v>-719.39</v>
      </c>
      <c r="D123" s="688"/>
      <c r="E123" s="207"/>
      <c r="F123" s="207"/>
      <c r="G123" s="207"/>
      <c r="H123" s="207"/>
      <c r="I123" s="207"/>
    </row>
    <row r="124" spans="1:9" ht="15" customHeight="1" x14ac:dyDescent="0.3">
      <c r="A124" s="98">
        <v>903.55</v>
      </c>
      <c r="B124" s="265" t="s">
        <v>426</v>
      </c>
      <c r="C124" s="684">
        <v>7644.56</v>
      </c>
      <c r="D124" s="688"/>
      <c r="E124" s="207"/>
      <c r="F124" s="207"/>
      <c r="G124" s="207"/>
      <c r="H124" s="207"/>
      <c r="I124" s="207"/>
    </row>
    <row r="125" spans="1:9" ht="15" customHeight="1" x14ac:dyDescent="0.3">
      <c r="A125" s="98">
        <v>904.01</v>
      </c>
      <c r="B125" s="265" t="s">
        <v>257</v>
      </c>
      <c r="C125" s="684">
        <v>-10298.75</v>
      </c>
      <c r="D125" s="688"/>
      <c r="E125" s="207"/>
      <c r="F125" s="207"/>
      <c r="G125" s="207"/>
      <c r="H125" s="207"/>
      <c r="I125" s="207"/>
    </row>
    <row r="126" spans="1:9" ht="15" customHeight="1" x14ac:dyDescent="0.3">
      <c r="A126" s="98">
        <v>905.01</v>
      </c>
      <c r="B126" s="265" t="s">
        <v>427</v>
      </c>
      <c r="C126" s="684">
        <v>74121.78</v>
      </c>
      <c r="D126" s="688"/>
      <c r="E126" s="207"/>
      <c r="F126" s="207"/>
      <c r="G126" s="207"/>
      <c r="H126" s="207"/>
      <c r="I126" s="207"/>
    </row>
    <row r="127" spans="1:9" ht="15" customHeight="1" x14ac:dyDescent="0.25">
      <c r="A127" s="98"/>
      <c r="B127" s="265" t="s">
        <v>430</v>
      </c>
      <c r="C127" s="785">
        <f>SUM(C107:C126)</f>
        <v>729583.92000000027</v>
      </c>
      <c r="D127" s="688"/>
      <c r="E127" s="207"/>
      <c r="F127" s="207"/>
      <c r="G127" s="207"/>
      <c r="H127" s="207"/>
      <c r="I127" s="207"/>
    </row>
    <row r="128" spans="1:9" s="438" customFormat="1" ht="15" customHeight="1" x14ac:dyDescent="0.25">
      <c r="A128" s="98"/>
      <c r="B128" s="68"/>
      <c r="C128" s="607"/>
      <c r="D128" s="688"/>
      <c r="E128" s="207"/>
      <c r="F128" s="207"/>
      <c r="G128" s="207"/>
      <c r="H128" s="207"/>
      <c r="I128" s="207"/>
    </row>
    <row r="129" spans="1:9" s="438" customFormat="1" ht="15" customHeight="1" x14ac:dyDescent="0.25">
      <c r="A129" s="98"/>
      <c r="B129" s="68"/>
      <c r="C129" s="607"/>
      <c r="D129" s="688"/>
      <c r="E129" s="207"/>
      <c r="F129" s="207"/>
      <c r="G129" s="207"/>
      <c r="H129" s="207"/>
      <c r="I129" s="207"/>
    </row>
    <row r="130" spans="1:9" ht="15" customHeight="1" x14ac:dyDescent="0.25">
      <c r="A130" s="289" t="s">
        <v>431</v>
      </c>
      <c r="B130" s="68"/>
      <c r="C130" s="258"/>
      <c r="D130" s="688"/>
      <c r="E130" s="207"/>
      <c r="F130" s="207"/>
      <c r="G130" s="207"/>
      <c r="H130" s="207"/>
      <c r="I130" s="207"/>
    </row>
    <row r="131" spans="1:9" ht="15" customHeight="1" x14ac:dyDescent="0.3">
      <c r="A131" s="98">
        <v>908.01</v>
      </c>
      <c r="B131" s="265" t="s">
        <v>428</v>
      </c>
      <c r="C131" s="684">
        <v>175375.49</v>
      </c>
      <c r="D131" s="688"/>
      <c r="E131" s="207"/>
      <c r="F131" s="207"/>
      <c r="G131" s="207"/>
      <c r="H131" s="207"/>
      <c r="I131" s="207"/>
    </row>
    <row r="132" spans="1:9" ht="15" customHeight="1" x14ac:dyDescent="0.3">
      <c r="A132" s="98">
        <v>908.06</v>
      </c>
      <c r="B132" s="265" t="s">
        <v>432</v>
      </c>
      <c r="C132" s="684">
        <v>-7600</v>
      </c>
      <c r="D132" s="688"/>
      <c r="E132" s="207"/>
      <c r="F132" s="207"/>
      <c r="G132" s="207"/>
      <c r="H132" s="207"/>
      <c r="I132" s="207"/>
    </row>
    <row r="133" spans="1:9" s="608" customFormat="1" ht="15" customHeight="1" x14ac:dyDescent="0.3">
      <c r="A133" s="98">
        <v>908.07</v>
      </c>
      <c r="B133" s="68" t="s">
        <v>1233</v>
      </c>
      <c r="C133" s="684">
        <v>183314.51</v>
      </c>
      <c r="D133" s="688"/>
      <c r="E133" s="207"/>
      <c r="F133" s="207"/>
      <c r="G133" s="207"/>
      <c r="H133" s="207"/>
      <c r="I133" s="207"/>
    </row>
    <row r="134" spans="1:9" ht="15" customHeight="1" x14ac:dyDescent="0.3">
      <c r="A134" s="98">
        <v>908.21</v>
      </c>
      <c r="B134" s="265" t="s">
        <v>434</v>
      </c>
      <c r="C134" s="684">
        <v>5021.3</v>
      </c>
      <c r="D134" s="688"/>
      <c r="E134" s="207"/>
      <c r="F134" s="207"/>
      <c r="G134" s="207"/>
      <c r="H134" s="207"/>
      <c r="I134" s="207"/>
    </row>
    <row r="135" spans="1:9" ht="15" customHeight="1" x14ac:dyDescent="0.3">
      <c r="A135" s="98">
        <v>908.23</v>
      </c>
      <c r="B135" s="265" t="s">
        <v>435</v>
      </c>
      <c r="C135" s="684">
        <v>10012</v>
      </c>
      <c r="D135" s="688"/>
      <c r="E135" s="207"/>
      <c r="F135" s="207"/>
      <c r="G135" s="207"/>
      <c r="H135" s="207"/>
      <c r="I135" s="207"/>
    </row>
    <row r="136" spans="1:9" s="725" customFormat="1" ht="15" customHeight="1" x14ac:dyDescent="0.3">
      <c r="A136" s="98">
        <v>908.24</v>
      </c>
      <c r="B136" s="68" t="s">
        <v>1345</v>
      </c>
      <c r="C136" s="684"/>
      <c r="D136" s="688"/>
      <c r="E136" s="207"/>
      <c r="F136" s="207"/>
      <c r="G136" s="207"/>
      <c r="H136" s="207"/>
      <c r="I136" s="207"/>
    </row>
    <row r="137" spans="1:9" ht="15" customHeight="1" x14ac:dyDescent="0.3">
      <c r="A137" s="98">
        <v>909.01</v>
      </c>
      <c r="B137" s="265" t="s">
        <v>436</v>
      </c>
      <c r="C137" s="684">
        <v>30667.69</v>
      </c>
      <c r="D137" s="688"/>
      <c r="E137" s="207"/>
      <c r="F137" s="207"/>
      <c r="G137" s="207"/>
      <c r="H137" s="207"/>
      <c r="I137" s="207"/>
    </row>
    <row r="138" spans="1:9" ht="15" customHeight="1" x14ac:dyDescent="0.25">
      <c r="A138" s="98"/>
      <c r="B138" s="265" t="s">
        <v>437</v>
      </c>
      <c r="C138" s="786">
        <f>SUM(C131:C137)</f>
        <v>396790.99</v>
      </c>
      <c r="D138" s="688"/>
      <c r="E138" s="207"/>
      <c r="F138" s="207"/>
      <c r="G138" s="207"/>
      <c r="H138" s="207"/>
      <c r="I138" s="207"/>
    </row>
    <row r="139" spans="1:9" ht="15" customHeight="1" x14ac:dyDescent="0.25">
      <c r="A139" s="98"/>
      <c r="B139" s="68"/>
      <c r="C139" s="258"/>
      <c r="D139" s="688"/>
      <c r="E139" s="207"/>
      <c r="F139" s="207"/>
      <c r="G139" s="207"/>
      <c r="H139" s="207"/>
      <c r="I139" s="207"/>
    </row>
    <row r="140" spans="1:9" ht="15" customHeight="1" x14ac:dyDescent="0.25">
      <c r="A140" s="99" t="s">
        <v>258</v>
      </c>
      <c r="B140" s="68"/>
      <c r="C140" s="258"/>
      <c r="D140" s="688"/>
      <c r="E140" s="207"/>
      <c r="F140" s="207"/>
      <c r="G140" s="207"/>
      <c r="H140" s="207"/>
      <c r="I140" s="207"/>
    </row>
    <row r="141" spans="1:9" ht="15" customHeight="1" x14ac:dyDescent="0.3">
      <c r="A141" s="98" t="s">
        <v>889</v>
      </c>
      <c r="B141" s="265" t="s">
        <v>890</v>
      </c>
      <c r="C141" s="684">
        <v>91400.18</v>
      </c>
      <c r="D141" s="688"/>
      <c r="E141" s="207"/>
      <c r="F141" s="207"/>
      <c r="G141" s="207"/>
      <c r="H141" s="207"/>
      <c r="I141" s="207"/>
    </row>
    <row r="142" spans="1:9" ht="15" customHeight="1" x14ac:dyDescent="0.3">
      <c r="A142" s="98" t="s">
        <v>891</v>
      </c>
      <c r="B142" s="265" t="s">
        <v>892</v>
      </c>
      <c r="C142" s="684">
        <v>681986.15</v>
      </c>
      <c r="D142" s="688"/>
      <c r="E142" s="207"/>
      <c r="F142" s="207"/>
      <c r="G142" s="207"/>
      <c r="H142" s="207"/>
      <c r="I142" s="207"/>
    </row>
    <row r="143" spans="1:9" s="1273" customFormat="1" ht="15" customHeight="1" x14ac:dyDescent="0.3">
      <c r="A143" s="98">
        <v>920.02</v>
      </c>
      <c r="B143" s="68" t="s">
        <v>1397</v>
      </c>
      <c r="C143" s="1038">
        <v>287.54000000000002</v>
      </c>
      <c r="D143" s="688"/>
      <c r="E143" s="207"/>
      <c r="F143" s="207"/>
      <c r="G143" s="207"/>
      <c r="H143" s="207"/>
      <c r="I143" s="207"/>
    </row>
    <row r="144" spans="1:9" s="629" customFormat="1" ht="15" customHeight="1" x14ac:dyDescent="0.3">
      <c r="A144" s="98" t="s">
        <v>1259</v>
      </c>
      <c r="B144" s="68" t="s">
        <v>1260</v>
      </c>
      <c r="C144" s="684"/>
      <c r="D144" s="688"/>
      <c r="E144" s="207"/>
      <c r="F144" s="207"/>
      <c r="G144" s="207"/>
      <c r="H144" s="207"/>
      <c r="I144" s="207"/>
    </row>
    <row r="145" spans="1:9" ht="15" customHeight="1" x14ac:dyDescent="0.3">
      <c r="A145" s="98" t="s">
        <v>893</v>
      </c>
      <c r="B145" s="265" t="s">
        <v>894</v>
      </c>
      <c r="C145" s="684">
        <v>103156.09</v>
      </c>
      <c r="D145" s="688"/>
      <c r="E145" s="207"/>
      <c r="F145" s="207"/>
      <c r="G145" s="207"/>
      <c r="H145" s="207"/>
      <c r="I145" s="207"/>
    </row>
    <row r="146" spans="1:9" ht="15" customHeight="1" x14ac:dyDescent="0.3">
      <c r="A146" s="98" t="s">
        <v>895</v>
      </c>
      <c r="B146" s="265" t="s">
        <v>896</v>
      </c>
      <c r="C146" s="684">
        <v>32655.52</v>
      </c>
      <c r="D146" s="688"/>
      <c r="E146" s="207"/>
      <c r="F146" s="207"/>
      <c r="G146" s="207"/>
      <c r="H146" s="207"/>
      <c r="I146" s="207"/>
    </row>
    <row r="147" spans="1:9" ht="15" customHeight="1" x14ac:dyDescent="0.3">
      <c r="A147" s="98" t="s">
        <v>897</v>
      </c>
      <c r="B147" s="265" t="s">
        <v>898</v>
      </c>
      <c r="C147" s="684">
        <v>168235.7</v>
      </c>
      <c r="D147" s="688"/>
      <c r="E147" s="207"/>
      <c r="F147" s="207"/>
      <c r="G147" s="207"/>
      <c r="H147" s="207"/>
      <c r="I147" s="207"/>
    </row>
    <row r="148" spans="1:9" ht="15" customHeight="1" x14ac:dyDescent="0.3">
      <c r="A148" s="98" t="s">
        <v>899</v>
      </c>
      <c r="B148" s="265" t="s">
        <v>443</v>
      </c>
      <c r="C148" s="684">
        <v>2083.0500000000002</v>
      </c>
      <c r="D148" s="688"/>
      <c r="E148" s="207"/>
      <c r="F148" s="207"/>
      <c r="G148" s="207"/>
      <c r="H148" s="207"/>
      <c r="I148" s="207"/>
    </row>
    <row r="149" spans="1:9" ht="15" customHeight="1" x14ac:dyDescent="0.3">
      <c r="A149" s="98" t="s">
        <v>900</v>
      </c>
      <c r="B149" s="265" t="s">
        <v>901</v>
      </c>
      <c r="C149" s="684">
        <v>22228.16</v>
      </c>
      <c r="D149" s="688"/>
      <c r="E149" s="207"/>
      <c r="F149" s="207"/>
      <c r="G149" s="207"/>
      <c r="H149" s="207"/>
      <c r="I149" s="207"/>
    </row>
    <row r="150" spans="1:9" s="608" customFormat="1" ht="15" customHeight="1" x14ac:dyDescent="0.25">
      <c r="A150" s="98" t="s">
        <v>1234</v>
      </c>
      <c r="B150" s="68" t="s">
        <v>1235</v>
      </c>
      <c r="C150" s="787"/>
      <c r="D150" s="688"/>
      <c r="E150" s="207"/>
      <c r="F150" s="207"/>
      <c r="G150" s="207"/>
      <c r="H150" s="207"/>
      <c r="I150" s="207"/>
    </row>
    <row r="151" spans="1:9" ht="15" customHeight="1" x14ac:dyDescent="0.3">
      <c r="A151" s="98" t="s">
        <v>902</v>
      </c>
      <c r="B151" s="265" t="s">
        <v>903</v>
      </c>
      <c r="C151" s="684">
        <v>35509.410000000003</v>
      </c>
      <c r="D151" s="688"/>
      <c r="E151" s="207"/>
      <c r="F151" s="207"/>
      <c r="G151" s="207"/>
      <c r="H151" s="207"/>
      <c r="I151" s="207"/>
    </row>
    <row r="152" spans="1:9" ht="15" customHeight="1" x14ac:dyDescent="0.3">
      <c r="A152" s="98" t="s">
        <v>904</v>
      </c>
      <c r="B152" s="265" t="s">
        <v>905</v>
      </c>
      <c r="C152" s="684">
        <v>22905.34</v>
      </c>
      <c r="D152" s="688"/>
      <c r="E152" s="207"/>
      <c r="F152" s="207"/>
      <c r="G152" s="207"/>
      <c r="H152" s="207"/>
      <c r="I152" s="207"/>
    </row>
    <row r="153" spans="1:9" ht="15" customHeight="1" x14ac:dyDescent="0.3">
      <c r="A153" s="98" t="s">
        <v>906</v>
      </c>
      <c r="B153" s="265" t="s">
        <v>907</v>
      </c>
      <c r="C153" s="684">
        <v>2820.9</v>
      </c>
      <c r="D153" s="688"/>
      <c r="E153" s="207"/>
      <c r="F153" s="207"/>
      <c r="G153" s="207"/>
      <c r="H153" s="207"/>
      <c r="I153" s="207"/>
    </row>
    <row r="154" spans="1:9" ht="15" customHeight="1" x14ac:dyDescent="0.3">
      <c r="A154" s="98" t="s">
        <v>908</v>
      </c>
      <c r="B154" s="265" t="s">
        <v>446</v>
      </c>
      <c r="C154" s="684">
        <v>29396.12</v>
      </c>
      <c r="D154" s="688"/>
      <c r="E154" s="207"/>
      <c r="F154" s="207"/>
      <c r="G154" s="207"/>
      <c r="H154" s="207"/>
      <c r="I154" s="207"/>
    </row>
    <row r="155" spans="1:9" ht="15" customHeight="1" x14ac:dyDescent="0.25">
      <c r="A155" s="98" t="s">
        <v>909</v>
      </c>
      <c r="B155" s="265" t="s">
        <v>910</v>
      </c>
      <c r="C155" s="787">
        <v>249.78</v>
      </c>
      <c r="D155" s="688"/>
      <c r="E155" s="207"/>
      <c r="F155" s="207"/>
      <c r="G155" s="207"/>
      <c r="H155" s="207"/>
      <c r="I155" s="207"/>
    </row>
    <row r="156" spans="1:9" ht="15" customHeight="1" x14ac:dyDescent="0.25">
      <c r="A156" s="98" t="s">
        <v>911</v>
      </c>
      <c r="B156" s="265" t="s">
        <v>912</v>
      </c>
      <c r="C156" s="787">
        <v>981.67</v>
      </c>
      <c r="D156" s="688"/>
      <c r="E156" s="207"/>
      <c r="F156" s="207"/>
      <c r="G156" s="207"/>
      <c r="H156" s="207"/>
      <c r="I156" s="207"/>
    </row>
    <row r="157" spans="1:9" ht="15" customHeight="1" x14ac:dyDescent="0.3">
      <c r="A157" s="98" t="s">
        <v>913</v>
      </c>
      <c r="B157" s="265" t="s">
        <v>914</v>
      </c>
      <c r="C157" s="684">
        <v>40295</v>
      </c>
      <c r="D157" s="688"/>
      <c r="E157" s="207"/>
      <c r="F157" s="207"/>
      <c r="G157" s="207"/>
      <c r="H157" s="207"/>
      <c r="I157" s="207"/>
    </row>
    <row r="158" spans="1:9" ht="15" customHeight="1" x14ac:dyDescent="0.3">
      <c r="A158" s="98" t="s">
        <v>915</v>
      </c>
      <c r="B158" s="265" t="s">
        <v>449</v>
      </c>
      <c r="C158" s="684">
        <v>86423.14</v>
      </c>
      <c r="D158" s="688"/>
      <c r="E158" s="207"/>
      <c r="F158" s="207"/>
      <c r="G158" s="207"/>
      <c r="H158" s="207"/>
      <c r="I158" s="207"/>
    </row>
    <row r="159" spans="1:9" ht="15" customHeight="1" x14ac:dyDescent="0.3">
      <c r="A159" s="98" t="s">
        <v>916</v>
      </c>
      <c r="B159" s="265" t="s">
        <v>450</v>
      </c>
      <c r="C159" s="684">
        <v>17512.5</v>
      </c>
      <c r="D159" s="688"/>
      <c r="E159" s="207"/>
      <c r="F159" s="207"/>
      <c r="G159" s="207"/>
      <c r="H159" s="207"/>
      <c r="I159" s="207"/>
    </row>
    <row r="160" spans="1:9" ht="15" customHeight="1" x14ac:dyDescent="0.3">
      <c r="A160" s="98" t="s">
        <v>917</v>
      </c>
      <c r="B160" s="265" t="s">
        <v>918</v>
      </c>
      <c r="C160" s="684">
        <v>7999.92</v>
      </c>
      <c r="D160" s="688"/>
      <c r="E160" s="207"/>
      <c r="F160" s="207"/>
      <c r="G160" s="207"/>
      <c r="H160" s="207"/>
      <c r="I160" s="207"/>
    </row>
    <row r="161" spans="1:9" ht="15" customHeight="1" x14ac:dyDescent="0.3">
      <c r="A161" s="98" t="s">
        <v>919</v>
      </c>
      <c r="B161" s="265" t="s">
        <v>451</v>
      </c>
      <c r="C161" s="684">
        <v>14988</v>
      </c>
      <c r="D161" s="688"/>
      <c r="E161" s="207"/>
      <c r="F161" s="207"/>
      <c r="G161" s="207"/>
      <c r="H161" s="207"/>
      <c r="I161" s="207"/>
    </row>
    <row r="162" spans="1:9" ht="15" customHeight="1" x14ac:dyDescent="0.3">
      <c r="A162" s="98" t="s">
        <v>920</v>
      </c>
      <c r="B162" s="265" t="s">
        <v>921</v>
      </c>
      <c r="C162" s="684">
        <v>18697.02</v>
      </c>
      <c r="D162" s="688"/>
      <c r="E162" s="207"/>
      <c r="F162" s="207"/>
      <c r="G162" s="207"/>
      <c r="H162" s="207"/>
      <c r="I162" s="207"/>
    </row>
    <row r="163" spans="1:9" ht="15" customHeight="1" x14ac:dyDescent="0.3">
      <c r="A163" s="98" t="s">
        <v>922</v>
      </c>
      <c r="B163" s="265" t="s">
        <v>923</v>
      </c>
      <c r="C163" s="684">
        <v>7936.66</v>
      </c>
      <c r="D163" s="688"/>
      <c r="E163" s="207"/>
      <c r="F163" s="207"/>
      <c r="G163" s="207"/>
      <c r="H163" s="207"/>
      <c r="I163" s="207"/>
    </row>
    <row r="164" spans="1:9" ht="15" customHeight="1" x14ac:dyDescent="0.3">
      <c r="A164" s="98" t="s">
        <v>924</v>
      </c>
      <c r="B164" s="265" t="s">
        <v>765</v>
      </c>
      <c r="C164" s="684">
        <v>20123.580000000002</v>
      </c>
      <c r="D164" s="688"/>
      <c r="E164" s="207"/>
      <c r="F164" s="207"/>
      <c r="G164" s="207"/>
      <c r="H164" s="207"/>
      <c r="I164" s="207"/>
    </row>
    <row r="165" spans="1:9" s="1273" customFormat="1" ht="15" customHeight="1" x14ac:dyDescent="0.3">
      <c r="A165" s="98">
        <v>926.06</v>
      </c>
      <c r="B165" s="68" t="s">
        <v>1398</v>
      </c>
      <c r="C165" s="1038">
        <v>-5073.72</v>
      </c>
      <c r="D165" s="688"/>
      <c r="E165" s="207"/>
      <c r="F165" s="207"/>
      <c r="G165" s="207"/>
      <c r="H165" s="207"/>
      <c r="I165" s="207"/>
    </row>
    <row r="166" spans="1:9" ht="15" customHeight="1" x14ac:dyDescent="0.3">
      <c r="A166" s="98" t="s">
        <v>925</v>
      </c>
      <c r="B166" s="265" t="s">
        <v>453</v>
      </c>
      <c r="C166" s="1038">
        <v>1112.71</v>
      </c>
      <c r="D166" s="688"/>
      <c r="E166" s="207"/>
      <c r="F166" s="207"/>
      <c r="G166" s="207"/>
      <c r="H166" s="207"/>
      <c r="I166" s="207"/>
    </row>
    <row r="167" spans="1:9" s="543" customFormat="1" ht="15" customHeight="1" x14ac:dyDescent="0.3">
      <c r="A167" s="98">
        <v>928.05</v>
      </c>
      <c r="B167" s="68" t="s">
        <v>865</v>
      </c>
      <c r="C167" s="684">
        <v>3484.29</v>
      </c>
      <c r="D167" s="688"/>
      <c r="E167" s="207"/>
      <c r="F167" s="207"/>
      <c r="G167" s="207"/>
      <c r="H167" s="207"/>
      <c r="I167" s="207"/>
    </row>
    <row r="168" spans="1:9" ht="15" customHeight="1" x14ac:dyDescent="0.3">
      <c r="A168" s="98" t="s">
        <v>926</v>
      </c>
      <c r="B168" s="265" t="s">
        <v>927</v>
      </c>
      <c r="C168" s="684"/>
      <c r="D168" s="688"/>
      <c r="E168" s="207"/>
      <c r="F168" s="207"/>
      <c r="G168" s="207"/>
      <c r="H168" s="207"/>
      <c r="I168" s="207"/>
    </row>
    <row r="169" spans="1:9" ht="15" customHeight="1" x14ac:dyDescent="0.25">
      <c r="A169" s="98" t="s">
        <v>928</v>
      </c>
      <c r="B169" s="265" t="s">
        <v>860</v>
      </c>
      <c r="C169" s="787"/>
      <c r="D169" s="688"/>
      <c r="E169" s="207"/>
      <c r="F169" s="207"/>
      <c r="G169" s="207"/>
      <c r="H169" s="207"/>
      <c r="I169" s="207"/>
    </row>
    <row r="170" spans="1:9" ht="15" customHeight="1" x14ac:dyDescent="0.3">
      <c r="A170" s="98" t="s">
        <v>929</v>
      </c>
      <c r="B170" s="265" t="s">
        <v>930</v>
      </c>
      <c r="C170" s="684">
        <v>-35861.1</v>
      </c>
      <c r="D170" s="688"/>
      <c r="E170" s="207"/>
      <c r="F170" s="207"/>
      <c r="G170" s="207"/>
      <c r="H170" s="207"/>
      <c r="I170" s="207"/>
    </row>
    <row r="171" spans="1:9" ht="15" customHeight="1" x14ac:dyDescent="0.3">
      <c r="A171" s="98" t="s">
        <v>931</v>
      </c>
      <c r="B171" s="265" t="s">
        <v>455</v>
      </c>
      <c r="C171" s="684">
        <v>4822.24</v>
      </c>
      <c r="D171" s="688"/>
      <c r="E171" s="207"/>
      <c r="F171" s="207"/>
      <c r="G171" s="207"/>
      <c r="H171" s="207"/>
      <c r="I171" s="207"/>
    </row>
    <row r="172" spans="1:9" ht="15" customHeight="1" x14ac:dyDescent="0.3">
      <c r="A172" s="98" t="s">
        <v>932</v>
      </c>
      <c r="B172" s="265" t="s">
        <v>933</v>
      </c>
      <c r="C172" s="684">
        <v>27406.720000000001</v>
      </c>
      <c r="D172" s="688"/>
      <c r="E172" s="207"/>
      <c r="F172" s="207"/>
      <c r="G172" s="207"/>
      <c r="H172" s="207"/>
      <c r="I172" s="207"/>
    </row>
    <row r="173" spans="1:9" ht="15" customHeight="1" x14ac:dyDescent="0.3">
      <c r="A173" s="98" t="s">
        <v>934</v>
      </c>
      <c r="B173" s="265" t="s">
        <v>454</v>
      </c>
      <c r="C173" s="684">
        <v>12829.91</v>
      </c>
      <c r="D173" s="688"/>
      <c r="E173" s="207"/>
      <c r="F173" s="207"/>
      <c r="G173" s="207"/>
      <c r="H173" s="207"/>
      <c r="I173" s="207"/>
    </row>
    <row r="174" spans="1:9" s="1273" customFormat="1" ht="15" customHeight="1" x14ac:dyDescent="0.3">
      <c r="A174" s="98">
        <v>930.05</v>
      </c>
      <c r="B174" s="68" t="s">
        <v>1399</v>
      </c>
      <c r="C174" s="1038">
        <v>1769.6</v>
      </c>
      <c r="D174" s="688"/>
      <c r="E174" s="207"/>
      <c r="F174" s="207"/>
      <c r="G174" s="207"/>
      <c r="H174" s="207"/>
      <c r="I174" s="207"/>
    </row>
    <row r="175" spans="1:9" ht="15" customHeight="1" x14ac:dyDescent="0.3">
      <c r="A175" s="98" t="s">
        <v>935</v>
      </c>
      <c r="B175" s="265" t="s">
        <v>936</v>
      </c>
      <c r="C175" s="684">
        <v>10790.84</v>
      </c>
      <c r="D175" s="688"/>
      <c r="E175" s="207"/>
      <c r="F175" s="207"/>
      <c r="G175" s="207"/>
      <c r="H175" s="207"/>
      <c r="I175" s="207"/>
    </row>
    <row r="176" spans="1:9" ht="15" customHeight="1" x14ac:dyDescent="0.3">
      <c r="A176" s="98" t="s">
        <v>937</v>
      </c>
      <c r="B176" s="265" t="s">
        <v>938</v>
      </c>
      <c r="C176" s="684">
        <v>50</v>
      </c>
      <c r="D176" s="688"/>
      <c r="E176" s="207"/>
      <c r="F176" s="207"/>
      <c r="G176" s="207"/>
      <c r="H176" s="207"/>
      <c r="I176" s="207"/>
    </row>
    <row r="177" spans="1:9" ht="15" customHeight="1" x14ac:dyDescent="0.3">
      <c r="A177" s="98" t="s">
        <v>939</v>
      </c>
      <c r="B177" s="265" t="s">
        <v>940</v>
      </c>
      <c r="C177" s="684">
        <v>1311.88</v>
      </c>
      <c r="D177" s="688"/>
      <c r="E177" s="207"/>
      <c r="F177" s="207"/>
      <c r="G177" s="207"/>
      <c r="H177" s="207"/>
      <c r="I177" s="207"/>
    </row>
    <row r="178" spans="1:9" ht="15" customHeight="1" x14ac:dyDescent="0.3">
      <c r="A178" s="98" t="s">
        <v>941</v>
      </c>
      <c r="B178" s="265" t="s">
        <v>942</v>
      </c>
      <c r="C178" s="684">
        <v>6748</v>
      </c>
      <c r="D178" s="688"/>
      <c r="E178" s="207"/>
      <c r="F178" s="207"/>
      <c r="G178" s="207"/>
      <c r="H178" s="207"/>
      <c r="I178" s="207"/>
    </row>
    <row r="179" spans="1:9" ht="15" customHeight="1" x14ac:dyDescent="0.3">
      <c r="A179" s="98" t="s">
        <v>943</v>
      </c>
      <c r="B179" s="265" t="s">
        <v>944</v>
      </c>
      <c r="C179" s="684">
        <v>19971.3</v>
      </c>
      <c r="D179" s="688"/>
      <c r="E179" s="207"/>
      <c r="F179" s="207"/>
      <c r="G179" s="207"/>
      <c r="H179" s="207"/>
      <c r="I179" s="207"/>
    </row>
    <row r="180" spans="1:9" ht="15" customHeight="1" x14ac:dyDescent="0.3">
      <c r="A180" s="98" t="s">
        <v>945</v>
      </c>
      <c r="B180" s="265" t="s">
        <v>946</v>
      </c>
      <c r="C180" s="684">
        <v>12757.52</v>
      </c>
      <c r="D180" s="688"/>
      <c r="E180" s="207"/>
      <c r="F180" s="207"/>
      <c r="G180" s="207"/>
      <c r="H180" s="207"/>
      <c r="I180" s="207"/>
    </row>
    <row r="181" spans="1:9" ht="15" customHeight="1" x14ac:dyDescent="0.3">
      <c r="A181" s="98" t="s">
        <v>947</v>
      </c>
      <c r="B181" s="265" t="s">
        <v>948</v>
      </c>
      <c r="C181" s="684">
        <v>11024.35</v>
      </c>
      <c r="D181" s="688"/>
      <c r="E181" s="207"/>
      <c r="F181" s="207"/>
      <c r="G181" s="207"/>
      <c r="H181" s="207"/>
      <c r="I181" s="207"/>
    </row>
    <row r="182" spans="1:9" s="608" customFormat="1" ht="15" customHeight="1" x14ac:dyDescent="0.3">
      <c r="A182" s="98">
        <v>930.26</v>
      </c>
      <c r="B182" s="68" t="s">
        <v>1236</v>
      </c>
      <c r="C182" s="684"/>
      <c r="D182" s="688"/>
      <c r="E182" s="207"/>
      <c r="F182" s="207"/>
      <c r="G182" s="207"/>
      <c r="H182" s="207"/>
      <c r="I182" s="207"/>
    </row>
    <row r="183" spans="1:9" ht="15" customHeight="1" x14ac:dyDescent="0.3">
      <c r="A183" s="98" t="s">
        <v>949</v>
      </c>
      <c r="B183" s="265" t="s">
        <v>458</v>
      </c>
      <c r="C183" s="684">
        <v>31930.959999999999</v>
      </c>
      <c r="D183" s="688"/>
      <c r="E183" s="207"/>
      <c r="F183" s="207"/>
      <c r="G183" s="207"/>
      <c r="H183" s="207"/>
      <c r="I183" s="207"/>
    </row>
    <row r="184" spans="1:9" ht="15" customHeight="1" x14ac:dyDescent="0.3">
      <c r="A184" s="98" t="s">
        <v>950</v>
      </c>
      <c r="B184" s="265" t="s">
        <v>459</v>
      </c>
      <c r="C184" s="684">
        <v>73180.13</v>
      </c>
      <c r="D184" s="688"/>
      <c r="E184" s="207"/>
      <c r="F184" s="207"/>
      <c r="G184" s="207"/>
      <c r="H184" s="207"/>
      <c r="I184" s="207"/>
    </row>
    <row r="185" spans="1:9" ht="15" customHeight="1" x14ac:dyDescent="0.25">
      <c r="A185" s="98" t="s">
        <v>951</v>
      </c>
      <c r="B185" s="265" t="s">
        <v>460</v>
      </c>
      <c r="C185" s="787"/>
      <c r="D185" s="688"/>
      <c r="E185" s="207"/>
      <c r="F185" s="207"/>
      <c r="G185" s="207"/>
      <c r="H185" s="207"/>
      <c r="I185" s="207"/>
    </row>
    <row r="186" spans="1:9" ht="15" customHeight="1" x14ac:dyDescent="0.3">
      <c r="A186" s="98" t="s">
        <v>952</v>
      </c>
      <c r="B186" s="265" t="s">
        <v>461</v>
      </c>
      <c r="C186" s="684">
        <v>2082.33</v>
      </c>
      <c r="D186" s="688"/>
      <c r="E186" s="207"/>
      <c r="F186" s="207"/>
      <c r="G186" s="207"/>
      <c r="H186" s="207"/>
      <c r="I186" s="207"/>
    </row>
    <row r="187" spans="1:9" ht="15" customHeight="1" x14ac:dyDescent="0.25">
      <c r="A187" s="98"/>
      <c r="B187" s="68" t="s">
        <v>259</v>
      </c>
      <c r="C187" s="759">
        <f>SUM(C141:C186)</f>
        <v>1588209.3900000001</v>
      </c>
      <c r="D187" s="688"/>
      <c r="E187" s="207"/>
      <c r="F187" s="207"/>
      <c r="G187" s="207"/>
      <c r="H187" s="207"/>
      <c r="I187" s="207"/>
    </row>
    <row r="188" spans="1:9" ht="15" customHeight="1" x14ac:dyDescent="0.25">
      <c r="A188" s="98"/>
      <c r="B188" s="68"/>
      <c r="C188" s="290"/>
      <c r="D188" s="688"/>
      <c r="E188" s="207"/>
      <c r="F188" s="207"/>
      <c r="G188" s="207"/>
      <c r="H188" s="207"/>
      <c r="I188" s="207"/>
    </row>
    <row r="189" spans="1:9" ht="15" customHeight="1" x14ac:dyDescent="0.25">
      <c r="A189" s="99" t="s">
        <v>260</v>
      </c>
      <c r="B189" s="68"/>
      <c r="C189" s="759">
        <f>C42+C54+C78+C103+C127+C138+C33+C187</f>
        <v>17301083.300000001</v>
      </c>
      <c r="D189" s="688"/>
      <c r="E189" s="207"/>
      <c r="F189" s="207"/>
      <c r="G189" s="207"/>
      <c r="H189" s="207"/>
      <c r="I189" s="207"/>
    </row>
    <row r="190" spans="1:9" ht="15" customHeight="1" x14ac:dyDescent="0.25">
      <c r="A190" s="98"/>
      <c r="B190" s="68"/>
      <c r="C190" s="258"/>
      <c r="D190" s="688"/>
      <c r="E190" s="207"/>
      <c r="F190" s="207"/>
      <c r="G190" s="207"/>
      <c r="H190" s="207"/>
      <c r="I190" s="207"/>
    </row>
    <row r="191" spans="1:9" ht="15" customHeight="1" x14ac:dyDescent="0.25">
      <c r="A191" s="99" t="s">
        <v>261</v>
      </c>
      <c r="B191" s="68"/>
      <c r="C191" s="258"/>
      <c r="D191" s="688"/>
      <c r="E191" s="207"/>
      <c r="F191" s="207"/>
      <c r="G191" s="207"/>
      <c r="H191" s="207"/>
      <c r="I191" s="207"/>
    </row>
    <row r="192" spans="1:9" ht="15" customHeight="1" x14ac:dyDescent="0.25">
      <c r="A192" s="98"/>
      <c r="B192" s="68"/>
      <c r="C192" s="258"/>
      <c r="D192" s="688"/>
      <c r="E192" s="207"/>
      <c r="F192" s="207"/>
      <c r="G192" s="207"/>
      <c r="H192" s="207"/>
      <c r="I192" s="207"/>
    </row>
    <row r="193" spans="1:9" ht="15" customHeight="1" x14ac:dyDescent="0.3">
      <c r="A193" s="98">
        <v>403.03</v>
      </c>
      <c r="B193" s="265" t="s">
        <v>462</v>
      </c>
      <c r="C193" s="684">
        <v>510772.68</v>
      </c>
      <c r="D193" s="688"/>
      <c r="E193" s="207"/>
      <c r="F193" s="207"/>
      <c r="G193" s="207"/>
      <c r="H193" s="207"/>
      <c r="I193" s="207"/>
    </row>
    <row r="194" spans="1:9" ht="15" customHeight="1" x14ac:dyDescent="0.3">
      <c r="A194" s="98">
        <v>403.04</v>
      </c>
      <c r="B194" s="265" t="s">
        <v>463</v>
      </c>
      <c r="C194" s="684">
        <v>73612.92</v>
      </c>
      <c r="D194" s="688"/>
      <c r="E194" s="207"/>
      <c r="F194" s="207"/>
      <c r="G194" s="207"/>
      <c r="H194" s="207"/>
      <c r="I194" s="207"/>
    </row>
    <row r="195" spans="1:9" ht="15" customHeight="1" x14ac:dyDescent="0.3">
      <c r="A195" s="98">
        <v>403.05</v>
      </c>
      <c r="B195" s="265" t="s">
        <v>464</v>
      </c>
      <c r="C195" s="684">
        <v>75924.36</v>
      </c>
      <c r="D195" s="688"/>
      <c r="E195" s="207"/>
      <c r="F195" s="207"/>
      <c r="G195" s="207"/>
      <c r="H195" s="207"/>
      <c r="I195" s="207"/>
    </row>
    <row r="196" spans="1:9" ht="15" customHeight="1" x14ac:dyDescent="0.3">
      <c r="A196" s="98">
        <v>403.06</v>
      </c>
      <c r="B196" s="68" t="s">
        <v>953</v>
      </c>
      <c r="C196" s="684">
        <v>1686146.44</v>
      </c>
      <c r="D196" s="688"/>
      <c r="E196" s="207"/>
      <c r="F196" s="207"/>
      <c r="G196" s="207"/>
      <c r="H196" s="207"/>
      <c r="I196" s="207"/>
    </row>
    <row r="197" spans="1:9" ht="15" customHeight="1" x14ac:dyDescent="0.3">
      <c r="A197" s="98">
        <v>403.07</v>
      </c>
      <c r="B197" s="68" t="s">
        <v>954</v>
      </c>
      <c r="C197" s="684">
        <v>98118.06</v>
      </c>
      <c r="D197" s="688"/>
      <c r="E197" s="207"/>
      <c r="F197" s="207"/>
      <c r="G197" s="207"/>
      <c r="H197" s="207"/>
      <c r="I197" s="207"/>
    </row>
    <row r="198" spans="1:9" ht="15" customHeight="1" x14ac:dyDescent="0.25">
      <c r="A198" s="98"/>
      <c r="B198" s="68" t="s">
        <v>283</v>
      </c>
      <c r="C198" s="759">
        <f>SUM(C193:C197)</f>
        <v>2444574.46</v>
      </c>
      <c r="D198" s="688"/>
      <c r="E198" s="207"/>
      <c r="F198" s="207"/>
      <c r="G198" s="207"/>
      <c r="H198" s="207"/>
      <c r="I198" s="207"/>
    </row>
    <row r="199" spans="1:9" ht="15" customHeight="1" x14ac:dyDescent="0.25">
      <c r="A199" s="98"/>
      <c r="B199" s="68"/>
      <c r="C199" s="258"/>
      <c r="D199" s="688"/>
      <c r="E199" s="207"/>
      <c r="F199" s="207"/>
      <c r="G199" s="207"/>
      <c r="H199" s="207"/>
      <c r="I199" s="207"/>
    </row>
    <row r="200" spans="1:9" ht="15" customHeight="1" x14ac:dyDescent="0.25">
      <c r="A200" s="98"/>
      <c r="B200" s="68"/>
      <c r="C200" s="258"/>
      <c r="D200" s="688"/>
      <c r="E200" s="207"/>
      <c r="F200" s="207"/>
      <c r="G200" s="207"/>
      <c r="H200" s="207"/>
      <c r="I200" s="207"/>
    </row>
    <row r="201" spans="1:9" ht="15" customHeight="1" x14ac:dyDescent="0.25">
      <c r="A201" s="99" t="s">
        <v>284</v>
      </c>
      <c r="B201" s="68"/>
      <c r="C201" s="258"/>
      <c r="D201" s="688"/>
      <c r="E201" s="207"/>
      <c r="F201" s="207"/>
      <c r="G201" s="207"/>
      <c r="H201" s="207"/>
      <c r="I201" s="207"/>
    </row>
    <row r="202" spans="1:9" ht="15" customHeight="1" x14ac:dyDescent="0.25">
      <c r="A202" s="98"/>
      <c r="B202" s="68"/>
      <c r="C202" s="258"/>
      <c r="D202" s="688"/>
      <c r="E202" s="207"/>
      <c r="F202" s="207"/>
      <c r="G202" s="207"/>
      <c r="H202" s="207"/>
      <c r="I202" s="207"/>
    </row>
    <row r="203" spans="1:9" ht="15" customHeight="1" x14ac:dyDescent="0.3">
      <c r="A203" s="98">
        <v>408.5</v>
      </c>
      <c r="B203" s="265" t="s">
        <v>465</v>
      </c>
      <c r="C203" s="684">
        <v>85338.22</v>
      </c>
      <c r="D203" s="688"/>
      <c r="E203" s="207"/>
      <c r="F203" s="207"/>
      <c r="G203" s="207"/>
      <c r="H203" s="207"/>
      <c r="I203" s="207"/>
    </row>
    <row r="204" spans="1:9" ht="15" customHeight="1" x14ac:dyDescent="0.3">
      <c r="A204" s="98">
        <v>408.6</v>
      </c>
      <c r="B204" s="68" t="s">
        <v>285</v>
      </c>
      <c r="C204" s="684">
        <v>103791.46</v>
      </c>
      <c r="D204" s="688"/>
      <c r="E204" s="207"/>
      <c r="F204" s="207"/>
      <c r="G204" s="207"/>
      <c r="H204" s="207"/>
      <c r="I204" s="207"/>
    </row>
    <row r="205" spans="1:9" ht="15" customHeight="1" x14ac:dyDescent="0.25">
      <c r="A205" s="98"/>
      <c r="B205" s="68" t="s">
        <v>108</v>
      </c>
      <c r="C205" s="759">
        <f>SUM(C203:C204)</f>
        <v>189129.68</v>
      </c>
      <c r="D205" s="688"/>
      <c r="E205" s="207"/>
      <c r="F205" s="207"/>
      <c r="G205" s="207"/>
      <c r="H205" s="207"/>
      <c r="I205" s="207"/>
    </row>
    <row r="206" spans="1:9" ht="15" customHeight="1" x14ac:dyDescent="0.25">
      <c r="A206" s="98"/>
      <c r="B206" s="68"/>
      <c r="C206" s="290"/>
      <c r="D206" s="688"/>
      <c r="E206" s="207"/>
      <c r="F206" s="207"/>
      <c r="G206" s="207"/>
      <c r="H206" s="207"/>
      <c r="I206" s="207"/>
    </row>
    <row r="207" spans="1:9" ht="15" customHeight="1" x14ac:dyDescent="0.25">
      <c r="A207" s="99" t="s">
        <v>286</v>
      </c>
      <c r="B207" s="68"/>
      <c r="C207" s="258"/>
      <c r="D207" s="688"/>
      <c r="E207" s="207"/>
      <c r="F207" s="207"/>
      <c r="G207" s="207"/>
      <c r="H207" s="207"/>
      <c r="I207" s="207"/>
    </row>
    <row r="208" spans="1:9" ht="15" customHeight="1" x14ac:dyDescent="0.25">
      <c r="A208" s="98"/>
      <c r="B208" s="68"/>
      <c r="C208" s="258"/>
      <c r="D208" s="688"/>
      <c r="E208" s="207"/>
      <c r="F208" s="207"/>
      <c r="G208" s="207"/>
      <c r="H208" s="207"/>
      <c r="I208" s="207"/>
    </row>
    <row r="209" spans="1:9" ht="15" customHeight="1" x14ac:dyDescent="0.3">
      <c r="A209" s="98">
        <v>427.02</v>
      </c>
      <c r="B209" s="265" t="s">
        <v>466</v>
      </c>
      <c r="C209" s="684">
        <v>356024.56</v>
      </c>
      <c r="D209" s="688"/>
      <c r="E209" s="207"/>
      <c r="F209" s="207"/>
      <c r="G209" s="207"/>
      <c r="H209" s="207"/>
      <c r="I209" s="207"/>
    </row>
    <row r="210" spans="1:9" ht="15" customHeight="1" x14ac:dyDescent="0.3">
      <c r="A210" s="98">
        <v>427.03</v>
      </c>
      <c r="B210" s="265" t="s">
        <v>467</v>
      </c>
      <c r="C210" s="684">
        <v>600232.05000000005</v>
      </c>
      <c r="D210" s="688"/>
      <c r="E210" s="207"/>
      <c r="F210" s="207"/>
      <c r="G210" s="207"/>
      <c r="H210" s="207"/>
      <c r="I210" s="207"/>
    </row>
    <row r="211" spans="1:9" ht="15" customHeight="1" x14ac:dyDescent="0.3">
      <c r="A211" s="98">
        <v>427.04</v>
      </c>
      <c r="B211" s="265" t="s">
        <v>468</v>
      </c>
      <c r="C211" s="684">
        <v>237410.71</v>
      </c>
      <c r="D211" s="688"/>
      <c r="E211" s="207"/>
      <c r="F211" s="207"/>
      <c r="G211" s="207"/>
      <c r="H211" s="207"/>
      <c r="I211" s="207"/>
    </row>
    <row r="212" spans="1:9" ht="15" customHeight="1" x14ac:dyDescent="0.3">
      <c r="A212" s="98">
        <v>427.05</v>
      </c>
      <c r="B212" s="265" t="s">
        <v>469</v>
      </c>
      <c r="C212" s="684">
        <v>12631.29</v>
      </c>
      <c r="D212" s="688"/>
      <c r="E212" s="207"/>
      <c r="F212" s="207"/>
      <c r="G212" s="207"/>
      <c r="H212" s="207"/>
      <c r="I212" s="207"/>
    </row>
    <row r="213" spans="1:9" ht="15" customHeight="1" x14ac:dyDescent="0.25">
      <c r="A213" s="98"/>
      <c r="B213" s="68" t="s">
        <v>287</v>
      </c>
      <c r="C213" s="759">
        <f>SUM(C209:C212)</f>
        <v>1206298.6100000001</v>
      </c>
      <c r="D213" s="688"/>
      <c r="E213" s="207"/>
      <c r="F213" s="207"/>
      <c r="G213" s="207"/>
      <c r="H213" s="207"/>
      <c r="I213" s="207"/>
    </row>
    <row r="214" spans="1:9" ht="15" customHeight="1" x14ac:dyDescent="0.25">
      <c r="A214" s="98"/>
      <c r="B214" s="68"/>
      <c r="C214" s="258"/>
      <c r="D214" s="688"/>
      <c r="E214" s="207"/>
      <c r="F214" s="207"/>
      <c r="G214" s="207"/>
      <c r="H214" s="207"/>
      <c r="I214" s="207"/>
    </row>
    <row r="215" spans="1:9" ht="15" customHeight="1" x14ac:dyDescent="0.25">
      <c r="A215" s="99" t="s">
        <v>288</v>
      </c>
      <c r="B215" s="68"/>
      <c r="C215" s="258"/>
      <c r="D215" s="688"/>
      <c r="E215" s="207"/>
      <c r="F215" s="207"/>
      <c r="G215" s="207"/>
      <c r="H215" s="207"/>
      <c r="I215" s="207"/>
    </row>
    <row r="216" spans="1:9" ht="15" customHeight="1" x14ac:dyDescent="0.25">
      <c r="A216" s="98"/>
      <c r="B216" s="68"/>
      <c r="C216" s="258"/>
      <c r="D216" s="688"/>
      <c r="E216" s="207"/>
      <c r="F216" s="207"/>
      <c r="G216" s="207"/>
      <c r="H216" s="207"/>
      <c r="I216" s="207"/>
    </row>
    <row r="217" spans="1:9" ht="15" customHeight="1" x14ac:dyDescent="0.3">
      <c r="A217" s="98">
        <v>431.01</v>
      </c>
      <c r="B217" s="265" t="s">
        <v>470</v>
      </c>
      <c r="C217" s="684"/>
      <c r="D217" s="688"/>
      <c r="E217" s="207"/>
      <c r="F217" s="207"/>
      <c r="G217" s="207"/>
      <c r="H217" s="207"/>
      <c r="I217" s="207"/>
    </row>
    <row r="218" spans="1:9" ht="15" customHeight="1" x14ac:dyDescent="0.3">
      <c r="A218" s="98">
        <v>431.03</v>
      </c>
      <c r="B218" s="265" t="s">
        <v>471</v>
      </c>
      <c r="C218" s="684">
        <v>4405.8999999999996</v>
      </c>
      <c r="D218" s="688"/>
      <c r="E218" s="207"/>
      <c r="F218" s="207"/>
      <c r="G218" s="207"/>
      <c r="H218" s="207"/>
      <c r="I218" s="207"/>
    </row>
    <row r="219" spans="1:9" ht="15" customHeight="1" x14ac:dyDescent="0.25">
      <c r="A219" s="98"/>
      <c r="B219" s="68" t="s">
        <v>289</v>
      </c>
      <c r="C219" s="759">
        <f>SUM(C217:C218)</f>
        <v>4405.8999999999996</v>
      </c>
      <c r="D219" s="688"/>
      <c r="E219" s="207"/>
      <c r="F219" s="207"/>
      <c r="G219" s="207"/>
      <c r="H219" s="207"/>
      <c r="I219" s="207"/>
    </row>
    <row r="220" spans="1:9" ht="15" customHeight="1" x14ac:dyDescent="0.25">
      <c r="A220" s="98"/>
      <c r="B220" s="68"/>
      <c r="C220" s="290"/>
      <c r="D220" s="688"/>
      <c r="E220" s="207"/>
      <c r="F220" s="207"/>
      <c r="G220" s="207"/>
      <c r="H220" s="207"/>
      <c r="I220" s="207"/>
    </row>
    <row r="221" spans="1:9" ht="15" customHeight="1" x14ac:dyDescent="0.25">
      <c r="A221" s="99" t="s">
        <v>231</v>
      </c>
      <c r="B221" s="68"/>
      <c r="C221" s="258"/>
      <c r="D221" s="688"/>
      <c r="E221" s="207"/>
      <c r="F221" s="207"/>
      <c r="G221" s="207"/>
      <c r="H221" s="207"/>
      <c r="I221" s="207"/>
    </row>
    <row r="222" spans="1:9" ht="15" customHeight="1" x14ac:dyDescent="0.25">
      <c r="A222" s="98"/>
      <c r="B222" s="68"/>
      <c r="C222" s="258"/>
      <c r="D222" s="688"/>
      <c r="E222" s="207"/>
      <c r="F222" s="207"/>
      <c r="G222" s="207"/>
      <c r="H222" s="207"/>
      <c r="I222" s="207"/>
    </row>
    <row r="223" spans="1:9" s="512" customFormat="1" ht="15" customHeight="1" x14ac:dyDescent="0.3">
      <c r="A223" s="98">
        <v>426.1</v>
      </c>
      <c r="B223" s="68" t="s">
        <v>290</v>
      </c>
      <c r="C223" s="684">
        <v>501.09</v>
      </c>
      <c r="D223" s="688"/>
      <c r="E223" s="207"/>
      <c r="F223" s="207"/>
      <c r="G223" s="207"/>
      <c r="H223" s="207"/>
      <c r="I223" s="207"/>
    </row>
    <row r="224" spans="1:9" ht="15" customHeight="1" x14ac:dyDescent="0.3">
      <c r="A224" s="98">
        <v>426.4</v>
      </c>
      <c r="B224" s="68" t="s">
        <v>110</v>
      </c>
      <c r="C224" s="684">
        <v>1778.12</v>
      </c>
      <c r="D224" s="688"/>
      <c r="E224" s="207"/>
      <c r="F224" s="207"/>
      <c r="G224" s="207"/>
      <c r="H224" s="207"/>
    </row>
    <row r="225" spans="1:9" ht="15" customHeight="1" x14ac:dyDescent="0.3">
      <c r="A225" s="98">
        <v>426.5</v>
      </c>
      <c r="B225" s="68" t="s">
        <v>291</v>
      </c>
      <c r="C225" s="684"/>
      <c r="D225" s="688"/>
      <c r="E225" s="207"/>
      <c r="F225" s="207"/>
      <c r="G225" s="207"/>
      <c r="H225" s="207"/>
      <c r="I225" s="207"/>
    </row>
    <row r="226" spans="1:9" ht="15" customHeight="1" x14ac:dyDescent="0.3">
      <c r="A226" s="98">
        <v>428.03</v>
      </c>
      <c r="B226" s="265" t="s">
        <v>472</v>
      </c>
      <c r="C226" s="684">
        <v>7844.64</v>
      </c>
      <c r="D226" s="688"/>
      <c r="E226" s="207"/>
      <c r="F226" s="207"/>
      <c r="G226" s="207"/>
      <c r="H226" s="207"/>
      <c r="I226" s="207"/>
    </row>
    <row r="227" spans="1:9" ht="15" customHeight="1" x14ac:dyDescent="0.25">
      <c r="A227" s="98"/>
      <c r="B227" s="68" t="s">
        <v>292</v>
      </c>
      <c r="C227" s="759">
        <f>SUM(C223:C226)</f>
        <v>10123.85</v>
      </c>
      <c r="D227" s="688"/>
      <c r="E227" s="207"/>
      <c r="F227" s="207"/>
      <c r="G227" s="207"/>
      <c r="H227" s="207"/>
      <c r="I227" s="207"/>
    </row>
    <row r="228" spans="1:9" ht="15" customHeight="1" x14ac:dyDescent="0.25">
      <c r="A228" s="98"/>
      <c r="B228" s="68"/>
      <c r="C228" s="290"/>
      <c r="D228" s="688"/>
      <c r="E228" s="207"/>
      <c r="F228" s="207"/>
      <c r="G228" s="207"/>
      <c r="H228" s="207"/>
      <c r="I228" s="207"/>
    </row>
    <row r="229" spans="1:9" ht="15" customHeight="1" x14ac:dyDescent="0.25">
      <c r="A229" s="99" t="s">
        <v>294</v>
      </c>
      <c r="B229" s="68"/>
      <c r="C229" s="759">
        <f>C189+C198+C205+C213+C219+C227</f>
        <v>21155615.800000001</v>
      </c>
      <c r="D229" s="688"/>
      <c r="E229" s="207"/>
      <c r="F229" s="207"/>
      <c r="G229" s="207"/>
      <c r="H229" s="207"/>
      <c r="I229" s="207"/>
    </row>
    <row r="230" spans="1:9" ht="15" customHeight="1" x14ac:dyDescent="0.25">
      <c r="A230" s="98"/>
      <c r="B230" s="68"/>
      <c r="C230" s="258"/>
      <c r="D230" s="688"/>
      <c r="E230" s="207"/>
      <c r="F230" s="207"/>
      <c r="G230" s="207"/>
      <c r="H230" s="207"/>
      <c r="I230" s="207"/>
    </row>
    <row r="231" spans="1:9" ht="15" customHeight="1" x14ac:dyDescent="0.25">
      <c r="A231" s="99" t="s">
        <v>295</v>
      </c>
      <c r="B231" s="68"/>
      <c r="C231" s="763">
        <f>-C16-C229</f>
        <v>-1385815.2199999988</v>
      </c>
      <c r="D231" s="688"/>
      <c r="E231" s="258"/>
      <c r="F231" s="207"/>
      <c r="G231" s="207"/>
      <c r="H231" s="207"/>
      <c r="I231" s="207"/>
    </row>
    <row r="232" spans="1:9" ht="15" customHeight="1" x14ac:dyDescent="0.25">
      <c r="A232" s="98"/>
      <c r="B232" s="68"/>
      <c r="C232" s="258"/>
      <c r="D232" s="688"/>
      <c r="E232" s="207"/>
      <c r="F232" s="207"/>
      <c r="G232" s="207"/>
      <c r="H232" s="207"/>
      <c r="I232" s="207"/>
    </row>
    <row r="233" spans="1:9" ht="15" customHeight="1" x14ac:dyDescent="0.25">
      <c r="A233" s="99" t="s">
        <v>344</v>
      </c>
      <c r="B233" s="68"/>
      <c r="C233" s="258"/>
      <c r="D233" s="688"/>
      <c r="E233" s="207"/>
      <c r="F233" s="207"/>
      <c r="G233" s="207"/>
      <c r="H233" s="207"/>
      <c r="I233" s="207"/>
    </row>
    <row r="234" spans="1:9" ht="15" customHeight="1" x14ac:dyDescent="0.25">
      <c r="A234" s="98"/>
      <c r="B234" s="68"/>
      <c r="C234" s="258"/>
      <c r="D234" s="688"/>
      <c r="E234" s="207"/>
      <c r="F234" s="207"/>
      <c r="G234" s="207"/>
      <c r="H234" s="207"/>
      <c r="I234" s="207"/>
    </row>
    <row r="235" spans="1:9" ht="15" customHeight="1" x14ac:dyDescent="0.3">
      <c r="A235" s="98">
        <v>419.01</v>
      </c>
      <c r="B235" s="265" t="s">
        <v>483</v>
      </c>
      <c r="C235" s="684">
        <v>-1114602.33</v>
      </c>
      <c r="D235" s="688"/>
      <c r="E235" s="207"/>
      <c r="F235" s="207"/>
      <c r="G235" s="207"/>
      <c r="H235" s="207"/>
      <c r="I235" s="207"/>
    </row>
    <row r="236" spans="1:9" ht="15" customHeight="1" x14ac:dyDescent="0.3">
      <c r="A236" s="98">
        <v>419.03</v>
      </c>
      <c r="B236" s="265" t="s">
        <v>484</v>
      </c>
      <c r="C236" s="684">
        <v>-26717.4</v>
      </c>
      <c r="D236" s="688"/>
      <c r="E236" s="207"/>
      <c r="F236" s="207"/>
      <c r="G236" s="207"/>
      <c r="H236" s="207"/>
      <c r="I236" s="207"/>
    </row>
    <row r="237" spans="1:9" ht="15" customHeight="1" x14ac:dyDescent="0.25">
      <c r="A237" s="98"/>
      <c r="B237" s="68" t="s">
        <v>346</v>
      </c>
      <c r="C237" s="759">
        <f>SUM(C235:C236)</f>
        <v>-1141319.73</v>
      </c>
      <c r="D237" s="688"/>
      <c r="E237" s="207"/>
      <c r="F237" s="207"/>
      <c r="G237" s="207"/>
      <c r="H237" s="207"/>
      <c r="I237" s="207"/>
    </row>
    <row r="238" spans="1:9" ht="15" customHeight="1" x14ac:dyDescent="0.25">
      <c r="A238" s="98"/>
      <c r="B238" s="68"/>
      <c r="C238" s="258"/>
      <c r="D238" s="688"/>
      <c r="E238" s="207"/>
      <c r="F238" s="207"/>
      <c r="G238" s="207"/>
      <c r="H238" s="207"/>
      <c r="I238" s="207"/>
    </row>
    <row r="239" spans="1:9" ht="15" customHeight="1" x14ac:dyDescent="0.25">
      <c r="A239" s="99" t="s">
        <v>347</v>
      </c>
      <c r="B239" s="68"/>
      <c r="C239" s="258"/>
      <c r="D239" s="688"/>
      <c r="E239" s="207"/>
      <c r="F239" s="207"/>
      <c r="G239" s="207"/>
      <c r="H239" s="207"/>
      <c r="I239" s="207"/>
    </row>
    <row r="240" spans="1:9" ht="15" customHeight="1" x14ac:dyDescent="0.25">
      <c r="A240" s="98"/>
      <c r="B240" s="68"/>
      <c r="C240" s="258"/>
      <c r="D240" s="688"/>
      <c r="E240" s="207"/>
      <c r="F240" s="207"/>
      <c r="G240" s="207"/>
      <c r="H240" s="207"/>
      <c r="I240" s="207"/>
    </row>
    <row r="241" spans="1:9" ht="15" customHeight="1" x14ac:dyDescent="0.3">
      <c r="A241" s="98">
        <v>415.01</v>
      </c>
      <c r="B241" s="265" t="s">
        <v>485</v>
      </c>
      <c r="C241" s="684">
        <v>0</v>
      </c>
      <c r="D241" s="688"/>
      <c r="E241" s="207"/>
      <c r="F241" s="207"/>
      <c r="G241" s="207"/>
      <c r="H241" s="207"/>
      <c r="I241" s="207"/>
    </row>
    <row r="242" spans="1:9" s="512" customFormat="1" ht="15" customHeight="1" x14ac:dyDescent="0.3">
      <c r="A242" s="98">
        <v>416.01</v>
      </c>
      <c r="B242" s="68" t="s">
        <v>1172</v>
      </c>
      <c r="C242" s="684"/>
      <c r="D242" s="688"/>
      <c r="E242" s="207"/>
      <c r="F242" s="207"/>
      <c r="G242" s="207"/>
      <c r="H242" s="207"/>
      <c r="I242" s="207"/>
    </row>
    <row r="243" spans="1:9" ht="15" customHeight="1" x14ac:dyDescent="0.25">
      <c r="A243" s="98">
        <v>416.04</v>
      </c>
      <c r="B243" s="68" t="s">
        <v>1173</v>
      </c>
      <c r="C243" s="788"/>
      <c r="D243" s="688"/>
      <c r="E243" s="207"/>
      <c r="F243" s="207"/>
      <c r="G243" s="207"/>
      <c r="H243" s="207"/>
      <c r="I243" s="207"/>
    </row>
    <row r="244" spans="1:9" ht="15" customHeight="1" x14ac:dyDescent="0.3">
      <c r="A244" s="98">
        <v>416.05</v>
      </c>
      <c r="B244" s="265" t="s">
        <v>486</v>
      </c>
      <c r="C244" s="684">
        <v>-1853</v>
      </c>
      <c r="D244" s="688"/>
      <c r="E244" s="207"/>
      <c r="F244" s="207"/>
      <c r="G244" s="207"/>
      <c r="H244" s="207"/>
      <c r="I244" s="207"/>
    </row>
    <row r="245" spans="1:9" ht="15" customHeight="1" x14ac:dyDescent="0.3">
      <c r="A245" s="98">
        <v>416.06</v>
      </c>
      <c r="B245" s="265" t="s">
        <v>487</v>
      </c>
      <c r="C245" s="684">
        <v>1390.21</v>
      </c>
      <c r="D245" s="688"/>
      <c r="E245" s="207"/>
      <c r="F245" s="207"/>
      <c r="G245" s="207"/>
      <c r="H245" s="207"/>
      <c r="I245" s="207"/>
    </row>
    <row r="246" spans="1:9" ht="15" customHeight="1" x14ac:dyDescent="0.3">
      <c r="A246" s="98">
        <v>416.07</v>
      </c>
      <c r="B246" s="265" t="s">
        <v>488</v>
      </c>
      <c r="C246" s="684">
        <v>299.55</v>
      </c>
      <c r="D246" s="688"/>
      <c r="E246" s="207"/>
      <c r="F246" s="207"/>
      <c r="G246" s="207"/>
      <c r="H246" s="207"/>
      <c r="I246" s="207"/>
    </row>
    <row r="247" spans="1:9" ht="15" customHeight="1" x14ac:dyDescent="0.3">
      <c r="A247" s="98">
        <v>417</v>
      </c>
      <c r="B247" s="265" t="s">
        <v>489</v>
      </c>
      <c r="C247" s="684"/>
      <c r="D247" s="688"/>
      <c r="E247" s="207"/>
      <c r="F247" s="207"/>
      <c r="G247" s="207"/>
      <c r="H247" s="207"/>
      <c r="I247" s="207"/>
    </row>
    <row r="248" spans="1:9" ht="15" customHeight="1" x14ac:dyDescent="0.3">
      <c r="A248" s="98">
        <v>417.01</v>
      </c>
      <c r="B248" s="265" t="s">
        <v>490</v>
      </c>
      <c r="C248" s="684"/>
      <c r="D248" s="688"/>
      <c r="E248" s="207"/>
      <c r="F248" s="207"/>
      <c r="G248" s="207"/>
      <c r="H248" s="207"/>
      <c r="I248" s="207"/>
    </row>
    <row r="249" spans="1:9" ht="15" customHeight="1" x14ac:dyDescent="0.3">
      <c r="A249" s="98">
        <v>417.05</v>
      </c>
      <c r="B249" s="265" t="s">
        <v>491</v>
      </c>
      <c r="C249" s="684"/>
      <c r="D249" s="688"/>
      <c r="E249" s="207"/>
      <c r="F249" s="207"/>
      <c r="G249" s="207"/>
      <c r="H249" s="207"/>
      <c r="I249" s="207"/>
    </row>
    <row r="250" spans="1:9" ht="15" customHeight="1" x14ac:dyDescent="0.3">
      <c r="A250" s="98">
        <v>418.1</v>
      </c>
      <c r="B250" s="265" t="s">
        <v>493</v>
      </c>
      <c r="C250" s="684">
        <v>-13941.14</v>
      </c>
      <c r="D250" s="688"/>
      <c r="E250" s="207"/>
      <c r="F250" s="207"/>
      <c r="G250" s="207"/>
      <c r="H250" s="207"/>
      <c r="I250" s="207"/>
    </row>
    <row r="251" spans="1:9" ht="15" customHeight="1" x14ac:dyDescent="0.25">
      <c r="A251" s="98"/>
      <c r="B251" s="68" t="s">
        <v>348</v>
      </c>
      <c r="C251" s="759">
        <f>SUM(C240:C250)</f>
        <v>-14104.38</v>
      </c>
      <c r="D251" s="688"/>
      <c r="E251" s="207"/>
      <c r="F251" s="207"/>
      <c r="G251" s="207"/>
      <c r="H251" s="207"/>
      <c r="I251" s="207"/>
    </row>
    <row r="252" spans="1:9" ht="15" customHeight="1" x14ac:dyDescent="0.25">
      <c r="A252" s="98"/>
      <c r="B252" s="68"/>
      <c r="C252" s="258"/>
      <c r="D252" s="688"/>
      <c r="E252" s="207"/>
      <c r="F252" s="207"/>
      <c r="G252" s="207"/>
      <c r="H252" s="207"/>
      <c r="I252" s="207"/>
    </row>
    <row r="253" spans="1:9" ht="15" customHeight="1" x14ac:dyDescent="0.25">
      <c r="A253" s="99" t="s">
        <v>349</v>
      </c>
      <c r="B253" s="68"/>
      <c r="C253" s="258"/>
      <c r="D253" s="688"/>
      <c r="E253" s="207"/>
      <c r="F253" s="207"/>
      <c r="G253" s="207"/>
      <c r="H253" s="207"/>
      <c r="I253" s="207"/>
    </row>
    <row r="254" spans="1:9" ht="15" customHeight="1" x14ac:dyDescent="0.25">
      <c r="A254" s="98"/>
      <c r="B254" s="68"/>
      <c r="C254" s="258"/>
      <c r="D254" s="688"/>
      <c r="E254" s="207"/>
      <c r="F254" s="207"/>
      <c r="G254" s="207"/>
      <c r="H254" s="207"/>
      <c r="I254" s="207"/>
    </row>
    <row r="255" spans="1:9" ht="15" customHeight="1" x14ac:dyDescent="0.3">
      <c r="A255" s="98">
        <v>421.1</v>
      </c>
      <c r="B255" s="265" t="s">
        <v>494</v>
      </c>
      <c r="C255" s="684"/>
      <c r="D255" s="688"/>
      <c r="E255" s="207"/>
      <c r="F255" s="207"/>
      <c r="G255" s="207"/>
      <c r="H255" s="207"/>
      <c r="I255" s="207"/>
    </row>
    <row r="256" spans="1:9" ht="15" customHeight="1" x14ac:dyDescent="0.25">
      <c r="A256" s="98">
        <v>421.2</v>
      </c>
      <c r="B256" s="265" t="s">
        <v>495</v>
      </c>
      <c r="C256" s="789">
        <v>39552</v>
      </c>
      <c r="D256" s="688"/>
      <c r="E256" s="207"/>
      <c r="F256" s="207"/>
      <c r="G256" s="207"/>
      <c r="H256" s="207"/>
      <c r="I256" s="207"/>
    </row>
    <row r="257" spans="1:9" ht="15" customHeight="1" x14ac:dyDescent="0.25">
      <c r="A257" s="98"/>
      <c r="B257" s="68" t="s">
        <v>352</v>
      </c>
      <c r="C257" s="759">
        <f>+C255+C256</f>
        <v>39552</v>
      </c>
      <c r="D257" s="688"/>
      <c r="E257" s="207"/>
      <c r="F257" s="207"/>
      <c r="G257" s="207"/>
      <c r="H257" s="207"/>
      <c r="I257" s="207"/>
    </row>
    <row r="258" spans="1:9" ht="15" customHeight="1" x14ac:dyDescent="0.25">
      <c r="A258" s="98"/>
      <c r="B258" s="68"/>
      <c r="C258" s="258"/>
      <c r="D258" s="688"/>
      <c r="E258" s="207"/>
      <c r="F258" s="207"/>
      <c r="G258" s="207"/>
      <c r="H258" s="207"/>
      <c r="I258" s="207"/>
    </row>
    <row r="259" spans="1:9" ht="15" customHeight="1" x14ac:dyDescent="0.25">
      <c r="A259" s="98">
        <v>435.1</v>
      </c>
      <c r="B259" s="68" t="s">
        <v>353</v>
      </c>
      <c r="C259" s="790">
        <v>0</v>
      </c>
      <c r="D259" s="688"/>
      <c r="E259" s="207"/>
      <c r="F259" s="207"/>
      <c r="G259" s="207"/>
      <c r="H259" s="207"/>
      <c r="I259" s="207"/>
    </row>
    <row r="260" spans="1:9" ht="15" customHeight="1" x14ac:dyDescent="0.25">
      <c r="A260" s="98"/>
      <c r="B260" s="68" t="s">
        <v>354</v>
      </c>
      <c r="C260" s="763">
        <f>SUM(C259:C259)</f>
        <v>0</v>
      </c>
      <c r="D260" s="688"/>
      <c r="E260" s="207"/>
      <c r="F260" s="207"/>
      <c r="G260" s="207"/>
      <c r="H260" s="207"/>
      <c r="I260" s="207"/>
    </row>
    <row r="261" spans="1:9" ht="15" customHeight="1" x14ac:dyDescent="0.25">
      <c r="A261" s="98"/>
      <c r="B261" s="68"/>
      <c r="C261" s="290"/>
      <c r="D261" s="688"/>
      <c r="E261" s="207"/>
      <c r="F261" s="207"/>
      <c r="G261" s="207"/>
      <c r="H261" s="207"/>
      <c r="I261" s="207"/>
    </row>
    <row r="262" spans="1:9" ht="15" customHeight="1" x14ac:dyDescent="0.3">
      <c r="A262" s="98">
        <v>424.01</v>
      </c>
      <c r="B262" s="265" t="s">
        <v>496</v>
      </c>
      <c r="C262" s="684">
        <v>-53512.89</v>
      </c>
      <c r="D262" s="688"/>
      <c r="E262" s="207"/>
      <c r="F262" s="207"/>
      <c r="G262" s="207"/>
      <c r="H262" s="207"/>
      <c r="I262" s="207"/>
    </row>
    <row r="263" spans="1:9" ht="15" customHeight="1" x14ac:dyDescent="0.25">
      <c r="A263" s="98">
        <v>424.04</v>
      </c>
      <c r="B263" s="68"/>
      <c r="C263" s="290"/>
      <c r="D263" s="688"/>
      <c r="E263" s="207"/>
      <c r="F263" s="207"/>
      <c r="G263" s="207"/>
      <c r="H263" s="207"/>
      <c r="I263" s="207"/>
    </row>
    <row r="264" spans="1:9" ht="15" customHeight="1" x14ac:dyDescent="0.25">
      <c r="A264" s="98"/>
      <c r="B264" s="68" t="s">
        <v>1</v>
      </c>
      <c r="C264" s="759">
        <f>SUM(C262:C263)</f>
        <v>-53512.89</v>
      </c>
      <c r="D264" s="688"/>
      <c r="E264" s="207"/>
      <c r="F264" s="207"/>
      <c r="G264" s="207"/>
      <c r="H264" s="207"/>
      <c r="I264" s="207"/>
    </row>
    <row r="265" spans="1:9" ht="15" customHeight="1" x14ac:dyDescent="0.25">
      <c r="A265" s="98"/>
      <c r="B265" s="68"/>
      <c r="C265" s="290"/>
      <c r="D265" s="688"/>
      <c r="E265" s="207"/>
      <c r="F265" s="207"/>
      <c r="G265" s="207"/>
      <c r="H265" s="207"/>
      <c r="I265" s="207"/>
    </row>
    <row r="266" spans="1:9" ht="15" customHeight="1" x14ac:dyDescent="0.25">
      <c r="A266" s="99" t="s">
        <v>2</v>
      </c>
      <c r="B266" s="68"/>
      <c r="C266" s="759">
        <f>C231-C237-C251-C257-C260-C264</f>
        <v>-216430.21999999881</v>
      </c>
      <c r="D266" s="688"/>
      <c r="E266" s="207"/>
      <c r="F266" s="207"/>
      <c r="G266" s="207"/>
      <c r="H266" s="207"/>
      <c r="I266" s="207"/>
    </row>
    <row r="267" spans="1:9" ht="15" customHeight="1" x14ac:dyDescent="0.25">
      <c r="A267" s="98"/>
      <c r="B267" s="68"/>
      <c r="C267" s="258"/>
      <c r="D267" s="688"/>
      <c r="E267" s="207"/>
      <c r="F267" s="207"/>
      <c r="G267" s="207"/>
      <c r="H267" s="207"/>
      <c r="I267" s="207"/>
    </row>
    <row r="268" spans="1:9" ht="15" customHeight="1" x14ac:dyDescent="0.25">
      <c r="A268" s="98"/>
      <c r="B268" s="68"/>
      <c r="C268" s="258"/>
      <c r="D268" s="688"/>
      <c r="E268" s="207"/>
      <c r="F268" s="207"/>
      <c r="G268" s="207"/>
      <c r="H268" s="207"/>
      <c r="I268" s="207"/>
    </row>
    <row r="269" spans="1:9" ht="15" customHeight="1" x14ac:dyDescent="0.25">
      <c r="A269" s="98"/>
      <c r="B269" s="68"/>
      <c r="C269" s="258"/>
      <c r="D269" s="688"/>
      <c r="E269" s="207"/>
      <c r="F269" s="207"/>
      <c r="G269" s="207"/>
      <c r="H269" s="207"/>
      <c r="I269" s="207"/>
    </row>
    <row r="270" spans="1:9" ht="15" customHeight="1" x14ac:dyDescent="0.25">
      <c r="A270" s="98">
        <v>107.04</v>
      </c>
      <c r="B270" s="68" t="s">
        <v>498</v>
      </c>
      <c r="C270" s="759">
        <v>-13058.15</v>
      </c>
      <c r="D270" s="688"/>
      <c r="E270" s="207"/>
      <c r="F270" s="207"/>
      <c r="G270" s="207"/>
      <c r="H270" s="207"/>
      <c r="I270" s="207"/>
    </row>
    <row r="271" spans="1:9" ht="15" customHeight="1" x14ac:dyDescent="0.25">
      <c r="A271" s="98">
        <v>107.1</v>
      </c>
      <c r="B271" s="265" t="s">
        <v>499</v>
      </c>
      <c r="C271" s="614"/>
      <c r="E271" s="207"/>
      <c r="F271" s="207"/>
      <c r="G271" s="207"/>
      <c r="H271" s="207"/>
      <c r="I271" s="207"/>
    </row>
    <row r="272" spans="1:9" s="513" customFormat="1" ht="15" customHeight="1" x14ac:dyDescent="0.3">
      <c r="A272" s="98">
        <v>107.11</v>
      </c>
      <c r="B272" s="68" t="s">
        <v>1193</v>
      </c>
      <c r="C272" s="684">
        <v>2971.25</v>
      </c>
      <c r="D272" s="686"/>
      <c r="E272" s="207"/>
      <c r="F272" s="207"/>
      <c r="G272" s="207"/>
      <c r="H272" s="207"/>
      <c r="I272" s="207"/>
    </row>
    <row r="273" spans="1:9" s="612" customFormat="1" ht="15" customHeight="1" x14ac:dyDescent="0.3">
      <c r="A273" s="98">
        <v>107.2</v>
      </c>
      <c r="B273" s="265" t="s">
        <v>500</v>
      </c>
      <c r="C273" s="684">
        <v>1186383.71</v>
      </c>
      <c r="D273" s="686"/>
      <c r="E273" s="207"/>
      <c r="F273" s="207"/>
      <c r="G273" s="207"/>
      <c r="H273" s="207"/>
      <c r="I273" s="207"/>
    </row>
    <row r="274" spans="1:9" ht="15" customHeight="1" x14ac:dyDescent="0.25">
      <c r="A274" s="98">
        <v>107.3</v>
      </c>
      <c r="B274" s="68" t="s">
        <v>1240</v>
      </c>
      <c r="C274" s="614">
        <v>0</v>
      </c>
      <c r="E274" s="207"/>
      <c r="F274" s="207"/>
      <c r="G274" s="207"/>
      <c r="H274" s="207"/>
      <c r="I274" s="207"/>
    </row>
    <row r="275" spans="1:9" ht="15" customHeight="1" x14ac:dyDescent="0.25">
      <c r="A275" s="98"/>
      <c r="B275" s="68" t="s">
        <v>3</v>
      </c>
      <c r="C275" s="759">
        <f>SUM(C270:C274)</f>
        <v>1176296.81</v>
      </c>
      <c r="D275" s="686">
        <f>+C275</f>
        <v>1176296.81</v>
      </c>
      <c r="E275" s="207"/>
      <c r="F275" s="207"/>
      <c r="G275" s="207"/>
      <c r="H275" s="207"/>
      <c r="I275" s="207"/>
    </row>
    <row r="276" spans="1:9" ht="15" customHeight="1" x14ac:dyDescent="0.25">
      <c r="A276" s="98"/>
      <c r="B276" s="68"/>
      <c r="C276" s="258"/>
      <c r="E276" s="207"/>
      <c r="F276" s="207"/>
      <c r="G276" s="207"/>
      <c r="H276" s="207"/>
      <c r="I276" s="207"/>
    </row>
    <row r="277" spans="1:9" ht="15" customHeight="1" x14ac:dyDescent="0.25">
      <c r="A277" s="98"/>
      <c r="B277" s="68"/>
      <c r="C277" s="258"/>
      <c r="E277" s="207"/>
      <c r="F277" s="207"/>
      <c r="G277" s="207"/>
      <c r="H277" s="207"/>
      <c r="I277" s="207"/>
    </row>
    <row r="278" spans="1:9" ht="15" customHeight="1" x14ac:dyDescent="0.3">
      <c r="A278" s="98">
        <v>108.03</v>
      </c>
      <c r="B278" s="265" t="s">
        <v>501</v>
      </c>
      <c r="C278" s="684">
        <v>-2718936.9</v>
      </c>
      <c r="E278" s="207"/>
      <c r="F278" s="207"/>
      <c r="G278" s="207"/>
      <c r="H278" s="207"/>
      <c r="I278" s="207"/>
    </row>
    <row r="279" spans="1:9" ht="15" customHeight="1" x14ac:dyDescent="0.3">
      <c r="A279" s="98">
        <v>108.04</v>
      </c>
      <c r="B279" s="265" t="s">
        <v>502</v>
      </c>
      <c r="C279" s="684">
        <v>-6523538.5800000001</v>
      </c>
      <c r="E279" s="207"/>
      <c r="F279" s="207"/>
      <c r="G279" s="207"/>
      <c r="H279" s="207"/>
      <c r="I279" s="207"/>
    </row>
    <row r="280" spans="1:9" ht="15" customHeight="1" x14ac:dyDescent="0.3">
      <c r="A280" s="98">
        <v>108.05</v>
      </c>
      <c r="B280" s="265" t="s">
        <v>503</v>
      </c>
      <c r="C280" s="684">
        <v>-1345456.5</v>
      </c>
      <c r="E280" s="207"/>
      <c r="F280" s="207"/>
      <c r="G280" s="207"/>
      <c r="H280" s="207"/>
      <c r="I280" s="207"/>
    </row>
    <row r="281" spans="1:9" ht="15" customHeight="1" x14ac:dyDescent="0.3">
      <c r="A281" s="98">
        <v>108.06</v>
      </c>
      <c r="B281" s="265" t="s">
        <v>504</v>
      </c>
      <c r="C281" s="684">
        <v>-23739964.620000001</v>
      </c>
      <c r="E281" s="207"/>
      <c r="F281" s="207"/>
      <c r="G281" s="207"/>
      <c r="H281" s="207"/>
      <c r="I281" s="207"/>
    </row>
    <row r="282" spans="1:9" ht="15" customHeight="1" x14ac:dyDescent="0.3">
      <c r="A282" s="98">
        <v>108.07</v>
      </c>
      <c r="B282" s="265" t="s">
        <v>505</v>
      </c>
      <c r="C282" s="684">
        <v>-1581511.99</v>
      </c>
      <c r="E282" s="207"/>
      <c r="F282" s="207"/>
      <c r="G282" s="207"/>
      <c r="H282" s="207"/>
      <c r="I282" s="207"/>
    </row>
    <row r="283" spans="1:9" ht="15" customHeight="1" x14ac:dyDescent="0.3">
      <c r="A283" s="98">
        <v>108.1</v>
      </c>
      <c r="B283" s="265" t="s">
        <v>506</v>
      </c>
      <c r="C283" s="684">
        <v>-1075358.26</v>
      </c>
      <c r="E283" s="207"/>
      <c r="F283" s="207"/>
      <c r="G283" s="207"/>
      <c r="H283" s="207"/>
      <c r="I283" s="207"/>
    </row>
    <row r="284" spans="1:9" ht="15" customHeight="1" x14ac:dyDescent="0.3">
      <c r="A284" s="98">
        <v>108.11</v>
      </c>
      <c r="B284" s="68" t="s">
        <v>611</v>
      </c>
      <c r="C284" s="684">
        <v>-1542953.52</v>
      </c>
      <c r="E284" s="207"/>
      <c r="F284" s="207"/>
      <c r="G284" s="207"/>
      <c r="H284" s="207"/>
      <c r="I284" s="207"/>
    </row>
    <row r="285" spans="1:9" ht="15" customHeight="1" x14ac:dyDescent="0.25">
      <c r="A285" s="103"/>
      <c r="B285" s="68"/>
      <c r="C285" s="759"/>
      <c r="E285" s="207"/>
      <c r="F285" s="207"/>
      <c r="G285" s="207"/>
      <c r="H285" s="207"/>
      <c r="I285" s="207"/>
    </row>
    <row r="286" spans="1:9" ht="15" customHeight="1" x14ac:dyDescent="0.25">
      <c r="A286" s="103"/>
      <c r="B286" s="68" t="s">
        <v>15</v>
      </c>
      <c r="C286" s="759">
        <f>SUM(C277:C285)</f>
        <v>-38527720.370000005</v>
      </c>
      <c r="D286" s="686">
        <f>+C286</f>
        <v>-38527720.370000005</v>
      </c>
      <c r="E286" s="207"/>
      <c r="F286" s="207"/>
      <c r="G286" s="207"/>
      <c r="H286" s="207"/>
      <c r="I286" s="207"/>
    </row>
    <row r="287" spans="1:9" ht="15" customHeight="1" x14ac:dyDescent="0.25">
      <c r="A287" s="103"/>
      <c r="B287" s="68"/>
      <c r="C287" s="673"/>
      <c r="E287" s="207"/>
      <c r="F287" s="207"/>
      <c r="G287" s="207"/>
      <c r="H287" s="207"/>
      <c r="I287" s="207"/>
    </row>
    <row r="288" spans="1:9" ht="15" customHeight="1" x14ac:dyDescent="0.3">
      <c r="A288" s="103">
        <v>108.8</v>
      </c>
      <c r="B288" s="28" t="s">
        <v>507</v>
      </c>
      <c r="C288" s="684">
        <v>113586.58</v>
      </c>
      <c r="D288" s="688"/>
      <c r="E288" s="207"/>
      <c r="F288" s="207"/>
      <c r="G288" s="207"/>
      <c r="H288" s="207"/>
      <c r="I288" s="207"/>
    </row>
    <row r="289" spans="1:9" ht="15" customHeight="1" x14ac:dyDescent="0.25">
      <c r="A289" s="103"/>
      <c r="B289" s="68"/>
      <c r="C289" s="759"/>
      <c r="D289" s="688"/>
      <c r="E289" s="207"/>
      <c r="F289" s="207"/>
      <c r="G289" s="207"/>
      <c r="H289" s="207"/>
      <c r="I289" s="207"/>
    </row>
    <row r="290" spans="1:9" ht="15" customHeight="1" x14ac:dyDescent="0.25">
      <c r="A290" s="103"/>
      <c r="B290" s="68" t="s">
        <v>104</v>
      </c>
      <c r="C290" s="759">
        <f>SUM(C287:C289)</f>
        <v>113586.58</v>
      </c>
      <c r="D290" s="686">
        <f>+C290</f>
        <v>113586.58</v>
      </c>
      <c r="E290" s="218"/>
      <c r="F290" s="207"/>
      <c r="G290" s="207"/>
      <c r="H290" s="207"/>
      <c r="I290" s="207"/>
    </row>
    <row r="291" spans="1:9" ht="15" customHeight="1" x14ac:dyDescent="0.25">
      <c r="A291" s="103"/>
      <c r="B291" s="68"/>
      <c r="C291" s="258"/>
      <c r="D291" s="688"/>
      <c r="E291" s="207"/>
      <c r="F291" s="207"/>
      <c r="G291" s="207"/>
      <c r="H291" s="207"/>
      <c r="I291" s="207"/>
    </row>
    <row r="292" spans="1:9" ht="15" customHeight="1" x14ac:dyDescent="0.3">
      <c r="A292" s="103">
        <v>123.01</v>
      </c>
      <c r="B292" s="33" t="s">
        <v>4</v>
      </c>
      <c r="C292" s="684">
        <v>334408.11</v>
      </c>
      <c r="D292" s="688"/>
      <c r="E292" s="207"/>
      <c r="F292" s="207"/>
      <c r="G292" s="207"/>
      <c r="H292" s="207"/>
      <c r="I292" s="207"/>
    </row>
    <row r="293" spans="1:9" ht="15" customHeight="1" x14ac:dyDescent="0.3">
      <c r="A293" s="103">
        <v>123.02</v>
      </c>
      <c r="B293" s="28" t="s">
        <v>105</v>
      </c>
      <c r="C293" s="684">
        <v>117056.32000000001</v>
      </c>
      <c r="D293" s="688"/>
      <c r="E293" s="207"/>
      <c r="F293" s="207"/>
      <c r="G293" s="207"/>
      <c r="H293" s="207"/>
      <c r="I293" s="207"/>
    </row>
    <row r="294" spans="1:9" ht="15" customHeight="1" x14ac:dyDescent="0.3">
      <c r="A294" s="52">
        <v>123.03</v>
      </c>
      <c r="B294" s="28" t="s">
        <v>508</v>
      </c>
      <c r="C294" s="684">
        <v>11533.79</v>
      </c>
      <c r="D294" s="688"/>
      <c r="E294" s="207"/>
      <c r="F294" s="207"/>
      <c r="G294" s="207"/>
      <c r="H294" s="207"/>
      <c r="I294" s="207"/>
    </row>
    <row r="295" spans="1:9" ht="15" customHeight="1" x14ac:dyDescent="0.3">
      <c r="A295" s="52">
        <v>123.04</v>
      </c>
      <c r="B295" s="28" t="s">
        <v>509</v>
      </c>
      <c r="C295" s="684">
        <v>4775.67</v>
      </c>
      <c r="D295" s="688"/>
      <c r="E295" s="207"/>
      <c r="F295" s="207"/>
      <c r="G295" s="207"/>
      <c r="H295" s="207"/>
      <c r="I295" s="207"/>
    </row>
    <row r="296" spans="1:9" s="513" customFormat="1" ht="15" customHeight="1" x14ac:dyDescent="0.3">
      <c r="A296" s="514">
        <v>123.05</v>
      </c>
      <c r="B296" s="33" t="s">
        <v>1194</v>
      </c>
      <c r="C296" s="684">
        <v>7044</v>
      </c>
      <c r="D296" s="688"/>
      <c r="E296" s="207"/>
      <c r="F296" s="207"/>
      <c r="G296" s="207"/>
      <c r="H296" s="207"/>
      <c r="I296" s="207"/>
    </row>
    <row r="297" spans="1:9" ht="15" customHeight="1" x14ac:dyDescent="0.3">
      <c r="A297" s="52">
        <v>123.11</v>
      </c>
      <c r="B297" s="28" t="s">
        <v>510</v>
      </c>
      <c r="C297" s="684">
        <v>342052.71</v>
      </c>
      <c r="D297" s="688"/>
      <c r="E297" s="207"/>
      <c r="F297" s="207"/>
      <c r="G297" s="207"/>
      <c r="H297" s="207"/>
      <c r="I297" s="207"/>
    </row>
    <row r="298" spans="1:9" s="438" customFormat="1" ht="15" customHeight="1" x14ac:dyDescent="0.25">
      <c r="A298" s="103"/>
      <c r="B298" s="68" t="s">
        <v>17</v>
      </c>
      <c r="C298" s="760">
        <f>SUM(C291:C297)</f>
        <v>816870.6</v>
      </c>
      <c r="D298" s="686">
        <f>+C298</f>
        <v>816870.6</v>
      </c>
      <c r="E298" s="207"/>
      <c r="F298" s="207"/>
      <c r="G298" s="207"/>
      <c r="H298" s="207"/>
      <c r="I298" s="207"/>
    </row>
    <row r="299" spans="1:9" ht="15" customHeight="1" x14ac:dyDescent="0.25">
      <c r="A299" s="103"/>
      <c r="B299" s="68"/>
      <c r="C299" s="258"/>
      <c r="D299" s="688"/>
      <c r="E299" s="207"/>
      <c r="F299" s="207"/>
      <c r="G299" s="207"/>
      <c r="H299" s="207"/>
      <c r="I299" s="207"/>
    </row>
    <row r="300" spans="1:9" ht="15" customHeight="1" x14ac:dyDescent="0.3">
      <c r="A300" s="103">
        <v>123.22</v>
      </c>
      <c r="B300" s="28" t="s">
        <v>18</v>
      </c>
      <c r="C300" s="684">
        <v>386640.6</v>
      </c>
      <c r="D300" s="688"/>
      <c r="E300" s="207"/>
      <c r="F300" s="207"/>
      <c r="G300" s="207"/>
      <c r="H300" s="207"/>
      <c r="I300" s="207"/>
    </row>
    <row r="301" spans="1:9" ht="15" customHeight="1" x14ac:dyDescent="0.3">
      <c r="A301" s="103">
        <v>123.23</v>
      </c>
      <c r="B301" s="28" t="s">
        <v>511</v>
      </c>
      <c r="C301" s="684">
        <v>1000</v>
      </c>
      <c r="D301" s="688"/>
      <c r="E301" s="207"/>
      <c r="F301" s="207"/>
      <c r="G301" s="207"/>
      <c r="H301" s="207"/>
      <c r="I301" s="207"/>
    </row>
    <row r="302" spans="1:9" ht="15" customHeight="1" x14ac:dyDescent="0.25">
      <c r="A302" s="103">
        <v>123.24</v>
      </c>
      <c r="B302" s="68" t="s">
        <v>1195</v>
      </c>
      <c r="C302" s="759">
        <v>10000</v>
      </c>
      <c r="D302" s="688"/>
      <c r="E302" s="207"/>
      <c r="F302" s="207"/>
      <c r="G302" s="207"/>
      <c r="H302" s="207"/>
      <c r="I302" s="207"/>
    </row>
    <row r="303" spans="1:9" ht="15" customHeight="1" x14ac:dyDescent="0.25">
      <c r="A303" s="103"/>
      <c r="B303" s="68" t="s">
        <v>19</v>
      </c>
      <c r="C303" s="759">
        <f>SUM(C299:C302)</f>
        <v>397640.6</v>
      </c>
      <c r="D303" s="686">
        <f>+C303</f>
        <v>397640.6</v>
      </c>
      <c r="E303" s="207"/>
      <c r="F303" s="207"/>
      <c r="G303" s="207"/>
      <c r="H303" s="207"/>
      <c r="I303" s="207"/>
    </row>
    <row r="304" spans="1:9" ht="15" customHeight="1" x14ac:dyDescent="0.25">
      <c r="A304" s="103"/>
      <c r="B304" s="68"/>
      <c r="C304" s="258"/>
      <c r="D304" s="688"/>
      <c r="E304" s="207"/>
      <c r="F304" s="207"/>
      <c r="G304" s="207"/>
      <c r="H304" s="207"/>
      <c r="I304" s="207"/>
    </row>
    <row r="305" spans="1:9" ht="15" customHeight="1" x14ac:dyDescent="0.3">
      <c r="A305" s="103">
        <v>124.02</v>
      </c>
      <c r="B305" s="28" t="s">
        <v>512</v>
      </c>
      <c r="C305" s="684">
        <v>9158260</v>
      </c>
      <c r="D305" s="688"/>
      <c r="E305" s="207"/>
      <c r="F305" s="207"/>
      <c r="G305" s="207"/>
      <c r="H305" s="207"/>
      <c r="I305" s="207"/>
    </row>
    <row r="306" spans="1:9" ht="15" customHeight="1" x14ac:dyDescent="0.3">
      <c r="A306" s="103">
        <v>124.03</v>
      </c>
      <c r="B306" s="28" t="s">
        <v>513</v>
      </c>
      <c r="C306" s="684">
        <v>5000</v>
      </c>
      <c r="D306" s="688"/>
      <c r="E306" s="207"/>
      <c r="F306" s="207"/>
      <c r="G306" s="207"/>
      <c r="H306" s="207"/>
      <c r="I306" s="207"/>
    </row>
    <row r="307" spans="1:9" ht="15" customHeight="1" x14ac:dyDescent="0.3">
      <c r="A307" s="103">
        <v>124.04</v>
      </c>
      <c r="B307" s="28" t="s">
        <v>514</v>
      </c>
      <c r="C307" s="684">
        <v>497.44</v>
      </c>
      <c r="D307" s="688"/>
      <c r="E307" s="207"/>
      <c r="F307" s="207"/>
      <c r="G307" s="207"/>
      <c r="H307" s="207"/>
      <c r="I307" s="207"/>
    </row>
    <row r="308" spans="1:9" ht="15" customHeight="1" x14ac:dyDescent="0.3">
      <c r="A308" s="103">
        <v>124.05</v>
      </c>
      <c r="B308" s="28" t="s">
        <v>515</v>
      </c>
      <c r="C308" s="684">
        <v>1792.5</v>
      </c>
      <c r="D308" s="688"/>
      <c r="E308" s="207"/>
      <c r="F308" s="207"/>
      <c r="G308" s="207"/>
      <c r="H308" s="207"/>
      <c r="I308" s="207"/>
    </row>
    <row r="309" spans="1:9" s="1037" customFormat="1" ht="15" customHeight="1" x14ac:dyDescent="0.3">
      <c r="A309" s="103">
        <v>128.01</v>
      </c>
      <c r="B309" s="33" t="s">
        <v>1402</v>
      </c>
      <c r="C309" s="684">
        <v>350002</v>
      </c>
      <c r="D309" s="688"/>
      <c r="E309" s="207"/>
      <c r="F309" s="207"/>
      <c r="G309" s="207"/>
      <c r="H309" s="207"/>
      <c r="I309" s="207"/>
    </row>
    <row r="310" spans="1:9" s="513" customFormat="1" ht="15" customHeight="1" x14ac:dyDescent="0.3">
      <c r="A310" s="103">
        <v>124.07</v>
      </c>
      <c r="B310" s="33" t="s">
        <v>1195</v>
      </c>
      <c r="C310" s="684">
        <v>0</v>
      </c>
      <c r="D310" s="688"/>
      <c r="E310" s="207"/>
      <c r="F310" s="207"/>
      <c r="G310" s="207"/>
      <c r="H310" s="207"/>
      <c r="I310" s="207"/>
    </row>
    <row r="311" spans="1:9" ht="15" customHeight="1" x14ac:dyDescent="0.25">
      <c r="A311" s="103"/>
      <c r="B311" s="68" t="s">
        <v>20</v>
      </c>
      <c r="C311" s="759">
        <f>SUM(C305:C310)</f>
        <v>9515551.9399999995</v>
      </c>
      <c r="D311" s="686">
        <f>+C311</f>
        <v>9515551.9399999995</v>
      </c>
      <c r="E311" s="207"/>
      <c r="F311" s="207"/>
      <c r="G311" s="207"/>
      <c r="H311" s="207"/>
      <c r="I311" s="207"/>
    </row>
    <row r="312" spans="1:9" ht="15" customHeight="1" x14ac:dyDescent="0.25">
      <c r="A312" s="98"/>
      <c r="B312" s="68"/>
      <c r="C312" s="258"/>
      <c r="D312" s="688"/>
      <c r="E312" s="207"/>
      <c r="F312" s="207"/>
      <c r="G312" s="207"/>
      <c r="H312" s="207"/>
      <c r="I312" s="207"/>
    </row>
    <row r="313" spans="1:9" ht="15" customHeight="1" x14ac:dyDescent="0.3">
      <c r="A313" s="103">
        <v>131.01</v>
      </c>
      <c r="B313" s="28" t="s">
        <v>516</v>
      </c>
      <c r="C313" s="684">
        <v>817294.51</v>
      </c>
      <c r="D313" s="688"/>
      <c r="E313" s="207"/>
      <c r="F313" s="207"/>
      <c r="G313" s="207"/>
      <c r="H313" s="207"/>
      <c r="I313" s="207"/>
    </row>
    <row r="314" spans="1:9" s="1273" customFormat="1" ht="15" customHeight="1" x14ac:dyDescent="0.3">
      <c r="A314" s="103">
        <v>131.02000000000001</v>
      </c>
      <c r="B314" s="33" t="s">
        <v>1400</v>
      </c>
      <c r="C314" s="1038">
        <v>1216.4000000000001</v>
      </c>
      <c r="D314" s="688"/>
      <c r="E314" s="207"/>
      <c r="F314" s="207"/>
      <c r="G314" s="207"/>
      <c r="H314" s="207"/>
      <c r="I314" s="207"/>
    </row>
    <row r="315" spans="1:9" ht="15" customHeight="1" x14ac:dyDescent="0.3">
      <c r="A315" s="103">
        <v>131.05000000000001</v>
      </c>
      <c r="B315" s="28" t="s">
        <v>518</v>
      </c>
      <c r="C315" s="684">
        <v>507.82</v>
      </c>
      <c r="D315" s="688"/>
      <c r="E315" s="207"/>
      <c r="F315" s="207"/>
      <c r="G315" s="207"/>
      <c r="H315" s="207"/>
      <c r="I315" s="207"/>
    </row>
    <row r="316" spans="1:9" ht="15" customHeight="1" x14ac:dyDescent="0.3">
      <c r="A316" s="103">
        <v>131.06</v>
      </c>
      <c r="B316" s="28" t="s">
        <v>517</v>
      </c>
      <c r="C316" s="684"/>
      <c r="D316" s="688"/>
      <c r="E316" s="207"/>
      <c r="F316" s="207"/>
      <c r="G316" s="207"/>
      <c r="H316" s="207"/>
      <c r="I316" s="207"/>
    </row>
    <row r="317" spans="1:9" ht="15" customHeight="1" x14ac:dyDescent="0.3">
      <c r="A317" s="103">
        <v>131.08000000000001</v>
      </c>
      <c r="B317" s="33" t="s">
        <v>882</v>
      </c>
      <c r="C317" s="684">
        <v>101.16</v>
      </c>
      <c r="D317" s="688"/>
      <c r="E317" s="207"/>
      <c r="F317" s="207"/>
      <c r="G317" s="207"/>
      <c r="H317" s="207"/>
      <c r="I317" s="207"/>
    </row>
    <row r="318" spans="1:9" ht="15" customHeight="1" x14ac:dyDescent="0.3">
      <c r="A318" s="103">
        <v>131.09</v>
      </c>
      <c r="B318" s="33" t="s">
        <v>883</v>
      </c>
      <c r="C318" s="684"/>
      <c r="D318" s="688"/>
      <c r="E318" s="207"/>
      <c r="F318" s="207"/>
      <c r="G318" s="207"/>
      <c r="H318" s="207"/>
      <c r="I318" s="207"/>
    </row>
    <row r="319" spans="1:9" ht="15" customHeight="1" x14ac:dyDescent="0.3">
      <c r="A319" s="103">
        <v>131.31</v>
      </c>
      <c r="B319" s="33" t="s">
        <v>1261</v>
      </c>
      <c r="C319" s="684"/>
      <c r="D319" s="688"/>
      <c r="E319" s="207"/>
      <c r="F319" s="207"/>
      <c r="G319" s="207"/>
      <c r="H319" s="207"/>
      <c r="I319" s="207"/>
    </row>
    <row r="320" spans="1:9" s="612" customFormat="1" ht="15" customHeight="1" x14ac:dyDescent="0.3">
      <c r="A320" s="103">
        <v>131.33000000000001</v>
      </c>
      <c r="B320" s="33" t="s">
        <v>1340</v>
      </c>
      <c r="C320" s="684"/>
      <c r="D320" s="688"/>
      <c r="E320" s="207"/>
      <c r="F320" s="207"/>
      <c r="G320" s="207"/>
      <c r="H320" s="207"/>
      <c r="I320" s="207"/>
    </row>
    <row r="321" spans="1:9" s="1273" customFormat="1" ht="15" customHeight="1" x14ac:dyDescent="0.3">
      <c r="A321" s="103">
        <v>131.36000000000001</v>
      </c>
      <c r="B321" s="33" t="s">
        <v>1401</v>
      </c>
      <c r="C321" s="1038">
        <v>957.5</v>
      </c>
      <c r="D321" s="688"/>
      <c r="E321" s="207"/>
      <c r="F321" s="207"/>
      <c r="G321" s="207"/>
      <c r="H321" s="207"/>
      <c r="I321" s="207"/>
    </row>
    <row r="322" spans="1:9" ht="15" customHeight="1" x14ac:dyDescent="0.3">
      <c r="A322" s="103">
        <v>132.03</v>
      </c>
      <c r="B322" s="33" t="s">
        <v>1241</v>
      </c>
      <c r="C322" s="684"/>
      <c r="D322" s="688"/>
      <c r="E322" s="207"/>
      <c r="F322" s="207"/>
      <c r="G322" s="207"/>
      <c r="H322" s="207"/>
      <c r="I322" s="207"/>
    </row>
    <row r="323" spans="1:9" s="513" customFormat="1" ht="15" customHeight="1" x14ac:dyDescent="0.3">
      <c r="A323" s="103">
        <v>132.05000000000001</v>
      </c>
      <c r="B323" s="33" t="s">
        <v>1196</v>
      </c>
      <c r="C323" s="684">
        <v>286644.05</v>
      </c>
      <c r="D323" s="688"/>
      <c r="E323" s="207"/>
      <c r="F323" s="207"/>
      <c r="G323" s="207"/>
      <c r="H323" s="207"/>
      <c r="I323" s="207"/>
    </row>
    <row r="324" spans="1:9" ht="15" customHeight="1" x14ac:dyDescent="0.25">
      <c r="A324" s="103"/>
      <c r="B324" s="68" t="s">
        <v>21</v>
      </c>
      <c r="C324" s="759">
        <f>SUM(C313:C323)</f>
        <v>1106721.44</v>
      </c>
      <c r="D324" s="686">
        <f>+C324</f>
        <v>1106721.44</v>
      </c>
      <c r="E324" s="207"/>
      <c r="F324" s="207"/>
      <c r="G324" s="207"/>
      <c r="H324" s="207"/>
      <c r="I324" s="207"/>
    </row>
    <row r="325" spans="1:9" ht="15" customHeight="1" x14ac:dyDescent="0.25">
      <c r="A325" s="103"/>
      <c r="B325" s="68"/>
      <c r="C325" s="290"/>
      <c r="D325" s="688"/>
      <c r="E325" s="207"/>
      <c r="F325" s="207"/>
      <c r="G325" s="207"/>
      <c r="H325" s="207"/>
      <c r="I325" s="207"/>
    </row>
    <row r="326" spans="1:9" ht="15" customHeight="1" x14ac:dyDescent="0.25">
      <c r="A326" s="103"/>
      <c r="B326" s="68"/>
      <c r="C326" s="258"/>
      <c r="D326" s="688"/>
      <c r="E326" s="207"/>
      <c r="F326" s="207"/>
      <c r="G326" s="207"/>
      <c r="H326" s="207"/>
      <c r="I326" s="207"/>
    </row>
    <row r="327" spans="1:9" ht="15" customHeight="1" x14ac:dyDescent="0.25">
      <c r="A327" s="103">
        <v>135.01</v>
      </c>
      <c r="B327" s="33" t="s">
        <v>22</v>
      </c>
      <c r="C327" s="761">
        <v>600</v>
      </c>
      <c r="E327" s="207"/>
      <c r="F327" s="207"/>
      <c r="G327" s="207"/>
      <c r="H327" s="207"/>
      <c r="I327" s="207"/>
    </row>
    <row r="328" spans="1:9" ht="15" customHeight="1" x14ac:dyDescent="0.25">
      <c r="A328" s="103"/>
      <c r="B328" s="68"/>
      <c r="C328" s="290"/>
      <c r="E328" s="207"/>
      <c r="F328" s="207"/>
      <c r="G328" s="207"/>
      <c r="H328" s="207"/>
      <c r="I328" s="207"/>
    </row>
    <row r="329" spans="1:9" ht="15" customHeight="1" x14ac:dyDescent="0.25">
      <c r="A329" s="103"/>
      <c r="B329" s="68" t="s">
        <v>5</v>
      </c>
      <c r="C329" s="759">
        <f>SUM(C327:C328)</f>
        <v>600</v>
      </c>
      <c r="D329" s="686">
        <f>+C329</f>
        <v>600</v>
      </c>
      <c r="E329" s="207"/>
      <c r="F329" s="207"/>
      <c r="G329" s="207"/>
      <c r="H329" s="207"/>
      <c r="I329" s="207"/>
    </row>
    <row r="330" spans="1:9" ht="15" customHeight="1" x14ac:dyDescent="0.25">
      <c r="A330" s="103"/>
      <c r="B330" s="68"/>
      <c r="C330" s="258"/>
      <c r="D330" s="688"/>
      <c r="E330" s="207"/>
      <c r="F330" s="207"/>
      <c r="G330" s="207"/>
      <c r="H330" s="207"/>
      <c r="I330" s="207"/>
    </row>
    <row r="331" spans="1:9" ht="15" customHeight="1" x14ac:dyDescent="0.25">
      <c r="A331" s="103"/>
      <c r="B331" s="68"/>
      <c r="C331" s="258"/>
      <c r="D331" s="688"/>
      <c r="E331" s="207"/>
      <c r="F331" s="207"/>
      <c r="G331" s="207"/>
      <c r="H331" s="207"/>
      <c r="I331" s="207"/>
    </row>
    <row r="332" spans="1:9" ht="15" customHeight="1" x14ac:dyDescent="0.25">
      <c r="A332" s="103">
        <v>141.02000000000001</v>
      </c>
      <c r="B332" s="28" t="s">
        <v>519</v>
      </c>
      <c r="C332" s="762">
        <v>1598.85</v>
      </c>
      <c r="E332" s="207"/>
      <c r="F332" s="207"/>
      <c r="G332" s="207"/>
      <c r="H332" s="207"/>
      <c r="I332" s="207"/>
    </row>
    <row r="333" spans="1:9" ht="15" customHeight="1" x14ac:dyDescent="0.25">
      <c r="A333" s="103"/>
      <c r="B333" s="68"/>
      <c r="C333" s="763">
        <v>0</v>
      </c>
      <c r="E333" s="207"/>
      <c r="F333" s="207"/>
      <c r="G333" s="207"/>
      <c r="H333" s="207"/>
      <c r="I333" s="207"/>
    </row>
    <row r="334" spans="1:9" ht="15" customHeight="1" x14ac:dyDescent="0.25">
      <c r="A334" s="103"/>
      <c r="B334" s="68"/>
      <c r="C334" s="763">
        <f>SUM(C331:C333)</f>
        <v>1598.85</v>
      </c>
      <c r="D334" s="686">
        <f>+C334</f>
        <v>1598.85</v>
      </c>
      <c r="E334" s="207"/>
      <c r="F334" s="207"/>
      <c r="G334" s="207"/>
      <c r="H334" s="207"/>
      <c r="I334" s="207"/>
    </row>
    <row r="335" spans="1:9" ht="15" customHeight="1" x14ac:dyDescent="0.25">
      <c r="A335" s="103"/>
      <c r="B335" s="68"/>
      <c r="C335" s="258"/>
      <c r="D335" s="688"/>
      <c r="E335" s="207"/>
      <c r="F335" s="207"/>
      <c r="G335" s="207"/>
      <c r="H335" s="207"/>
      <c r="I335" s="207"/>
    </row>
    <row r="336" spans="1:9" ht="15" customHeight="1" x14ac:dyDescent="0.3">
      <c r="A336" s="103">
        <v>142.01</v>
      </c>
      <c r="B336" s="28" t="s">
        <v>520</v>
      </c>
      <c r="C336" s="684">
        <v>1467415.65</v>
      </c>
      <c r="E336" s="207"/>
      <c r="F336" s="207"/>
      <c r="G336" s="207"/>
      <c r="H336" s="207"/>
      <c r="I336" s="207"/>
    </row>
    <row r="337" spans="1:9" ht="15" customHeight="1" x14ac:dyDescent="0.3">
      <c r="A337" s="103">
        <v>142.03</v>
      </c>
      <c r="B337" s="28" t="s">
        <v>521</v>
      </c>
      <c r="C337" s="684"/>
      <c r="E337" s="207"/>
      <c r="F337" s="207"/>
      <c r="G337" s="207"/>
      <c r="H337" s="207"/>
      <c r="I337" s="207"/>
    </row>
    <row r="338" spans="1:9" ht="15" customHeight="1" x14ac:dyDescent="0.3">
      <c r="A338" s="103">
        <v>142.04</v>
      </c>
      <c r="B338" s="28" t="s">
        <v>522</v>
      </c>
      <c r="C338" s="684">
        <v>-501.66</v>
      </c>
      <c r="E338" s="207"/>
      <c r="F338" s="207"/>
      <c r="G338" s="207"/>
      <c r="H338" s="207"/>
      <c r="I338" s="207"/>
    </row>
    <row r="339" spans="1:9" ht="15" customHeight="1" x14ac:dyDescent="0.3">
      <c r="A339" s="103">
        <v>142.05000000000001</v>
      </c>
      <c r="B339" s="265" t="s">
        <v>523</v>
      </c>
      <c r="C339" s="684">
        <v>198166.33</v>
      </c>
      <c r="E339" s="207"/>
      <c r="F339" s="207"/>
      <c r="G339" s="207"/>
      <c r="H339" s="207"/>
      <c r="I339" s="207"/>
    </row>
    <row r="340" spans="1:9" ht="15" customHeight="1" x14ac:dyDescent="0.25">
      <c r="A340" s="103"/>
      <c r="B340" s="68"/>
      <c r="C340" s="759">
        <f>SUM(C335:C339)</f>
        <v>1665080.3200000001</v>
      </c>
      <c r="D340" s="686">
        <f>+C340</f>
        <v>1665080.3200000001</v>
      </c>
      <c r="E340" s="207"/>
      <c r="F340" s="207"/>
      <c r="G340" s="207"/>
      <c r="H340" s="207"/>
      <c r="I340" s="207"/>
    </row>
    <row r="341" spans="1:9" ht="15" customHeight="1" x14ac:dyDescent="0.25">
      <c r="A341" s="103"/>
      <c r="B341" s="68"/>
      <c r="C341" s="258"/>
      <c r="D341" s="688"/>
      <c r="E341" s="207"/>
      <c r="F341" s="207"/>
      <c r="G341" s="207"/>
      <c r="H341" s="207"/>
      <c r="I341" s="207"/>
    </row>
    <row r="342" spans="1:9" ht="15" customHeight="1" x14ac:dyDescent="0.3">
      <c r="A342" s="103">
        <v>142.06</v>
      </c>
      <c r="B342" s="28" t="s">
        <v>524</v>
      </c>
      <c r="C342" s="684"/>
      <c r="E342" s="207"/>
      <c r="F342" s="207"/>
      <c r="G342" s="207"/>
      <c r="H342" s="207"/>
      <c r="I342" s="207"/>
    </row>
    <row r="343" spans="1:9" ht="15" customHeight="1" x14ac:dyDescent="0.3">
      <c r="A343" s="103">
        <v>142.07</v>
      </c>
      <c r="B343" s="33" t="s">
        <v>23</v>
      </c>
      <c r="C343" s="684">
        <v>1498264.86</v>
      </c>
      <c r="E343" s="207"/>
      <c r="F343" s="207"/>
      <c r="G343" s="207"/>
      <c r="H343" s="207"/>
      <c r="I343" s="207"/>
    </row>
    <row r="344" spans="1:9" ht="15" customHeight="1" x14ac:dyDescent="0.3">
      <c r="A344" s="103">
        <v>142.13999999999999</v>
      </c>
      <c r="B344" s="28" t="s">
        <v>525</v>
      </c>
      <c r="C344" s="684">
        <v>13408.65</v>
      </c>
      <c r="E344" s="207"/>
      <c r="F344" s="207"/>
      <c r="G344" s="207"/>
      <c r="H344" s="207"/>
      <c r="I344" s="207"/>
    </row>
    <row r="345" spans="1:9" s="1273" customFormat="1" ht="15" customHeight="1" x14ac:dyDescent="0.3">
      <c r="A345" s="103">
        <v>142.12</v>
      </c>
      <c r="B345" s="33" t="s">
        <v>1404</v>
      </c>
      <c r="C345" s="1038">
        <v>44.45</v>
      </c>
      <c r="D345" s="686"/>
      <c r="E345" s="207"/>
      <c r="F345" s="207"/>
      <c r="G345" s="207"/>
      <c r="H345" s="207"/>
      <c r="I345" s="207"/>
    </row>
    <row r="346" spans="1:9" s="1273" customFormat="1" ht="15" customHeight="1" x14ac:dyDescent="0.3">
      <c r="A346" s="103">
        <v>142.1</v>
      </c>
      <c r="B346" s="33" t="s">
        <v>1403</v>
      </c>
      <c r="C346" s="1038">
        <v>-2781.96</v>
      </c>
      <c r="D346" s="686"/>
      <c r="E346" s="207"/>
      <c r="F346" s="207"/>
      <c r="G346" s="207"/>
      <c r="H346" s="207"/>
      <c r="I346" s="207"/>
    </row>
    <row r="347" spans="1:9" ht="15" customHeight="1" x14ac:dyDescent="0.3">
      <c r="A347" s="103">
        <v>142.77000000000001</v>
      </c>
      <c r="B347" s="28" t="s">
        <v>526</v>
      </c>
      <c r="C347" s="684">
        <v>837190.11</v>
      </c>
      <c r="E347" s="207"/>
      <c r="F347" s="207"/>
      <c r="G347" s="207"/>
      <c r="H347" s="207"/>
      <c r="I347" s="207"/>
    </row>
    <row r="348" spans="1:9" s="543" customFormat="1" ht="15" customHeight="1" x14ac:dyDescent="0.3">
      <c r="A348" s="103">
        <v>142.97999999999999</v>
      </c>
      <c r="B348" s="28" t="s">
        <v>527</v>
      </c>
      <c r="C348" s="684">
        <v>-701.62</v>
      </c>
      <c r="D348" s="686"/>
      <c r="E348" s="207"/>
      <c r="F348" s="207"/>
      <c r="G348" s="207"/>
      <c r="H348" s="207"/>
      <c r="I348" s="207"/>
    </row>
    <row r="349" spans="1:9" s="612" customFormat="1" ht="15" customHeight="1" x14ac:dyDescent="0.25">
      <c r="A349" s="103">
        <v>142.99</v>
      </c>
      <c r="B349" s="33" t="s">
        <v>1303</v>
      </c>
      <c r="C349" s="764"/>
      <c r="D349" s="686"/>
      <c r="E349" s="207"/>
      <c r="F349" s="207"/>
      <c r="G349" s="207"/>
      <c r="H349" s="207"/>
      <c r="I349" s="207"/>
    </row>
    <row r="350" spans="1:9" s="668" customFormat="1" ht="15" customHeight="1" x14ac:dyDescent="0.25">
      <c r="A350" s="103">
        <v>143.03</v>
      </c>
      <c r="B350" s="33" t="s">
        <v>1242</v>
      </c>
      <c r="C350" s="764">
        <v>-20.010000000000002</v>
      </c>
      <c r="D350" s="686"/>
      <c r="E350" s="207"/>
      <c r="F350" s="207"/>
      <c r="G350" s="207"/>
      <c r="H350" s="207"/>
      <c r="I350" s="207"/>
    </row>
    <row r="351" spans="1:9" s="1273" customFormat="1" ht="15" customHeight="1" x14ac:dyDescent="0.25">
      <c r="A351" s="103">
        <v>143.04</v>
      </c>
      <c r="B351" s="33" t="s">
        <v>1405</v>
      </c>
      <c r="C351" s="764">
        <v>-13735.92</v>
      </c>
      <c r="D351" s="686"/>
      <c r="E351" s="207"/>
      <c r="F351" s="207"/>
      <c r="G351" s="207"/>
      <c r="H351" s="207"/>
      <c r="I351" s="207"/>
    </row>
    <row r="352" spans="1:9" ht="15" customHeight="1" x14ac:dyDescent="0.25">
      <c r="A352" s="103">
        <v>143.06</v>
      </c>
      <c r="B352" s="33" t="s">
        <v>1197</v>
      </c>
      <c r="C352" s="764"/>
      <c r="E352" s="207"/>
      <c r="F352" s="207"/>
      <c r="G352" s="207"/>
      <c r="H352" s="207"/>
      <c r="I352" s="207"/>
    </row>
    <row r="353" spans="1:9" ht="15" customHeight="1" x14ac:dyDescent="0.25">
      <c r="A353" s="103"/>
      <c r="B353" s="68"/>
      <c r="C353" s="759">
        <f>SUM(C341:C352)</f>
        <v>2331668.56</v>
      </c>
      <c r="D353" s="686">
        <f>+C353</f>
        <v>2331668.56</v>
      </c>
      <c r="E353" s="207"/>
      <c r="F353" s="207"/>
      <c r="G353" s="207"/>
      <c r="H353" s="207"/>
      <c r="I353" s="207"/>
    </row>
    <row r="354" spans="1:9" ht="15" customHeight="1" x14ac:dyDescent="0.25">
      <c r="A354" s="103"/>
      <c r="B354" s="68"/>
      <c r="C354" s="258"/>
      <c r="D354" s="688"/>
      <c r="E354" s="207"/>
      <c r="F354" s="207"/>
      <c r="G354" s="207"/>
      <c r="H354" s="207"/>
      <c r="I354" s="207"/>
    </row>
    <row r="355" spans="1:9" ht="15" customHeight="1" x14ac:dyDescent="0.25">
      <c r="A355" s="103">
        <v>144.01</v>
      </c>
      <c r="B355" s="28" t="s">
        <v>528</v>
      </c>
      <c r="C355" s="767">
        <v>-1500</v>
      </c>
      <c r="E355" s="207"/>
      <c r="F355" s="207"/>
      <c r="G355" s="207"/>
      <c r="H355" s="207"/>
      <c r="I355" s="207"/>
    </row>
    <row r="356" spans="1:9" ht="15" customHeight="1" x14ac:dyDescent="0.3">
      <c r="A356" s="103">
        <v>144.02000000000001</v>
      </c>
      <c r="B356" s="28" t="s">
        <v>529</v>
      </c>
      <c r="C356" s="684">
        <v>-191904.99</v>
      </c>
      <c r="E356" s="207"/>
      <c r="F356" s="207"/>
      <c r="G356" s="207"/>
      <c r="H356" s="207"/>
      <c r="I356" s="207"/>
    </row>
    <row r="357" spans="1:9" ht="15" customHeight="1" x14ac:dyDescent="0.25">
      <c r="A357" s="103">
        <v>144.03</v>
      </c>
      <c r="B357" s="28" t="s">
        <v>530</v>
      </c>
      <c r="C357" s="768">
        <v>-2500</v>
      </c>
      <c r="E357" s="207"/>
      <c r="F357" s="207"/>
      <c r="G357" s="207"/>
      <c r="H357" s="207"/>
      <c r="I357" s="207"/>
    </row>
    <row r="358" spans="1:9" ht="15" customHeight="1" x14ac:dyDescent="0.25">
      <c r="A358" s="103"/>
      <c r="B358" s="68"/>
      <c r="C358" s="760">
        <f>SUM(C354:C357)</f>
        <v>-195904.99</v>
      </c>
      <c r="D358" s="686">
        <f>+C358</f>
        <v>-195904.99</v>
      </c>
      <c r="E358" s="207"/>
      <c r="F358" s="207"/>
      <c r="G358" s="207"/>
      <c r="H358" s="207"/>
      <c r="I358" s="207"/>
    </row>
    <row r="359" spans="1:9" ht="15" customHeight="1" x14ac:dyDescent="0.25">
      <c r="A359" s="103"/>
      <c r="B359" s="68"/>
      <c r="C359" s="258"/>
      <c r="D359" s="688"/>
      <c r="E359" s="207"/>
      <c r="F359" s="207"/>
      <c r="G359" s="207"/>
      <c r="H359" s="207"/>
      <c r="I359" s="207"/>
    </row>
    <row r="360" spans="1:9" ht="15" customHeight="1" x14ac:dyDescent="0.25">
      <c r="A360" s="103"/>
      <c r="B360" s="68"/>
      <c r="C360" s="258"/>
      <c r="D360" s="688"/>
      <c r="E360" s="207"/>
      <c r="F360" s="207"/>
      <c r="G360" s="207"/>
      <c r="H360" s="207"/>
      <c r="I360" s="207"/>
    </row>
    <row r="361" spans="1:9" ht="15" customHeight="1" x14ac:dyDescent="0.3">
      <c r="A361" s="103">
        <v>154.01</v>
      </c>
      <c r="B361" s="28" t="s">
        <v>531</v>
      </c>
      <c r="C361" s="684">
        <v>467503.35</v>
      </c>
      <c r="E361" s="207"/>
      <c r="F361" s="207"/>
      <c r="G361" s="207"/>
      <c r="H361" s="207"/>
      <c r="I361" s="207"/>
    </row>
    <row r="362" spans="1:9" ht="15" customHeight="1" x14ac:dyDescent="0.3">
      <c r="A362" s="103">
        <v>155.01</v>
      </c>
      <c r="B362" s="28" t="s">
        <v>532</v>
      </c>
      <c r="C362" s="684">
        <v>23026.57</v>
      </c>
      <c r="E362" s="207"/>
      <c r="F362" s="207"/>
      <c r="G362" s="207"/>
      <c r="H362" s="207"/>
      <c r="I362" s="207"/>
    </row>
    <row r="363" spans="1:9" ht="15" customHeight="1" x14ac:dyDescent="0.3">
      <c r="A363" s="103">
        <v>156.02000000000001</v>
      </c>
      <c r="B363" s="28" t="s">
        <v>533</v>
      </c>
      <c r="C363" s="684">
        <v>0</v>
      </c>
      <c r="E363" s="207"/>
      <c r="F363" s="207"/>
      <c r="G363" s="207"/>
      <c r="H363" s="207"/>
      <c r="I363" s="207"/>
    </row>
    <row r="364" spans="1:9" ht="15" customHeight="1" x14ac:dyDescent="0.25">
      <c r="A364" s="103"/>
      <c r="B364" s="68" t="s">
        <v>45</v>
      </c>
      <c r="C364" s="759">
        <f>SUM(C360:C363)</f>
        <v>490529.92</v>
      </c>
      <c r="D364" s="686">
        <f>+C364</f>
        <v>490529.92</v>
      </c>
      <c r="E364" s="207"/>
      <c r="F364" s="207"/>
      <c r="G364" s="207"/>
      <c r="H364" s="207"/>
      <c r="I364" s="207"/>
    </row>
    <row r="365" spans="1:9" ht="15" customHeight="1" x14ac:dyDescent="0.25">
      <c r="A365" s="103"/>
      <c r="B365" s="68"/>
      <c r="C365" s="258"/>
      <c r="D365" s="688"/>
      <c r="E365" s="207"/>
      <c r="F365" s="207"/>
      <c r="G365" s="207"/>
      <c r="H365" s="207"/>
      <c r="I365" s="207"/>
    </row>
    <row r="366" spans="1:9" s="543" customFormat="1" ht="15" customHeight="1" x14ac:dyDescent="0.25">
      <c r="A366" s="103">
        <v>163.01</v>
      </c>
      <c r="B366" s="68" t="s">
        <v>632</v>
      </c>
      <c r="C366" s="759">
        <v>0</v>
      </c>
      <c r="D366" s="688"/>
      <c r="E366" s="207"/>
      <c r="F366" s="207"/>
      <c r="G366" s="207"/>
      <c r="H366" s="207"/>
      <c r="I366" s="207"/>
    </row>
    <row r="367" spans="1:9" ht="15" customHeight="1" x14ac:dyDescent="0.25">
      <c r="A367" s="103">
        <v>165.01</v>
      </c>
      <c r="B367" s="33" t="s">
        <v>861</v>
      </c>
      <c r="C367" s="769">
        <v>107000.61</v>
      </c>
      <c r="E367" s="207"/>
      <c r="F367" s="207"/>
      <c r="G367" s="207"/>
      <c r="H367" s="207"/>
      <c r="I367" s="207"/>
    </row>
    <row r="368" spans="1:9" s="543" customFormat="1" ht="15" customHeight="1" x14ac:dyDescent="0.25">
      <c r="A368" s="103">
        <v>165.02</v>
      </c>
      <c r="B368" s="33" t="s">
        <v>1198</v>
      </c>
      <c r="C368" s="769"/>
      <c r="D368" s="686"/>
      <c r="E368" s="207"/>
      <c r="F368" s="207"/>
      <c r="G368" s="207"/>
      <c r="H368" s="207"/>
      <c r="I368" s="207"/>
    </row>
    <row r="369" spans="1:9" ht="15" customHeight="1" x14ac:dyDescent="0.3">
      <c r="A369" s="103">
        <v>165.03</v>
      </c>
      <c r="B369" s="33" t="s">
        <v>862</v>
      </c>
      <c r="C369" s="684">
        <v>1020</v>
      </c>
      <c r="E369" s="207"/>
      <c r="F369" s="207"/>
      <c r="G369" s="207"/>
      <c r="H369" s="207"/>
      <c r="I369" s="207"/>
    </row>
    <row r="370" spans="1:9" s="543" customFormat="1" ht="15" customHeight="1" x14ac:dyDescent="0.25">
      <c r="A370" s="103">
        <v>165.04</v>
      </c>
      <c r="B370" s="33" t="s">
        <v>1199</v>
      </c>
      <c r="C370" s="769">
        <v>162</v>
      </c>
      <c r="D370" s="686"/>
      <c r="E370" s="207"/>
      <c r="F370" s="207"/>
      <c r="G370" s="207"/>
      <c r="H370" s="207"/>
      <c r="I370" s="207"/>
    </row>
    <row r="371" spans="1:9" s="543" customFormat="1" ht="15" customHeight="1" x14ac:dyDescent="0.25">
      <c r="A371" s="103">
        <v>165.05</v>
      </c>
      <c r="B371" s="33" t="s">
        <v>1200</v>
      </c>
      <c r="C371" s="769"/>
      <c r="D371" s="686"/>
      <c r="E371" s="207"/>
      <c r="F371" s="207"/>
      <c r="G371" s="207"/>
      <c r="H371" s="207"/>
      <c r="I371" s="207"/>
    </row>
    <row r="372" spans="1:9" ht="15" customHeight="1" x14ac:dyDescent="0.3">
      <c r="A372" s="103">
        <v>165.11</v>
      </c>
      <c r="B372" s="33" t="s">
        <v>956</v>
      </c>
      <c r="C372" s="684"/>
      <c r="E372" s="207"/>
      <c r="F372" s="207"/>
      <c r="G372" s="207"/>
      <c r="H372" s="207"/>
      <c r="I372" s="207"/>
    </row>
    <row r="373" spans="1:9" ht="15" customHeight="1" x14ac:dyDescent="0.3">
      <c r="A373" s="103">
        <v>165.12</v>
      </c>
      <c r="B373" s="33" t="s">
        <v>534</v>
      </c>
      <c r="C373" s="684">
        <v>11274.69</v>
      </c>
      <c r="E373" s="207"/>
      <c r="F373" s="207"/>
      <c r="G373" s="207"/>
      <c r="H373" s="207"/>
      <c r="I373" s="207"/>
    </row>
    <row r="374" spans="1:9" ht="15" customHeight="1" x14ac:dyDescent="0.3">
      <c r="A374" s="103">
        <v>165.15</v>
      </c>
      <c r="B374" s="33" t="s">
        <v>535</v>
      </c>
      <c r="C374" s="684">
        <v>426357.08</v>
      </c>
      <c r="E374" s="207"/>
      <c r="F374" s="207"/>
      <c r="G374" s="207"/>
      <c r="H374" s="207"/>
      <c r="I374" s="207"/>
    </row>
    <row r="375" spans="1:9" ht="15" customHeight="1" x14ac:dyDescent="0.3">
      <c r="A375" s="103">
        <v>165.16</v>
      </c>
      <c r="B375" s="33" t="s">
        <v>536</v>
      </c>
      <c r="C375" s="684"/>
      <c r="E375" s="207"/>
      <c r="F375" s="207"/>
      <c r="G375" s="207"/>
      <c r="H375" s="207"/>
      <c r="I375" s="207"/>
    </row>
    <row r="376" spans="1:9" s="543" customFormat="1" ht="15" customHeight="1" x14ac:dyDescent="0.25">
      <c r="A376" s="103">
        <v>165.21</v>
      </c>
      <c r="B376" s="33" t="s">
        <v>1201</v>
      </c>
      <c r="C376" s="769">
        <v>9663.98</v>
      </c>
      <c r="D376" s="686"/>
      <c r="E376" s="207"/>
      <c r="F376" s="207"/>
      <c r="G376" s="207"/>
      <c r="H376" s="207"/>
      <c r="I376" s="207"/>
    </row>
    <row r="377" spans="1:9" ht="15" customHeight="1" x14ac:dyDescent="0.25">
      <c r="A377" s="103"/>
      <c r="B377" s="68" t="s">
        <v>54</v>
      </c>
      <c r="C377" s="759">
        <f>SUM(C366:C376)</f>
        <v>555478.36</v>
      </c>
      <c r="D377" s="686">
        <f>+C377</f>
        <v>555478.36</v>
      </c>
      <c r="E377" s="207"/>
      <c r="F377" s="207"/>
      <c r="G377" s="207"/>
      <c r="H377" s="207"/>
      <c r="I377" s="207"/>
    </row>
    <row r="378" spans="1:9" ht="15" customHeight="1" x14ac:dyDescent="0.25">
      <c r="A378" s="98"/>
      <c r="B378" s="68"/>
      <c r="C378" s="290"/>
      <c r="D378" s="688"/>
      <c r="E378" s="207"/>
      <c r="F378" s="207"/>
      <c r="G378" s="207"/>
      <c r="H378" s="207"/>
      <c r="I378" s="207"/>
    </row>
    <row r="379" spans="1:9" ht="15" customHeight="1" x14ac:dyDescent="0.3">
      <c r="A379" s="103">
        <v>181.03</v>
      </c>
      <c r="B379" s="33" t="s">
        <v>55</v>
      </c>
      <c r="C379" s="684">
        <v>25409.62</v>
      </c>
      <c r="E379" s="207"/>
      <c r="F379" s="207"/>
      <c r="G379" s="207"/>
      <c r="H379" s="207"/>
      <c r="I379" s="207"/>
    </row>
    <row r="380" spans="1:9" s="513" customFormat="1" ht="15" customHeight="1" x14ac:dyDescent="0.25">
      <c r="A380" s="103">
        <v>182.3</v>
      </c>
      <c r="B380" s="33" t="s">
        <v>958</v>
      </c>
      <c r="C380" s="770"/>
      <c r="D380" s="686"/>
      <c r="E380" s="207"/>
      <c r="F380" s="207"/>
      <c r="G380" s="207"/>
      <c r="H380" s="207"/>
      <c r="I380" s="207"/>
    </row>
    <row r="381" spans="1:9" s="1273" customFormat="1" ht="15" customHeight="1" x14ac:dyDescent="0.25">
      <c r="A381" s="103">
        <v>183.05</v>
      </c>
      <c r="B381" s="33" t="s">
        <v>1406</v>
      </c>
      <c r="C381" s="770">
        <v>263.94</v>
      </c>
      <c r="D381" s="686"/>
      <c r="E381" s="207"/>
      <c r="F381" s="207"/>
      <c r="G381" s="207"/>
      <c r="H381" s="207"/>
      <c r="I381" s="207"/>
    </row>
    <row r="382" spans="1:9" ht="15" customHeight="1" x14ac:dyDescent="0.3">
      <c r="A382" s="103">
        <v>183.1</v>
      </c>
      <c r="B382" s="33" t="s">
        <v>957</v>
      </c>
      <c r="C382" s="684">
        <v>76611.100000000006</v>
      </c>
      <c r="E382" s="207"/>
      <c r="F382" s="207"/>
      <c r="G382" s="207"/>
      <c r="H382" s="207"/>
      <c r="I382" s="207"/>
    </row>
    <row r="383" spans="1:9" ht="15" customHeight="1" x14ac:dyDescent="0.25">
      <c r="A383" s="98"/>
      <c r="B383" s="68"/>
      <c r="C383" s="759">
        <f>SUM(C378:C382)</f>
        <v>102284.66</v>
      </c>
      <c r="D383" s="686">
        <f>+C383</f>
        <v>102284.66</v>
      </c>
      <c r="E383" s="207"/>
      <c r="F383" s="207"/>
      <c r="G383" s="207"/>
      <c r="H383" s="207"/>
      <c r="I383" s="207"/>
    </row>
    <row r="384" spans="1:9" ht="15" customHeight="1" x14ac:dyDescent="0.25">
      <c r="A384" s="103"/>
      <c r="B384" s="68"/>
      <c r="C384" s="754"/>
      <c r="D384" s="688"/>
      <c r="E384" s="207"/>
      <c r="F384" s="207"/>
      <c r="G384" s="207"/>
      <c r="H384" s="207"/>
      <c r="I384" s="207"/>
    </row>
    <row r="385" spans="1:10" s="543" customFormat="1" ht="15" customHeight="1" x14ac:dyDescent="0.25">
      <c r="A385" s="103">
        <v>184.04</v>
      </c>
      <c r="B385" s="68" t="s">
        <v>1204</v>
      </c>
      <c r="C385" s="763"/>
      <c r="D385" s="688"/>
      <c r="E385" s="207"/>
      <c r="F385" s="207"/>
      <c r="G385" s="207"/>
      <c r="H385" s="207"/>
      <c r="I385" s="207"/>
    </row>
    <row r="386" spans="1:10" s="543" customFormat="1" ht="15" customHeight="1" x14ac:dyDescent="0.25">
      <c r="A386" s="103">
        <v>184.23</v>
      </c>
      <c r="B386" s="68" t="s">
        <v>1202</v>
      </c>
      <c r="C386" s="759">
        <v>8728.6</v>
      </c>
      <c r="D386" s="688"/>
      <c r="E386" s="207"/>
      <c r="F386" s="207"/>
      <c r="G386" s="207"/>
      <c r="H386" s="207"/>
      <c r="I386" s="207"/>
    </row>
    <row r="387" spans="1:10" ht="15" customHeight="1" x14ac:dyDescent="0.25">
      <c r="A387" s="52">
        <v>184.24</v>
      </c>
      <c r="B387" s="33" t="s">
        <v>1203</v>
      </c>
      <c r="C387" s="759">
        <v>-9093.6200000000008</v>
      </c>
      <c r="D387" s="688"/>
      <c r="E387" s="207"/>
      <c r="F387" s="207"/>
      <c r="G387" s="207"/>
      <c r="H387" s="207"/>
      <c r="I387" s="207"/>
    </row>
    <row r="388" spans="1:10" s="543" customFormat="1" ht="15" customHeight="1" x14ac:dyDescent="0.25">
      <c r="A388" s="544">
        <v>184.5</v>
      </c>
      <c r="B388" s="33" t="s">
        <v>1204</v>
      </c>
      <c r="C388" s="759">
        <v>25970.74</v>
      </c>
      <c r="D388" s="688"/>
      <c r="E388" s="207"/>
      <c r="F388" s="207"/>
      <c r="G388" s="207"/>
      <c r="H388" s="207"/>
      <c r="I388" s="207"/>
    </row>
    <row r="389" spans="1:10" ht="15" customHeight="1" x14ac:dyDescent="0.3">
      <c r="A389" s="52">
        <v>186.11</v>
      </c>
      <c r="B389" s="33" t="s">
        <v>538</v>
      </c>
      <c r="C389" s="684"/>
      <c r="E389" s="207"/>
      <c r="F389" s="207"/>
      <c r="G389" s="207"/>
      <c r="H389" s="207"/>
      <c r="I389" s="207"/>
    </row>
    <row r="390" spans="1:10" ht="15" customHeight="1" x14ac:dyDescent="0.3">
      <c r="A390" s="52">
        <v>186.29</v>
      </c>
      <c r="B390" s="33" t="s">
        <v>959</v>
      </c>
      <c r="C390" s="684">
        <v>456186</v>
      </c>
      <c r="E390" s="207"/>
      <c r="F390" s="207"/>
      <c r="G390" s="207"/>
      <c r="H390" s="207"/>
      <c r="I390" s="207"/>
    </row>
    <row r="391" spans="1:10" ht="15" customHeight="1" x14ac:dyDescent="0.25">
      <c r="A391" s="103"/>
      <c r="B391" s="68" t="s">
        <v>56</v>
      </c>
      <c r="C391" s="759">
        <f>SUM(C385:C390)</f>
        <v>481791.72</v>
      </c>
      <c r="D391" s="686">
        <f>+C391</f>
        <v>481791.72</v>
      </c>
      <c r="E391" s="207"/>
      <c r="F391" s="207"/>
      <c r="G391" s="207"/>
      <c r="H391" s="207"/>
      <c r="I391" s="207"/>
    </row>
    <row r="392" spans="1:10" ht="15" customHeight="1" x14ac:dyDescent="0.25">
      <c r="A392" s="103"/>
      <c r="B392" s="68"/>
      <c r="C392" s="258" t="s">
        <v>16</v>
      </c>
      <c r="D392" s="688"/>
      <c r="E392" s="207"/>
      <c r="F392" s="207"/>
      <c r="G392" s="207"/>
      <c r="H392" s="207"/>
      <c r="I392" s="207"/>
    </row>
    <row r="393" spans="1:10" ht="15" customHeight="1" x14ac:dyDescent="0.3">
      <c r="A393" s="103">
        <v>200.01</v>
      </c>
      <c r="B393" s="33" t="s">
        <v>57</v>
      </c>
      <c r="C393" s="684">
        <v>-156185</v>
      </c>
      <c r="E393" s="513"/>
      <c r="F393" s="207"/>
      <c r="G393" s="207"/>
      <c r="H393" s="207"/>
      <c r="I393" s="207"/>
    </row>
    <row r="394" spans="1:10" ht="15" customHeight="1" x14ac:dyDescent="0.3">
      <c r="A394" s="103">
        <v>200.02</v>
      </c>
      <c r="B394" s="33" t="s">
        <v>58</v>
      </c>
      <c r="C394" s="684">
        <v>-620</v>
      </c>
      <c r="E394" s="513"/>
      <c r="F394" s="207"/>
      <c r="G394" s="207"/>
      <c r="H394" s="207"/>
      <c r="I394" s="207"/>
      <c r="J394" s="1037"/>
    </row>
    <row r="395" spans="1:10" ht="15" customHeight="1" x14ac:dyDescent="0.25">
      <c r="A395" s="98"/>
      <c r="B395" s="68"/>
      <c r="C395" s="759"/>
      <c r="E395" s="513"/>
      <c r="F395" s="207"/>
      <c r="G395" s="207"/>
      <c r="H395" s="207"/>
      <c r="I395" s="207"/>
    </row>
    <row r="396" spans="1:10" ht="15" customHeight="1" x14ac:dyDescent="0.25">
      <c r="A396" s="98"/>
      <c r="B396" s="68" t="s">
        <v>59</v>
      </c>
      <c r="C396" s="759">
        <f>SUM(C393:C394)</f>
        <v>-156805</v>
      </c>
      <c r="E396" s="420">
        <f>+C396</f>
        <v>-156805</v>
      </c>
      <c r="F396" s="207"/>
      <c r="G396" s="207"/>
      <c r="H396" s="207"/>
      <c r="I396" s="207"/>
    </row>
    <row r="397" spans="1:10" ht="15" customHeight="1" x14ac:dyDescent="0.25">
      <c r="A397" s="98"/>
      <c r="B397" s="68"/>
      <c r="C397" s="290"/>
      <c r="D397" s="688"/>
      <c r="E397" s="207"/>
      <c r="F397" s="207"/>
      <c r="G397" s="207"/>
      <c r="H397" s="207"/>
      <c r="I397" s="207"/>
    </row>
    <row r="398" spans="1:10" ht="15" customHeight="1" x14ac:dyDescent="0.3">
      <c r="A398" s="103">
        <v>201.01</v>
      </c>
      <c r="B398" s="33" t="s">
        <v>60</v>
      </c>
      <c r="C398" s="771">
        <v>-24508291.75</v>
      </c>
      <c r="E398" s="513"/>
      <c r="F398" s="207"/>
      <c r="G398" s="207"/>
      <c r="H398" s="207"/>
      <c r="I398" s="207"/>
    </row>
    <row r="399" spans="1:10" ht="15" customHeight="1" x14ac:dyDescent="0.25">
      <c r="A399" s="103">
        <v>201.2</v>
      </c>
      <c r="B399" s="33" t="s">
        <v>61</v>
      </c>
      <c r="C399" s="763"/>
      <c r="E399" s="513"/>
      <c r="F399" s="207"/>
      <c r="G399" s="207"/>
      <c r="H399" s="207"/>
      <c r="I399" s="207"/>
    </row>
    <row r="400" spans="1:10" ht="15" customHeight="1" x14ac:dyDescent="0.25">
      <c r="A400" s="103"/>
      <c r="B400" s="68"/>
      <c r="C400" s="290"/>
      <c r="E400" s="513"/>
      <c r="F400" s="207"/>
      <c r="G400" s="207"/>
      <c r="H400" s="207"/>
      <c r="I400" s="207"/>
    </row>
    <row r="401" spans="1:9" ht="15" customHeight="1" x14ac:dyDescent="0.25">
      <c r="A401" s="103"/>
      <c r="B401" s="68" t="s">
        <v>62</v>
      </c>
      <c r="C401" s="763">
        <f>SUM(C398:C399)</f>
        <v>-24508291.75</v>
      </c>
      <c r="E401" s="420">
        <f>+C401</f>
        <v>-24508291.75</v>
      </c>
      <c r="F401" s="207"/>
      <c r="G401" s="207"/>
      <c r="H401" s="207"/>
      <c r="I401" s="207"/>
    </row>
    <row r="402" spans="1:9" ht="15" customHeight="1" x14ac:dyDescent="0.25">
      <c r="A402" s="103"/>
      <c r="B402" s="68"/>
      <c r="C402" s="258"/>
      <c r="D402" s="688"/>
      <c r="E402" s="207"/>
      <c r="F402" s="207"/>
      <c r="G402" s="207"/>
      <c r="H402" s="207"/>
      <c r="I402" s="207"/>
    </row>
    <row r="403" spans="1:9" ht="15" customHeight="1" x14ac:dyDescent="0.3">
      <c r="A403" s="103">
        <v>208.01</v>
      </c>
      <c r="B403" s="33" t="s">
        <v>63</v>
      </c>
      <c r="C403" s="684">
        <v>-298215.43</v>
      </c>
      <c r="E403" s="513"/>
      <c r="F403" s="207"/>
      <c r="G403" s="207"/>
      <c r="H403" s="207"/>
      <c r="I403" s="207"/>
    </row>
    <row r="404" spans="1:9" ht="15" customHeight="1" x14ac:dyDescent="0.3">
      <c r="A404" s="98">
        <v>208.02</v>
      </c>
      <c r="B404" s="68" t="s">
        <v>539</v>
      </c>
      <c r="C404" s="684">
        <v>-138.13</v>
      </c>
      <c r="E404" s="513"/>
      <c r="F404" s="207"/>
      <c r="G404" s="207"/>
      <c r="H404" s="207"/>
      <c r="I404" s="207"/>
    </row>
    <row r="405" spans="1:9" ht="15" customHeight="1" x14ac:dyDescent="0.25">
      <c r="A405" s="103"/>
      <c r="B405" s="68" t="s">
        <v>64</v>
      </c>
      <c r="C405" s="759">
        <f>SUM(C402:C404)</f>
        <v>-298353.56</v>
      </c>
      <c r="E405" s="420">
        <f>+C405</f>
        <v>-298353.56</v>
      </c>
      <c r="F405" s="207"/>
      <c r="G405" s="207"/>
      <c r="H405" s="207"/>
      <c r="I405" s="207"/>
    </row>
    <row r="406" spans="1:9" ht="15" customHeight="1" x14ac:dyDescent="0.25">
      <c r="A406" s="103"/>
      <c r="B406" s="68"/>
      <c r="C406" s="258"/>
      <c r="D406" s="688"/>
      <c r="E406" s="207"/>
      <c r="F406" s="207"/>
      <c r="G406" s="207"/>
      <c r="H406" s="207"/>
      <c r="I406" s="207"/>
    </row>
    <row r="407" spans="1:9" ht="15" customHeight="1" x14ac:dyDescent="0.3">
      <c r="A407" s="103">
        <v>217.01</v>
      </c>
      <c r="B407" s="33" t="s">
        <v>540</v>
      </c>
      <c r="C407" s="684">
        <v>-7848.27</v>
      </c>
      <c r="E407" s="513"/>
      <c r="F407" s="207"/>
      <c r="G407" s="207"/>
      <c r="H407" s="207"/>
      <c r="I407" s="207"/>
    </row>
    <row r="408" spans="1:9" ht="15" customHeight="1" x14ac:dyDescent="0.3">
      <c r="A408" s="103">
        <v>217.02</v>
      </c>
      <c r="B408" s="68" t="s">
        <v>541</v>
      </c>
      <c r="C408" s="684">
        <v>-453522.28</v>
      </c>
      <c r="E408" s="513"/>
      <c r="F408" s="207"/>
      <c r="G408" s="207"/>
      <c r="H408" s="207"/>
      <c r="I408" s="207"/>
    </row>
    <row r="409" spans="1:9" ht="15" customHeight="1" x14ac:dyDescent="0.25">
      <c r="A409" s="103"/>
      <c r="B409" s="68" t="s">
        <v>542</v>
      </c>
      <c r="C409" s="759">
        <f>SUM(C406:C408)</f>
        <v>-461370.55000000005</v>
      </c>
      <c r="E409" s="420">
        <f>+C409</f>
        <v>-461370.55000000005</v>
      </c>
      <c r="F409" s="207"/>
      <c r="G409" s="207"/>
      <c r="H409" s="207"/>
      <c r="I409" s="207"/>
    </row>
    <row r="410" spans="1:9" ht="15" customHeight="1" x14ac:dyDescent="0.25">
      <c r="A410" s="98"/>
      <c r="B410" s="68"/>
      <c r="C410" s="258"/>
      <c r="D410" s="688"/>
      <c r="E410" s="207"/>
      <c r="F410" s="207"/>
      <c r="G410" s="207"/>
      <c r="H410" s="207"/>
      <c r="I410" s="207"/>
    </row>
    <row r="411" spans="1:9" ht="15" customHeight="1" x14ac:dyDescent="0.25">
      <c r="A411" s="103">
        <v>219.01</v>
      </c>
      <c r="B411" s="33" t="s">
        <v>65</v>
      </c>
      <c r="C411" s="772">
        <v>481423.06</v>
      </c>
      <c r="E411" s="513"/>
      <c r="F411" s="207"/>
      <c r="G411" s="207"/>
      <c r="H411" s="207"/>
      <c r="I411" s="207"/>
    </row>
    <row r="412" spans="1:9" ht="15" customHeight="1" x14ac:dyDescent="0.25">
      <c r="A412" s="103">
        <v>219.02</v>
      </c>
      <c r="B412" s="33" t="s">
        <v>67</v>
      </c>
      <c r="C412" s="772">
        <v>-589351.99</v>
      </c>
      <c r="E412" s="513"/>
      <c r="F412" s="207"/>
      <c r="G412" s="207"/>
      <c r="H412" s="207"/>
      <c r="I412" s="207"/>
    </row>
    <row r="413" spans="1:9" ht="15" customHeight="1" x14ac:dyDescent="0.25">
      <c r="A413" s="103"/>
      <c r="B413" s="68" t="s">
        <v>68</v>
      </c>
      <c r="C413" s="290">
        <f>SUM(C410:C412)</f>
        <v>-107928.93</v>
      </c>
      <c r="E413" s="291">
        <f>+C413</f>
        <v>-107928.93</v>
      </c>
      <c r="F413" s="207"/>
      <c r="G413" s="207"/>
      <c r="H413" s="207"/>
      <c r="I413" s="207"/>
    </row>
    <row r="414" spans="1:9" ht="15" customHeight="1" x14ac:dyDescent="0.25">
      <c r="A414" s="103"/>
      <c r="B414" s="68"/>
      <c r="C414" s="258"/>
      <c r="D414" s="688"/>
      <c r="E414" s="207"/>
      <c r="F414" s="207"/>
      <c r="G414" s="207"/>
      <c r="H414" s="207"/>
      <c r="I414" s="207"/>
    </row>
    <row r="415" spans="1:9" ht="15" customHeight="1" x14ac:dyDescent="0.3">
      <c r="A415" s="103">
        <v>221</v>
      </c>
      <c r="B415" s="265" t="s">
        <v>497</v>
      </c>
      <c r="C415" s="684">
        <v>-1062058.06</v>
      </c>
      <c r="E415" s="513"/>
      <c r="F415" s="207"/>
      <c r="G415" s="207"/>
      <c r="H415" s="207"/>
      <c r="I415" s="207"/>
    </row>
    <row r="416" spans="1:9" ht="15" customHeight="1" x14ac:dyDescent="0.3">
      <c r="A416" s="103" t="s">
        <v>960</v>
      </c>
      <c r="B416" s="265" t="s">
        <v>961</v>
      </c>
      <c r="C416" s="684">
        <v>-2804921.66</v>
      </c>
      <c r="E416" s="513"/>
      <c r="F416" s="207"/>
      <c r="G416" s="207"/>
      <c r="H416" s="207"/>
      <c r="I416" s="207"/>
    </row>
    <row r="417" spans="1:9" ht="15" customHeight="1" x14ac:dyDescent="0.3">
      <c r="A417" s="103" t="s">
        <v>962</v>
      </c>
      <c r="B417" s="265" t="s">
        <v>963</v>
      </c>
      <c r="C417" s="684">
        <v>-26407685.850000001</v>
      </c>
      <c r="E417" s="513"/>
      <c r="F417" s="207"/>
      <c r="G417" s="207"/>
      <c r="H417" s="207"/>
      <c r="I417" s="207"/>
    </row>
    <row r="418" spans="1:9" ht="15" customHeight="1" x14ac:dyDescent="0.3">
      <c r="A418" s="103" t="s">
        <v>964</v>
      </c>
      <c r="B418" s="265" t="s">
        <v>965</v>
      </c>
      <c r="C418" s="684">
        <v>3328400</v>
      </c>
      <c r="E418" s="513"/>
      <c r="F418" s="207"/>
      <c r="G418" s="207"/>
      <c r="H418" s="207"/>
      <c r="I418" s="207"/>
    </row>
    <row r="419" spans="1:9" ht="15" customHeight="1" x14ac:dyDescent="0.3">
      <c r="A419" s="103" t="s">
        <v>966</v>
      </c>
      <c r="B419" s="265" t="s">
        <v>967</v>
      </c>
      <c r="C419" s="684">
        <v>-6697354.0099999998</v>
      </c>
      <c r="E419" s="513"/>
      <c r="F419" s="207"/>
      <c r="G419" s="207"/>
      <c r="H419" s="207"/>
      <c r="I419" s="207"/>
    </row>
    <row r="420" spans="1:9" ht="15" customHeight="1" x14ac:dyDescent="0.25">
      <c r="A420" s="103"/>
      <c r="B420" s="68" t="s">
        <v>69</v>
      </c>
      <c r="C420" s="759">
        <f>SUM(C415:C419)</f>
        <v>-33643619.579999998</v>
      </c>
      <c r="E420" s="420">
        <f>+C420</f>
        <v>-33643619.579999998</v>
      </c>
      <c r="F420" s="207"/>
      <c r="G420" s="207"/>
      <c r="H420" s="207"/>
      <c r="I420" s="207"/>
    </row>
    <row r="421" spans="1:9" ht="15" customHeight="1" x14ac:dyDescent="0.25">
      <c r="A421" s="103"/>
      <c r="B421" s="68"/>
      <c r="C421" s="258"/>
      <c r="E421" s="513"/>
      <c r="F421" s="207"/>
      <c r="G421" s="207"/>
      <c r="H421" s="207"/>
      <c r="I421" s="207"/>
    </row>
    <row r="422" spans="1:9" ht="15" customHeight="1" x14ac:dyDescent="0.3">
      <c r="A422" s="103">
        <v>231.01</v>
      </c>
      <c r="B422" s="33" t="s">
        <v>543</v>
      </c>
      <c r="C422" s="684">
        <v>0</v>
      </c>
      <c r="E422" s="513"/>
      <c r="F422" s="207"/>
      <c r="G422" s="207"/>
      <c r="H422" s="207"/>
      <c r="I422" s="207"/>
    </row>
    <row r="423" spans="1:9" ht="15" customHeight="1" x14ac:dyDescent="0.3">
      <c r="A423" s="103">
        <v>231.2</v>
      </c>
      <c r="B423" s="33" t="s">
        <v>544</v>
      </c>
      <c r="C423" s="684">
        <v>-2534833</v>
      </c>
      <c r="E423" s="513"/>
      <c r="F423" s="207"/>
      <c r="G423" s="207"/>
      <c r="H423" s="207"/>
      <c r="I423" s="207"/>
    </row>
    <row r="424" spans="1:9" ht="15" customHeight="1" x14ac:dyDescent="0.25">
      <c r="A424" s="103"/>
      <c r="B424" s="68" t="s">
        <v>968</v>
      </c>
      <c r="C424" s="759">
        <f>SUM(C421:C423)</f>
        <v>-2534833</v>
      </c>
      <c r="E424" s="420">
        <f>+C424</f>
        <v>-2534833</v>
      </c>
      <c r="F424" s="207"/>
      <c r="G424" s="207"/>
      <c r="H424" s="207"/>
      <c r="I424" s="207"/>
    </row>
    <row r="425" spans="1:9" ht="15" customHeight="1" x14ac:dyDescent="0.25">
      <c r="A425" s="103"/>
      <c r="B425" s="68"/>
      <c r="C425" s="258"/>
      <c r="D425" s="688"/>
      <c r="E425" s="207"/>
      <c r="F425" s="207"/>
      <c r="G425" s="207"/>
      <c r="H425" s="207"/>
      <c r="I425" s="207"/>
    </row>
    <row r="426" spans="1:9" ht="15" customHeight="1" x14ac:dyDescent="0.3">
      <c r="A426" s="103" t="s">
        <v>969</v>
      </c>
      <c r="B426" s="33" t="s">
        <v>970</v>
      </c>
      <c r="C426" s="684">
        <v>-1481199.03</v>
      </c>
      <c r="E426" s="513"/>
      <c r="F426" s="207"/>
      <c r="G426" s="207"/>
      <c r="H426" s="207"/>
      <c r="I426" s="207"/>
    </row>
    <row r="427" spans="1:9" s="612" customFormat="1" ht="15" customHeight="1" x14ac:dyDescent="0.3">
      <c r="A427" s="103">
        <v>232.04</v>
      </c>
      <c r="B427" s="33" t="s">
        <v>1174</v>
      </c>
      <c r="C427" s="684">
        <v>0</v>
      </c>
      <c r="D427" s="686"/>
      <c r="F427" s="207"/>
      <c r="G427" s="207"/>
      <c r="H427" s="207"/>
      <c r="I427" s="207"/>
    </row>
    <row r="428" spans="1:9" ht="15" customHeight="1" x14ac:dyDescent="0.25">
      <c r="A428" s="103">
        <v>232.05</v>
      </c>
      <c r="B428" s="33" t="s">
        <v>1243</v>
      </c>
      <c r="C428" s="773">
        <v>-8000</v>
      </c>
      <c r="E428" s="513"/>
      <c r="F428" s="207"/>
      <c r="G428" s="207"/>
      <c r="H428" s="207"/>
      <c r="I428" s="207"/>
    </row>
    <row r="429" spans="1:9" ht="15" customHeight="1" x14ac:dyDescent="0.25">
      <c r="A429" s="103"/>
      <c r="B429" s="68" t="s">
        <v>70</v>
      </c>
      <c r="C429" s="759">
        <f>SUM(C425:C428)</f>
        <v>-1489199.03</v>
      </c>
      <c r="E429" s="420">
        <f>+C429</f>
        <v>-1489199.03</v>
      </c>
      <c r="F429" s="207"/>
      <c r="G429" s="207"/>
      <c r="H429" s="207"/>
      <c r="I429" s="207"/>
    </row>
    <row r="430" spans="1:9" ht="15" customHeight="1" x14ac:dyDescent="0.25">
      <c r="A430" s="103"/>
      <c r="B430" s="68"/>
      <c r="C430" s="754"/>
      <c r="E430" s="420"/>
      <c r="F430" s="207"/>
      <c r="G430" s="207"/>
      <c r="H430" s="207"/>
      <c r="I430" s="207"/>
    </row>
    <row r="431" spans="1:9" ht="15" customHeight="1" x14ac:dyDescent="0.3">
      <c r="A431" s="103">
        <v>235.01</v>
      </c>
      <c r="B431" s="33" t="s">
        <v>71</v>
      </c>
      <c r="C431" s="684">
        <v>-191803.71</v>
      </c>
      <c r="E431" s="513"/>
      <c r="F431" s="207"/>
      <c r="G431" s="207"/>
      <c r="H431" s="207"/>
      <c r="I431" s="207"/>
    </row>
    <row r="432" spans="1:9" ht="15" customHeight="1" x14ac:dyDescent="0.3">
      <c r="A432" s="103">
        <v>235.02</v>
      </c>
      <c r="B432" s="33" t="s">
        <v>545</v>
      </c>
      <c r="C432" s="684">
        <v>-2104.09</v>
      </c>
      <c r="E432" s="513"/>
      <c r="F432" s="207"/>
      <c r="G432" s="207"/>
      <c r="H432" s="207"/>
      <c r="I432" s="207"/>
    </row>
    <row r="433" spans="1:9" s="725" customFormat="1" ht="15" customHeight="1" x14ac:dyDescent="0.3">
      <c r="A433" s="103">
        <v>235.05</v>
      </c>
      <c r="B433" s="33" t="s">
        <v>1341</v>
      </c>
      <c r="C433" s="684">
        <v>-280</v>
      </c>
      <c r="D433" s="686"/>
      <c r="F433" s="207"/>
      <c r="G433" s="207"/>
      <c r="H433" s="207"/>
      <c r="I433" s="207"/>
    </row>
    <row r="434" spans="1:9" ht="15" customHeight="1" x14ac:dyDescent="0.25">
      <c r="A434" s="103"/>
      <c r="B434" s="68" t="s">
        <v>72</v>
      </c>
      <c r="C434" s="759">
        <f>SUM(C431:C433)</f>
        <v>-194187.8</v>
      </c>
      <c r="E434" s="420">
        <f>+C434</f>
        <v>-194187.8</v>
      </c>
      <c r="F434" s="207"/>
      <c r="G434" s="207"/>
      <c r="H434" s="207"/>
      <c r="I434" s="207"/>
    </row>
    <row r="435" spans="1:9" ht="15" customHeight="1" x14ac:dyDescent="0.25">
      <c r="A435" s="103"/>
      <c r="B435" s="68"/>
      <c r="C435" s="754"/>
      <c r="E435" s="420"/>
      <c r="F435" s="207"/>
      <c r="G435" s="207"/>
      <c r="H435" s="207"/>
      <c r="I435" s="207"/>
    </row>
    <row r="436" spans="1:9" s="543" customFormat="1" ht="15" customHeight="1" x14ac:dyDescent="0.25">
      <c r="A436" s="103">
        <v>236.01</v>
      </c>
      <c r="B436" s="68" t="s">
        <v>1205</v>
      </c>
      <c r="C436" s="759">
        <v>-569902.27</v>
      </c>
      <c r="D436" s="686"/>
      <c r="E436" s="420"/>
      <c r="F436" s="207"/>
      <c r="G436" s="207"/>
      <c r="H436" s="207"/>
      <c r="I436" s="207"/>
    </row>
    <row r="437" spans="1:9" s="1273" customFormat="1" ht="15" customHeight="1" x14ac:dyDescent="0.25">
      <c r="A437" s="103">
        <v>236.02</v>
      </c>
      <c r="B437" s="68" t="s">
        <v>1407</v>
      </c>
      <c r="C437" s="759">
        <v>-11094.74</v>
      </c>
      <c r="D437" s="686"/>
      <c r="E437" s="420"/>
      <c r="F437" s="207"/>
      <c r="G437" s="207"/>
      <c r="H437" s="207"/>
      <c r="I437" s="207"/>
    </row>
    <row r="438" spans="1:9" ht="15" customHeight="1" x14ac:dyDescent="0.3">
      <c r="A438" s="103">
        <v>236.03</v>
      </c>
      <c r="B438" s="33" t="s">
        <v>863</v>
      </c>
      <c r="C438" s="684">
        <v>-84</v>
      </c>
      <c r="E438" s="513"/>
      <c r="F438" s="207"/>
      <c r="G438" s="207"/>
      <c r="H438" s="207"/>
      <c r="I438" s="207"/>
    </row>
    <row r="439" spans="1:9" ht="15" customHeight="1" x14ac:dyDescent="0.3">
      <c r="A439" s="103">
        <v>236.04</v>
      </c>
      <c r="B439" s="33" t="s">
        <v>546</v>
      </c>
      <c r="C439" s="684">
        <v>-265.79000000000002</v>
      </c>
      <c r="E439" s="513"/>
      <c r="F439" s="207"/>
      <c r="G439" s="207"/>
      <c r="H439" s="207"/>
      <c r="I439" s="207"/>
    </row>
    <row r="440" spans="1:9" ht="15" customHeight="1" x14ac:dyDescent="0.3">
      <c r="A440" s="103">
        <v>236.05</v>
      </c>
      <c r="B440" s="33" t="s">
        <v>547</v>
      </c>
      <c r="C440" s="684">
        <v>-8052.53</v>
      </c>
      <c r="E440" s="513"/>
      <c r="F440" s="207"/>
      <c r="G440" s="207"/>
      <c r="H440" s="207"/>
      <c r="I440" s="207"/>
    </row>
    <row r="441" spans="1:9" ht="15" customHeight="1" x14ac:dyDescent="0.3">
      <c r="A441" s="103">
        <v>236.07</v>
      </c>
      <c r="B441" s="33" t="s">
        <v>548</v>
      </c>
      <c r="C441" s="684">
        <v>-6195.24</v>
      </c>
      <c r="E441" s="513"/>
      <c r="F441" s="207"/>
      <c r="G441" s="207"/>
      <c r="H441" s="207"/>
      <c r="I441" s="207"/>
    </row>
    <row r="442" spans="1:9" ht="15" customHeight="1" x14ac:dyDescent="0.3">
      <c r="A442" s="103">
        <v>236.08</v>
      </c>
      <c r="B442" s="33" t="s">
        <v>549</v>
      </c>
      <c r="C442" s="684">
        <v>-56255.39</v>
      </c>
      <c r="E442" s="513"/>
      <c r="F442" s="207"/>
      <c r="G442" s="207"/>
      <c r="H442" s="207"/>
      <c r="I442" s="207"/>
    </row>
    <row r="443" spans="1:9" ht="15" customHeight="1" x14ac:dyDescent="0.3">
      <c r="A443" s="103">
        <v>236.09</v>
      </c>
      <c r="B443" s="33" t="s">
        <v>550</v>
      </c>
      <c r="C443" s="684">
        <v>-62710.04</v>
      </c>
      <c r="E443" s="513"/>
      <c r="F443" s="207"/>
      <c r="G443" s="207"/>
      <c r="H443" s="207"/>
      <c r="I443" s="207"/>
    </row>
    <row r="444" spans="1:9" ht="15" customHeight="1" x14ac:dyDescent="0.3">
      <c r="A444" s="103">
        <v>237.02</v>
      </c>
      <c r="B444" s="33" t="s">
        <v>864</v>
      </c>
      <c r="C444" s="684">
        <v>-34.61</v>
      </c>
      <c r="E444" s="513"/>
      <c r="F444" s="207"/>
      <c r="G444" s="207"/>
      <c r="H444" s="207"/>
      <c r="I444" s="207"/>
    </row>
    <row r="445" spans="1:9" s="629" customFormat="1" ht="15" customHeight="1" x14ac:dyDescent="0.3">
      <c r="A445" s="103">
        <v>237.03</v>
      </c>
      <c r="B445" s="33" t="s">
        <v>1262</v>
      </c>
      <c r="C445" s="684"/>
      <c r="D445" s="686"/>
      <c r="F445" s="207"/>
      <c r="G445" s="207"/>
      <c r="H445" s="207"/>
      <c r="I445" s="207"/>
    </row>
    <row r="446" spans="1:9" s="543" customFormat="1" ht="15" customHeight="1" x14ac:dyDescent="0.25">
      <c r="A446" s="103">
        <v>237.04</v>
      </c>
      <c r="B446" s="33" t="s">
        <v>1206</v>
      </c>
      <c r="C446" s="774"/>
      <c r="D446" s="686"/>
      <c r="F446" s="207"/>
      <c r="G446" s="207"/>
      <c r="H446" s="207"/>
      <c r="I446" s="207"/>
    </row>
    <row r="447" spans="1:9" ht="15" customHeight="1" x14ac:dyDescent="0.25">
      <c r="A447" s="103">
        <v>238.99</v>
      </c>
      <c r="B447" s="33" t="s">
        <v>551</v>
      </c>
      <c r="C447" s="775">
        <v>-894.37</v>
      </c>
      <c r="E447" s="513"/>
      <c r="F447" s="207"/>
      <c r="G447" s="207"/>
      <c r="H447" s="207"/>
      <c r="I447" s="207"/>
    </row>
    <row r="448" spans="1:9" ht="15" customHeight="1" x14ac:dyDescent="0.25">
      <c r="A448" s="103"/>
      <c r="B448" s="33" t="s">
        <v>552</v>
      </c>
      <c r="C448" s="760">
        <f>SUM(C436:C447)</f>
        <v>-715488.9800000001</v>
      </c>
      <c r="E448" s="420">
        <f>+C448</f>
        <v>-715488.9800000001</v>
      </c>
      <c r="F448" s="207"/>
      <c r="G448" s="207"/>
      <c r="H448" s="207"/>
      <c r="I448" s="207"/>
    </row>
    <row r="449" spans="1:9" ht="15" customHeight="1" x14ac:dyDescent="0.25">
      <c r="A449" s="103"/>
      <c r="B449" s="33"/>
      <c r="C449" s="258"/>
      <c r="E449" s="513"/>
      <c r="F449" s="207"/>
      <c r="G449" s="207"/>
      <c r="H449" s="207"/>
      <c r="I449" s="207"/>
    </row>
    <row r="450" spans="1:9" ht="15" customHeight="1" x14ac:dyDescent="0.3">
      <c r="A450" s="103">
        <v>242.02</v>
      </c>
      <c r="B450" s="33" t="s">
        <v>553</v>
      </c>
      <c r="C450" s="684">
        <v>-58788.97</v>
      </c>
      <c r="E450" s="513"/>
      <c r="F450" s="207"/>
      <c r="G450" s="207"/>
      <c r="H450" s="207"/>
      <c r="I450" s="207"/>
    </row>
    <row r="451" spans="1:9" s="1273" customFormat="1" ht="15" customHeight="1" x14ac:dyDescent="0.3">
      <c r="A451" s="103">
        <v>241.01</v>
      </c>
      <c r="B451" s="33" t="s">
        <v>1408</v>
      </c>
      <c r="C451" s="1038">
        <v>-19791.09</v>
      </c>
      <c r="D451" s="686"/>
      <c r="F451" s="207"/>
      <c r="G451" s="207"/>
      <c r="H451" s="207"/>
      <c r="I451" s="207"/>
    </row>
    <row r="452" spans="1:9" s="1273" customFormat="1" ht="15" customHeight="1" x14ac:dyDescent="0.3">
      <c r="A452" s="103">
        <v>241.02</v>
      </c>
      <c r="B452" s="33" t="s">
        <v>1409</v>
      </c>
      <c r="C452" s="1038">
        <v>-11094.74</v>
      </c>
      <c r="D452" s="686"/>
      <c r="F452" s="207"/>
      <c r="G452" s="207"/>
      <c r="H452" s="207"/>
      <c r="I452" s="207"/>
    </row>
    <row r="453" spans="1:9" s="1273" customFormat="1" ht="15" customHeight="1" x14ac:dyDescent="0.3">
      <c r="A453" s="103">
        <v>241.03</v>
      </c>
      <c r="B453" s="33" t="s">
        <v>1410</v>
      </c>
      <c r="C453" s="1038">
        <v>-5879.87</v>
      </c>
      <c r="D453" s="686"/>
      <c r="F453" s="207"/>
      <c r="G453" s="207"/>
      <c r="H453" s="207"/>
      <c r="I453" s="207"/>
    </row>
    <row r="454" spans="1:9" ht="15" customHeight="1" x14ac:dyDescent="0.3">
      <c r="A454" s="103">
        <v>242.03</v>
      </c>
      <c r="B454" s="33" t="s">
        <v>554</v>
      </c>
      <c r="C454" s="684">
        <v>-185335.62</v>
      </c>
      <c r="E454" s="513"/>
      <c r="F454" s="207"/>
      <c r="G454" s="207"/>
      <c r="H454" s="207"/>
      <c r="I454" s="207"/>
    </row>
    <row r="455" spans="1:9" ht="15" customHeight="1" x14ac:dyDescent="0.3">
      <c r="A455" s="103">
        <v>242.07</v>
      </c>
      <c r="B455" s="33" t="s">
        <v>555</v>
      </c>
      <c r="C455" s="684">
        <v>-220862.78</v>
      </c>
      <c r="E455" s="513"/>
      <c r="F455" s="207"/>
      <c r="G455" s="207"/>
      <c r="H455" s="207"/>
      <c r="I455" s="207"/>
    </row>
    <row r="456" spans="1:9" s="513" customFormat="1" ht="15" customHeight="1" x14ac:dyDescent="0.25">
      <c r="A456" s="103">
        <v>242.08</v>
      </c>
      <c r="B456" s="33" t="s">
        <v>1208</v>
      </c>
      <c r="C456" s="776"/>
      <c r="D456" s="686"/>
      <c r="F456" s="207"/>
      <c r="G456" s="207"/>
      <c r="H456" s="207"/>
      <c r="I456" s="207"/>
    </row>
    <row r="457" spans="1:9" s="513" customFormat="1" ht="15" customHeight="1" x14ac:dyDescent="0.25">
      <c r="A457" s="103">
        <v>242.1</v>
      </c>
      <c r="B457" s="33" t="s">
        <v>1207</v>
      </c>
      <c r="C457" s="776"/>
      <c r="D457" s="686"/>
      <c r="F457" s="207"/>
      <c r="G457" s="207"/>
      <c r="H457" s="207"/>
      <c r="I457" s="207"/>
    </row>
    <row r="458" spans="1:9" s="543" customFormat="1" ht="15" customHeight="1" x14ac:dyDescent="0.25">
      <c r="A458" s="103">
        <v>242.11</v>
      </c>
      <c r="B458" s="33" t="s">
        <v>1209</v>
      </c>
      <c r="C458" s="776"/>
      <c r="D458" s="686"/>
      <c r="F458" s="207"/>
      <c r="G458" s="207"/>
      <c r="H458" s="207"/>
      <c r="I458" s="207"/>
    </row>
    <row r="459" spans="1:9" s="543" customFormat="1" ht="15" customHeight="1" x14ac:dyDescent="0.25">
      <c r="A459" s="103">
        <v>242.12</v>
      </c>
      <c r="B459" s="33" t="s">
        <v>1210</v>
      </c>
      <c r="C459" s="776">
        <v>-958.93</v>
      </c>
      <c r="D459" s="686"/>
      <c r="F459" s="207"/>
      <c r="G459" s="207"/>
      <c r="H459" s="207"/>
      <c r="I459" s="207"/>
    </row>
    <row r="460" spans="1:9" ht="15" customHeight="1" x14ac:dyDescent="0.3">
      <c r="A460" s="103">
        <v>242.14</v>
      </c>
      <c r="B460" s="33" t="s">
        <v>556</v>
      </c>
      <c r="C460" s="684">
        <v>-76444.289999999994</v>
      </c>
      <c r="E460" s="513"/>
      <c r="F460" s="207"/>
      <c r="G460" s="207"/>
      <c r="H460" s="207"/>
      <c r="I460" s="207"/>
    </row>
    <row r="461" spans="1:9" s="612" customFormat="1" ht="15" customHeight="1" x14ac:dyDescent="0.25">
      <c r="A461" s="103">
        <v>242.99</v>
      </c>
      <c r="B461" s="33" t="s">
        <v>1244</v>
      </c>
      <c r="C461" s="777">
        <v>-11.2</v>
      </c>
      <c r="D461" s="686"/>
      <c r="F461" s="207"/>
      <c r="G461" s="207"/>
      <c r="H461" s="207"/>
      <c r="I461" s="207"/>
    </row>
    <row r="462" spans="1:9" s="513" customFormat="1" ht="15" customHeight="1" x14ac:dyDescent="0.3">
      <c r="A462" s="103">
        <v>242.5</v>
      </c>
      <c r="B462" s="33" t="s">
        <v>1211</v>
      </c>
      <c r="C462" s="684">
        <v>-79647.14</v>
      </c>
      <c r="D462" s="686"/>
      <c r="F462" s="207"/>
      <c r="G462" s="207"/>
      <c r="H462" s="207"/>
      <c r="I462" s="207"/>
    </row>
    <row r="463" spans="1:9" ht="15" customHeight="1" x14ac:dyDescent="0.25">
      <c r="A463" s="98"/>
      <c r="B463" s="68" t="s">
        <v>78</v>
      </c>
      <c r="C463" s="760">
        <f>SUM(C450:C462)</f>
        <v>-658814.62999999989</v>
      </c>
      <c r="E463" s="420">
        <f>+C463</f>
        <v>-658814.62999999989</v>
      </c>
      <c r="F463" s="207"/>
      <c r="G463" s="207"/>
      <c r="H463" s="207"/>
      <c r="I463" s="207"/>
    </row>
    <row r="464" spans="1:9" s="612" customFormat="1" ht="15" customHeight="1" x14ac:dyDescent="0.25">
      <c r="A464" s="98"/>
      <c r="B464" s="68"/>
      <c r="C464" s="266"/>
      <c r="D464" s="686"/>
      <c r="E464" s="420"/>
      <c r="F464" s="207"/>
      <c r="G464" s="207"/>
      <c r="H464" s="207"/>
      <c r="I464" s="207"/>
    </row>
    <row r="465" spans="1:9" s="612" customFormat="1" ht="15" customHeight="1" x14ac:dyDescent="0.25">
      <c r="A465" s="98"/>
      <c r="B465" s="68"/>
      <c r="C465" s="778"/>
      <c r="D465" s="686"/>
      <c r="E465" s="420"/>
      <c r="F465" s="207"/>
      <c r="G465" s="207"/>
      <c r="H465" s="207"/>
      <c r="I465" s="207"/>
    </row>
    <row r="466" spans="1:9" s="612" customFormat="1" ht="15" customHeight="1" x14ac:dyDescent="0.3">
      <c r="A466" s="98">
        <v>254.01</v>
      </c>
      <c r="B466" s="68" t="s">
        <v>1245</v>
      </c>
      <c r="C466" s="684">
        <v>-350002</v>
      </c>
      <c r="D466" s="686"/>
      <c r="E466" s="420"/>
      <c r="F466" s="207"/>
      <c r="G466" s="207"/>
      <c r="H466" s="207"/>
      <c r="I466" s="207"/>
    </row>
    <row r="467" spans="1:9" s="612" customFormat="1" ht="15" customHeight="1" x14ac:dyDescent="0.3">
      <c r="A467" s="98">
        <v>254.03</v>
      </c>
      <c r="B467" s="68" t="s">
        <v>1246</v>
      </c>
      <c r="C467" s="684">
        <v>0</v>
      </c>
      <c r="D467" s="686"/>
      <c r="E467" s="420"/>
      <c r="F467" s="207"/>
      <c r="G467" s="207"/>
      <c r="H467" s="207"/>
      <c r="I467" s="207"/>
    </row>
    <row r="468" spans="1:9" s="612" customFormat="1" ht="15" customHeight="1" x14ac:dyDescent="0.25">
      <c r="A468" s="98"/>
      <c r="B468" s="68"/>
      <c r="C468" s="760">
        <f>SUM(C466:C467)</f>
        <v>-350002</v>
      </c>
      <c r="D468" s="686"/>
      <c r="E468" s="420">
        <f>+C468</f>
        <v>-350002</v>
      </c>
      <c r="F468" s="207"/>
      <c r="G468" s="207"/>
      <c r="H468" s="207"/>
      <c r="I468" s="207"/>
    </row>
    <row r="469" spans="1:9" ht="15" customHeight="1" x14ac:dyDescent="0.25">
      <c r="A469" s="103"/>
      <c r="B469" s="68"/>
      <c r="C469" s="763"/>
      <c r="D469" s="688"/>
      <c r="E469" s="520"/>
      <c r="F469" s="207"/>
      <c r="G469" s="207"/>
      <c r="H469" s="207"/>
      <c r="I469" s="207"/>
    </row>
    <row r="470" spans="1:9" ht="15" customHeight="1" x14ac:dyDescent="0.25">
      <c r="A470" s="103">
        <v>252.02</v>
      </c>
      <c r="B470" s="68" t="s">
        <v>1212</v>
      </c>
      <c r="C470" s="779">
        <v>-5536.89</v>
      </c>
      <c r="E470" s="513"/>
      <c r="F470" s="207"/>
      <c r="G470" s="207"/>
      <c r="H470" s="207"/>
      <c r="I470" s="207"/>
    </row>
    <row r="471" spans="1:9" s="1037" customFormat="1" ht="15" customHeight="1" x14ac:dyDescent="0.25">
      <c r="A471" s="103">
        <v>253.04</v>
      </c>
      <c r="B471" s="68" t="s">
        <v>1411</v>
      </c>
      <c r="C471" s="779">
        <v>22706.34</v>
      </c>
      <c r="D471" s="686"/>
      <c r="F471" s="207"/>
      <c r="G471" s="207"/>
      <c r="H471" s="207"/>
      <c r="I471" s="207"/>
    </row>
    <row r="472" spans="1:9" ht="15" customHeight="1" x14ac:dyDescent="0.3">
      <c r="A472" s="103">
        <v>253.02</v>
      </c>
      <c r="B472" s="33" t="s">
        <v>557</v>
      </c>
      <c r="C472" s="684">
        <v>-149652</v>
      </c>
      <c r="E472" s="513"/>
      <c r="F472" s="207"/>
      <c r="G472" s="207"/>
      <c r="H472" s="207"/>
      <c r="I472" s="207"/>
    </row>
    <row r="473" spans="1:9" ht="15" customHeight="1" x14ac:dyDescent="0.25">
      <c r="A473" s="103"/>
      <c r="B473" s="68" t="s">
        <v>82</v>
      </c>
      <c r="C473" s="759">
        <f>SUM(C470:C472)</f>
        <v>-132482.54999999999</v>
      </c>
      <c r="E473" s="420">
        <f>+C473</f>
        <v>-132482.54999999999</v>
      </c>
      <c r="F473" s="207"/>
      <c r="G473" s="207"/>
      <c r="H473" s="207"/>
      <c r="I473" s="207"/>
    </row>
    <row r="474" spans="1:9" ht="15" customHeight="1" x14ac:dyDescent="0.25">
      <c r="A474" s="103"/>
      <c r="B474" s="68"/>
      <c r="C474" s="258"/>
      <c r="E474" s="513"/>
      <c r="F474" s="207"/>
      <c r="G474" s="207"/>
      <c r="H474" s="207"/>
      <c r="I474" s="207"/>
    </row>
    <row r="475" spans="1:9" ht="15" customHeight="1" x14ac:dyDescent="0.3">
      <c r="A475" s="103">
        <v>301.01</v>
      </c>
      <c r="B475" s="33" t="s">
        <v>558</v>
      </c>
      <c r="C475" s="684">
        <v>608.5</v>
      </c>
      <c r="D475" s="688"/>
      <c r="E475" s="207"/>
      <c r="F475" s="207"/>
      <c r="G475" s="207"/>
      <c r="H475" s="207"/>
      <c r="I475" s="207"/>
    </row>
    <row r="476" spans="1:9" ht="15" customHeight="1" x14ac:dyDescent="0.3">
      <c r="A476" s="103">
        <v>301.02</v>
      </c>
      <c r="B476" s="33" t="s">
        <v>559</v>
      </c>
      <c r="C476" s="684">
        <v>5564.04</v>
      </c>
      <c r="D476" s="688"/>
      <c r="E476" s="207"/>
      <c r="F476" s="207"/>
      <c r="G476" s="207"/>
      <c r="H476" s="207"/>
      <c r="I476" s="207"/>
    </row>
    <row r="477" spans="1:9" ht="15" customHeight="1" x14ac:dyDescent="0.3">
      <c r="A477" s="103">
        <v>331.01</v>
      </c>
      <c r="B477" s="33" t="s">
        <v>560</v>
      </c>
      <c r="C477" s="684">
        <v>723220.07</v>
      </c>
      <c r="D477" s="688"/>
      <c r="E477" s="207"/>
      <c r="F477" s="207"/>
      <c r="G477" s="207"/>
      <c r="H477" s="207"/>
      <c r="I477" s="207"/>
    </row>
    <row r="478" spans="1:9" ht="15" customHeight="1" x14ac:dyDescent="0.3">
      <c r="A478" s="103">
        <v>331.04</v>
      </c>
      <c r="B478" s="33" t="s">
        <v>561</v>
      </c>
      <c r="C478" s="684">
        <v>406426.71</v>
      </c>
      <c r="D478" s="688"/>
      <c r="E478" s="207"/>
      <c r="F478" s="207"/>
      <c r="G478" s="207"/>
      <c r="H478" s="207"/>
      <c r="I478" s="207"/>
    </row>
    <row r="479" spans="1:9" ht="15" customHeight="1" x14ac:dyDescent="0.3">
      <c r="A479" s="103">
        <v>332.01</v>
      </c>
      <c r="B479" s="33" t="s">
        <v>562</v>
      </c>
      <c r="C479" s="684">
        <v>449614.04</v>
      </c>
      <c r="D479" s="688"/>
      <c r="E479" s="207"/>
      <c r="F479" s="207"/>
      <c r="G479" s="207"/>
      <c r="H479" s="207"/>
      <c r="I479" s="207"/>
    </row>
    <row r="480" spans="1:9" ht="15" customHeight="1" x14ac:dyDescent="0.3">
      <c r="A480" s="103">
        <v>332.02</v>
      </c>
      <c r="B480" s="33" t="s">
        <v>563</v>
      </c>
      <c r="C480" s="684">
        <v>663905.55000000005</v>
      </c>
      <c r="D480" s="688"/>
      <c r="E480" s="207"/>
      <c r="F480" s="207"/>
      <c r="G480" s="207"/>
      <c r="H480" s="207"/>
      <c r="I480" s="207"/>
    </row>
    <row r="481" spans="1:9" ht="15" customHeight="1" x14ac:dyDescent="0.3">
      <c r="A481" s="103">
        <v>332.03</v>
      </c>
      <c r="B481" s="33" t="s">
        <v>564</v>
      </c>
      <c r="C481" s="684">
        <v>67701.63</v>
      </c>
      <c r="D481" s="688"/>
      <c r="E481" s="207"/>
      <c r="F481" s="207"/>
      <c r="G481" s="207"/>
      <c r="H481" s="207"/>
      <c r="I481" s="207"/>
    </row>
    <row r="482" spans="1:9" ht="15" customHeight="1" x14ac:dyDescent="0.3">
      <c r="A482" s="103">
        <v>333.01</v>
      </c>
      <c r="B482" s="33" t="s">
        <v>565</v>
      </c>
      <c r="C482" s="684">
        <v>989130.75</v>
      </c>
      <c r="D482" s="688"/>
      <c r="E482" s="207"/>
      <c r="F482" s="207"/>
      <c r="G482" s="207"/>
      <c r="H482" s="207"/>
      <c r="I482" s="207"/>
    </row>
    <row r="483" spans="1:9" ht="15" customHeight="1" x14ac:dyDescent="0.3">
      <c r="A483" s="103">
        <v>334.01</v>
      </c>
      <c r="B483" s="33" t="s">
        <v>566</v>
      </c>
      <c r="C483" s="684">
        <v>165244.54999999999</v>
      </c>
      <c r="D483" s="688"/>
      <c r="E483" s="207"/>
      <c r="F483" s="207"/>
      <c r="G483" s="207"/>
      <c r="H483" s="207"/>
      <c r="I483" s="207"/>
    </row>
    <row r="484" spans="1:9" ht="15" customHeight="1" x14ac:dyDescent="0.3">
      <c r="A484" s="103">
        <v>335.01</v>
      </c>
      <c r="B484" s="33" t="s">
        <v>567</v>
      </c>
      <c r="C484" s="684">
        <v>7459.78</v>
      </c>
      <c r="D484" s="688"/>
      <c r="E484" s="207"/>
      <c r="F484" s="207"/>
      <c r="G484" s="207"/>
      <c r="H484" s="207"/>
      <c r="I484" s="207"/>
    </row>
    <row r="485" spans="1:9" ht="15" customHeight="1" x14ac:dyDescent="0.3">
      <c r="A485" s="103">
        <v>336.01</v>
      </c>
      <c r="B485" s="33" t="s">
        <v>568</v>
      </c>
      <c r="C485" s="684">
        <v>76671.83</v>
      </c>
      <c r="D485" s="688"/>
      <c r="E485" s="207"/>
      <c r="F485" s="207"/>
      <c r="G485" s="207"/>
      <c r="H485" s="207"/>
      <c r="I485" s="207"/>
    </row>
    <row r="486" spans="1:9" ht="15" customHeight="1" x14ac:dyDescent="0.3">
      <c r="A486" s="103" t="s">
        <v>971</v>
      </c>
      <c r="B486" s="33" t="s">
        <v>569</v>
      </c>
      <c r="C486" s="684">
        <v>12766764.83</v>
      </c>
      <c r="D486" s="688"/>
      <c r="E486" s="207"/>
      <c r="F486" s="207"/>
      <c r="G486" s="207"/>
      <c r="H486" s="207"/>
      <c r="I486" s="207"/>
    </row>
    <row r="487" spans="1:9" ht="15" customHeight="1" x14ac:dyDescent="0.3">
      <c r="A487" s="103" t="s">
        <v>972</v>
      </c>
      <c r="B487" s="33" t="s">
        <v>570</v>
      </c>
      <c r="C487" s="684">
        <v>21673.06</v>
      </c>
      <c r="D487" s="688"/>
      <c r="E487" s="207"/>
      <c r="F487" s="207"/>
      <c r="G487" s="207"/>
      <c r="H487" s="207"/>
      <c r="I487" s="207"/>
    </row>
    <row r="488" spans="1:9" ht="15" customHeight="1" x14ac:dyDescent="0.3">
      <c r="A488" s="103" t="s">
        <v>973</v>
      </c>
      <c r="B488" s="33" t="s">
        <v>974</v>
      </c>
      <c r="C488" s="684">
        <v>4100.79</v>
      </c>
      <c r="D488" s="688"/>
      <c r="E488" s="207"/>
      <c r="F488" s="207"/>
      <c r="G488" s="207"/>
      <c r="H488" s="207"/>
      <c r="I488" s="207"/>
    </row>
    <row r="489" spans="1:9" ht="15" customHeight="1" x14ac:dyDescent="0.3">
      <c r="A489" s="103" t="s">
        <v>975</v>
      </c>
      <c r="B489" s="33" t="s">
        <v>976</v>
      </c>
      <c r="C489" s="684">
        <v>173188.15</v>
      </c>
      <c r="D489" s="688"/>
      <c r="E489" s="207"/>
      <c r="F489" s="207"/>
      <c r="G489" s="207"/>
      <c r="H489" s="207"/>
      <c r="I489" s="207"/>
    </row>
    <row r="490" spans="1:9" ht="15" customHeight="1" x14ac:dyDescent="0.3">
      <c r="A490" s="103" t="s">
        <v>977</v>
      </c>
      <c r="B490" s="33" t="s">
        <v>978</v>
      </c>
      <c r="C490" s="684">
        <v>10749.35</v>
      </c>
      <c r="D490" s="688"/>
      <c r="E490" s="207"/>
      <c r="F490" s="207"/>
      <c r="G490" s="207"/>
      <c r="H490" s="207"/>
      <c r="I490" s="207"/>
    </row>
    <row r="491" spans="1:9" ht="15" customHeight="1" x14ac:dyDescent="0.3">
      <c r="A491" s="103" t="s">
        <v>979</v>
      </c>
      <c r="B491" s="33" t="s">
        <v>980</v>
      </c>
      <c r="C491" s="684">
        <v>91589.53</v>
      </c>
      <c r="D491" s="688"/>
      <c r="E491" s="207"/>
      <c r="F491" s="207"/>
      <c r="G491" s="207"/>
      <c r="H491" s="207"/>
      <c r="I491" s="207"/>
    </row>
    <row r="492" spans="1:9" ht="15" customHeight="1" x14ac:dyDescent="0.3">
      <c r="A492" s="103" t="s">
        <v>981</v>
      </c>
      <c r="B492" s="33" t="s">
        <v>982</v>
      </c>
      <c r="C492" s="684">
        <v>950995.75</v>
      </c>
      <c r="D492" s="688"/>
      <c r="E492" s="207"/>
      <c r="F492" s="207"/>
      <c r="G492" s="207"/>
      <c r="H492" s="207"/>
      <c r="I492" s="207"/>
    </row>
    <row r="493" spans="1:9" ht="15" customHeight="1" x14ac:dyDescent="0.3">
      <c r="A493" s="103" t="s">
        <v>983</v>
      </c>
      <c r="B493" s="33" t="s">
        <v>984</v>
      </c>
      <c r="C493" s="684">
        <v>32009.91</v>
      </c>
      <c r="D493" s="688"/>
      <c r="E493" s="207"/>
      <c r="F493" s="207"/>
      <c r="G493" s="207"/>
      <c r="H493" s="207"/>
      <c r="I493" s="207"/>
    </row>
    <row r="494" spans="1:9" ht="15" customHeight="1" x14ac:dyDescent="0.3">
      <c r="A494" s="103" t="s">
        <v>985</v>
      </c>
      <c r="B494" s="33" t="s">
        <v>986</v>
      </c>
      <c r="C494" s="684">
        <v>961753.97</v>
      </c>
      <c r="E494" s="207"/>
      <c r="F494" s="207"/>
      <c r="G494" s="207"/>
      <c r="H494" s="207"/>
      <c r="I494" s="207"/>
    </row>
    <row r="495" spans="1:9" ht="15" customHeight="1" x14ac:dyDescent="0.3">
      <c r="A495" s="103" t="s">
        <v>987</v>
      </c>
      <c r="B495" s="33" t="s">
        <v>577</v>
      </c>
      <c r="C495" s="684">
        <v>299706.25</v>
      </c>
      <c r="E495" s="207"/>
      <c r="F495" s="207"/>
      <c r="G495" s="207"/>
      <c r="H495" s="207"/>
      <c r="I495" s="207"/>
    </row>
    <row r="496" spans="1:9" ht="15" customHeight="1" x14ac:dyDescent="0.3">
      <c r="A496" s="103" t="s">
        <v>988</v>
      </c>
      <c r="B496" s="33" t="s">
        <v>989</v>
      </c>
      <c r="C496" s="684">
        <v>237966.83</v>
      </c>
      <c r="E496" s="207"/>
      <c r="F496" s="207"/>
      <c r="G496" s="207"/>
      <c r="H496" s="207"/>
      <c r="I496" s="207"/>
    </row>
    <row r="497" spans="1:9" ht="15" customHeight="1" x14ac:dyDescent="0.3">
      <c r="A497" s="103" t="s">
        <v>990</v>
      </c>
      <c r="B497" s="33" t="s">
        <v>579</v>
      </c>
      <c r="C497" s="684">
        <v>105959.58</v>
      </c>
      <c r="E497" s="207"/>
      <c r="F497" s="207"/>
      <c r="G497" s="207"/>
      <c r="H497" s="207"/>
      <c r="I497" s="207"/>
    </row>
    <row r="498" spans="1:9" ht="15" customHeight="1" x14ac:dyDescent="0.3">
      <c r="A498" s="103" t="s">
        <v>991</v>
      </c>
      <c r="B498" s="33" t="s">
        <v>992</v>
      </c>
      <c r="C498" s="684">
        <v>381164.91</v>
      </c>
      <c r="E498" s="207"/>
      <c r="F498" s="207"/>
      <c r="G498" s="207"/>
      <c r="H498" s="207"/>
      <c r="I498" s="207"/>
    </row>
    <row r="499" spans="1:9" ht="15" customHeight="1" x14ac:dyDescent="0.3">
      <c r="A499" s="103" t="s">
        <v>993</v>
      </c>
      <c r="B499" s="33" t="s">
        <v>994</v>
      </c>
      <c r="C499" s="684">
        <v>200590.39</v>
      </c>
      <c r="E499" s="207"/>
      <c r="F499" s="207"/>
      <c r="G499" s="207"/>
      <c r="H499" s="207"/>
      <c r="I499" s="207"/>
    </row>
    <row r="500" spans="1:9" ht="15" customHeight="1" x14ac:dyDescent="0.3">
      <c r="A500" s="103" t="s">
        <v>995</v>
      </c>
      <c r="B500" s="33" t="s">
        <v>996</v>
      </c>
      <c r="C500" s="684">
        <v>143183.97</v>
      </c>
      <c r="E500" s="207"/>
      <c r="F500" s="207"/>
      <c r="G500" s="207"/>
      <c r="H500" s="207"/>
      <c r="I500" s="207"/>
    </row>
    <row r="501" spans="1:9" ht="15" customHeight="1" x14ac:dyDescent="0.3">
      <c r="A501" s="103" t="s">
        <v>997</v>
      </c>
      <c r="B501" s="33" t="s">
        <v>998</v>
      </c>
      <c r="C501" s="684">
        <v>200831.94</v>
      </c>
      <c r="E501" s="207"/>
      <c r="F501" s="207"/>
      <c r="G501" s="207"/>
      <c r="H501" s="207"/>
      <c r="I501" s="207"/>
    </row>
    <row r="502" spans="1:9" ht="15" customHeight="1" x14ac:dyDescent="0.3">
      <c r="A502" s="103" t="s">
        <v>999</v>
      </c>
      <c r="B502" s="33" t="s">
        <v>1000</v>
      </c>
      <c r="C502" s="684">
        <v>540140.29</v>
      </c>
      <c r="E502" s="207"/>
      <c r="F502" s="207"/>
      <c r="G502" s="207"/>
      <c r="H502" s="207"/>
      <c r="I502" s="207"/>
    </row>
    <row r="503" spans="1:9" ht="15" customHeight="1" x14ac:dyDescent="0.3">
      <c r="A503" s="103" t="s">
        <v>1001</v>
      </c>
      <c r="B503" s="33" t="s">
        <v>1002</v>
      </c>
      <c r="C503" s="684">
        <v>218794.61</v>
      </c>
      <c r="E503" s="207"/>
      <c r="F503" s="207"/>
      <c r="G503" s="207"/>
      <c r="H503" s="207"/>
      <c r="I503" s="207"/>
    </row>
    <row r="504" spans="1:9" ht="15" customHeight="1" x14ac:dyDescent="0.3">
      <c r="A504" s="103" t="s">
        <v>1003</v>
      </c>
      <c r="B504" s="33" t="s">
        <v>1004</v>
      </c>
      <c r="C504" s="684">
        <v>540237.75</v>
      </c>
      <c r="E504" s="207"/>
      <c r="F504" s="207"/>
      <c r="G504" s="207"/>
      <c r="H504" s="207"/>
      <c r="I504" s="207"/>
    </row>
    <row r="505" spans="1:9" ht="15" customHeight="1" x14ac:dyDescent="0.3">
      <c r="A505" s="103" t="s">
        <v>1005</v>
      </c>
      <c r="B505" s="33" t="s">
        <v>1006</v>
      </c>
      <c r="C505" s="684">
        <v>607741.42000000004</v>
      </c>
      <c r="E505" s="207"/>
      <c r="F505" s="207"/>
      <c r="G505" s="207"/>
      <c r="H505" s="207"/>
      <c r="I505" s="207"/>
    </row>
    <row r="506" spans="1:9" ht="15" customHeight="1" x14ac:dyDescent="0.3">
      <c r="A506" s="103" t="s">
        <v>1007</v>
      </c>
      <c r="B506" s="33" t="s">
        <v>1008</v>
      </c>
      <c r="C506" s="684">
        <v>280815.87</v>
      </c>
      <c r="E506" s="207"/>
      <c r="F506" s="207"/>
      <c r="G506" s="207"/>
      <c r="H506" s="207"/>
      <c r="I506" s="207"/>
    </row>
    <row r="507" spans="1:9" ht="15" customHeight="1" x14ac:dyDescent="0.3">
      <c r="A507" s="103" t="s">
        <v>1009</v>
      </c>
      <c r="B507" s="33" t="s">
        <v>1010</v>
      </c>
      <c r="C507" s="684">
        <v>2500.3000000000002</v>
      </c>
      <c r="E507" s="207"/>
      <c r="F507" s="207"/>
      <c r="G507" s="207"/>
      <c r="H507" s="207"/>
      <c r="I507" s="207"/>
    </row>
    <row r="508" spans="1:9" s="612" customFormat="1" ht="15" customHeight="1" x14ac:dyDescent="0.3">
      <c r="A508" s="103">
        <v>362.5</v>
      </c>
      <c r="B508" s="33" t="s">
        <v>1247</v>
      </c>
      <c r="C508" s="684">
        <v>106622.28</v>
      </c>
      <c r="D508" s="686"/>
      <c r="E508" s="207"/>
      <c r="F508" s="207"/>
      <c r="G508" s="207"/>
      <c r="H508" s="207"/>
      <c r="I508" s="207"/>
    </row>
    <row r="509" spans="1:9" s="612" customFormat="1" ht="15" customHeight="1" x14ac:dyDescent="0.3">
      <c r="A509" s="103">
        <v>362.51</v>
      </c>
      <c r="B509" s="33" t="s">
        <v>1248</v>
      </c>
      <c r="C509" s="684">
        <v>9550.6</v>
      </c>
      <c r="D509" s="686"/>
      <c r="E509" s="207"/>
      <c r="F509" s="207"/>
      <c r="G509" s="207"/>
      <c r="H509" s="207"/>
      <c r="I509" s="207"/>
    </row>
    <row r="510" spans="1:9" ht="15" customHeight="1" x14ac:dyDescent="0.3">
      <c r="A510" s="103" t="s">
        <v>1011</v>
      </c>
      <c r="B510" s="33" t="s">
        <v>1012</v>
      </c>
      <c r="C510" s="684">
        <v>215755.02</v>
      </c>
      <c r="E510" s="207"/>
      <c r="F510" s="207"/>
      <c r="G510" s="207"/>
      <c r="H510" s="207"/>
      <c r="I510" s="207"/>
    </row>
    <row r="511" spans="1:9" ht="15" customHeight="1" x14ac:dyDescent="0.3">
      <c r="A511" s="103" t="s">
        <v>1013</v>
      </c>
      <c r="B511" s="33" t="s">
        <v>1014</v>
      </c>
      <c r="C511" s="684">
        <v>29016.39</v>
      </c>
      <c r="E511" s="207"/>
      <c r="F511" s="207"/>
      <c r="G511" s="207"/>
      <c r="H511" s="207"/>
      <c r="I511" s="207"/>
    </row>
    <row r="512" spans="1:9" ht="15" customHeight="1" x14ac:dyDescent="0.3">
      <c r="A512" s="103" t="s">
        <v>1015</v>
      </c>
      <c r="B512" s="33" t="s">
        <v>1016</v>
      </c>
      <c r="C512" s="684">
        <v>24657920.379999999</v>
      </c>
      <c r="E512" s="207"/>
      <c r="F512" s="207"/>
      <c r="G512" s="207"/>
      <c r="H512" s="207"/>
      <c r="I512" s="207"/>
    </row>
    <row r="513" spans="1:9" ht="15" customHeight="1" x14ac:dyDescent="0.3">
      <c r="A513" s="103" t="s">
        <v>1017</v>
      </c>
      <c r="B513" s="33" t="s">
        <v>1018</v>
      </c>
      <c r="C513" s="684">
        <v>18815864.469999999</v>
      </c>
      <c r="E513" s="207"/>
      <c r="F513" s="207"/>
      <c r="G513" s="207"/>
      <c r="H513" s="207"/>
      <c r="I513" s="207"/>
    </row>
    <row r="514" spans="1:9" ht="15" customHeight="1" x14ac:dyDescent="0.3">
      <c r="A514" s="103" t="s">
        <v>1019</v>
      </c>
      <c r="B514" s="33" t="s">
        <v>1020</v>
      </c>
      <c r="C514" s="684">
        <v>24652.33</v>
      </c>
      <c r="E514" s="207"/>
      <c r="F514" s="207"/>
      <c r="G514" s="207"/>
      <c r="H514" s="207"/>
      <c r="I514" s="207"/>
    </row>
    <row r="515" spans="1:9" ht="15" customHeight="1" x14ac:dyDescent="0.3">
      <c r="A515" s="103" t="s">
        <v>1021</v>
      </c>
      <c r="B515" s="33" t="s">
        <v>1022</v>
      </c>
      <c r="C515" s="684">
        <v>1207540.17</v>
      </c>
      <c r="E515" s="207"/>
      <c r="F515" s="207"/>
      <c r="G515" s="207"/>
      <c r="H515" s="207"/>
      <c r="I515" s="207"/>
    </row>
    <row r="516" spans="1:9" ht="15" customHeight="1" x14ac:dyDescent="0.3">
      <c r="A516" s="103" t="s">
        <v>1023</v>
      </c>
      <c r="B516" s="33" t="s">
        <v>1024</v>
      </c>
      <c r="C516" s="684">
        <v>7937497.4800000004</v>
      </c>
      <c r="E516" s="207"/>
      <c r="F516" s="207"/>
      <c r="G516" s="207"/>
      <c r="H516" s="207"/>
      <c r="I516" s="207"/>
    </row>
    <row r="517" spans="1:9" ht="15" customHeight="1" x14ac:dyDescent="0.3">
      <c r="A517" s="103" t="s">
        <v>1025</v>
      </c>
      <c r="B517" s="33" t="s">
        <v>1026</v>
      </c>
      <c r="C517" s="684">
        <v>28828.720000000001</v>
      </c>
      <c r="E517" s="207"/>
      <c r="F517" s="207"/>
      <c r="G517" s="207"/>
      <c r="H517" s="207"/>
      <c r="I517" s="207"/>
    </row>
    <row r="518" spans="1:9" ht="15" customHeight="1" x14ac:dyDescent="0.3">
      <c r="A518" s="103" t="s">
        <v>1027</v>
      </c>
      <c r="B518" s="33" t="s">
        <v>1028</v>
      </c>
      <c r="C518" s="684">
        <v>1449787.29</v>
      </c>
      <c r="E518" s="207"/>
      <c r="F518" s="207"/>
      <c r="G518" s="207"/>
      <c r="H518" s="207"/>
      <c r="I518" s="207"/>
    </row>
    <row r="519" spans="1:9" ht="15" customHeight="1" x14ac:dyDescent="0.3">
      <c r="A519" s="103" t="s">
        <v>1029</v>
      </c>
      <c r="B519" s="33" t="s">
        <v>1030</v>
      </c>
      <c r="C519" s="684">
        <v>10804.55</v>
      </c>
      <c r="E519" s="207"/>
      <c r="F519" s="207"/>
      <c r="G519" s="207"/>
      <c r="H519" s="207"/>
      <c r="I519" s="207"/>
    </row>
    <row r="520" spans="1:9" ht="15" customHeight="1" x14ac:dyDescent="0.3">
      <c r="A520" s="103" t="s">
        <v>1031</v>
      </c>
      <c r="B520" s="33" t="s">
        <v>1032</v>
      </c>
      <c r="C520" s="684">
        <v>1238449.53</v>
      </c>
      <c r="E520" s="207"/>
      <c r="F520" s="207"/>
      <c r="G520" s="207"/>
      <c r="H520" s="207"/>
      <c r="I520" s="207"/>
    </row>
    <row r="521" spans="1:9" ht="15" customHeight="1" x14ac:dyDescent="0.3">
      <c r="A521" s="103" t="s">
        <v>1033</v>
      </c>
      <c r="B521" s="33" t="s">
        <v>1034</v>
      </c>
      <c r="C521" s="684">
        <v>43474.75</v>
      </c>
      <c r="E521" s="207"/>
      <c r="F521" s="207"/>
      <c r="G521" s="207"/>
      <c r="H521" s="207"/>
      <c r="I521" s="207"/>
    </row>
    <row r="522" spans="1:9" ht="15" customHeight="1" x14ac:dyDescent="0.3">
      <c r="A522" s="103" t="s">
        <v>1035</v>
      </c>
      <c r="B522" s="33" t="s">
        <v>1036</v>
      </c>
      <c r="C522" s="684">
        <v>204734.72</v>
      </c>
      <c r="E522" s="207"/>
      <c r="F522" s="207"/>
      <c r="G522" s="207"/>
      <c r="H522" s="207"/>
      <c r="I522" s="207"/>
    </row>
    <row r="523" spans="1:9" ht="15" customHeight="1" x14ac:dyDescent="0.3">
      <c r="A523" s="103" t="s">
        <v>1037</v>
      </c>
      <c r="B523" s="33" t="s">
        <v>1038</v>
      </c>
      <c r="C523" s="684">
        <v>23069.81</v>
      </c>
      <c r="E523" s="207"/>
      <c r="F523" s="207"/>
      <c r="G523" s="207"/>
      <c r="H523" s="207"/>
      <c r="I523" s="207"/>
    </row>
    <row r="524" spans="1:9" ht="15" customHeight="1" x14ac:dyDescent="0.3">
      <c r="A524" s="103" t="s">
        <v>1039</v>
      </c>
      <c r="B524" s="33" t="s">
        <v>1040</v>
      </c>
      <c r="C524" s="684">
        <v>66295.58</v>
      </c>
      <c r="E524" s="207"/>
      <c r="F524" s="207"/>
      <c r="G524" s="207"/>
      <c r="H524" s="207"/>
      <c r="I524" s="207"/>
    </row>
    <row r="525" spans="1:9" ht="15" customHeight="1" x14ac:dyDescent="0.3">
      <c r="A525" s="103" t="s">
        <v>1041</v>
      </c>
      <c r="B525" s="33" t="s">
        <v>1042</v>
      </c>
      <c r="C525" s="684">
        <v>26042.95</v>
      </c>
      <c r="E525" s="207"/>
      <c r="F525" s="207"/>
      <c r="G525" s="207"/>
      <c r="H525" s="207"/>
      <c r="I525" s="207"/>
    </row>
    <row r="526" spans="1:9" ht="15" customHeight="1" x14ac:dyDescent="0.3">
      <c r="A526" s="103" t="s">
        <v>1043</v>
      </c>
      <c r="B526" s="33" t="s">
        <v>1044</v>
      </c>
      <c r="C526" s="684">
        <v>113201.54</v>
      </c>
      <c r="E526" s="207"/>
      <c r="F526" s="207"/>
      <c r="G526" s="207"/>
      <c r="H526" s="207"/>
      <c r="I526" s="207"/>
    </row>
    <row r="527" spans="1:9" ht="15" customHeight="1" x14ac:dyDescent="0.3">
      <c r="A527" s="103" t="s">
        <v>1045</v>
      </c>
      <c r="B527" s="33" t="s">
        <v>1046</v>
      </c>
      <c r="C527" s="684">
        <v>203.4</v>
      </c>
      <c r="E527" s="207"/>
      <c r="F527" s="207"/>
      <c r="G527" s="207"/>
      <c r="H527" s="207"/>
      <c r="I527" s="207"/>
    </row>
    <row r="528" spans="1:9" ht="15" customHeight="1" x14ac:dyDescent="0.3">
      <c r="A528" s="103" t="s">
        <v>1047</v>
      </c>
      <c r="B528" s="33" t="s">
        <v>1048</v>
      </c>
      <c r="C528" s="684">
        <v>53010.74</v>
      </c>
      <c r="E528" s="207"/>
      <c r="F528" s="207"/>
      <c r="G528" s="207"/>
      <c r="H528" s="207"/>
      <c r="I528" s="207"/>
    </row>
    <row r="529" spans="1:9" ht="15" customHeight="1" x14ac:dyDescent="0.3">
      <c r="A529" s="103" t="s">
        <v>1049</v>
      </c>
      <c r="B529" s="33" t="s">
        <v>1050</v>
      </c>
      <c r="C529" s="684">
        <v>1364549.86</v>
      </c>
      <c r="E529" s="207"/>
      <c r="F529" s="207"/>
      <c r="G529" s="207"/>
      <c r="H529" s="207"/>
      <c r="I529" s="207"/>
    </row>
    <row r="530" spans="1:9" ht="15" customHeight="1" x14ac:dyDescent="0.3">
      <c r="A530" s="103" t="s">
        <v>1051</v>
      </c>
      <c r="B530" s="33" t="s">
        <v>1052</v>
      </c>
      <c r="C530" s="684">
        <v>17393.150000000001</v>
      </c>
      <c r="E530" s="207"/>
      <c r="F530" s="207"/>
      <c r="G530" s="207"/>
      <c r="H530" s="207"/>
      <c r="I530" s="207"/>
    </row>
    <row r="531" spans="1:9" ht="15" customHeight="1" x14ac:dyDescent="0.25">
      <c r="A531" s="103" t="s">
        <v>1053</v>
      </c>
      <c r="B531" s="33" t="s">
        <v>1054</v>
      </c>
      <c r="C531" s="617"/>
      <c r="E531" s="207"/>
      <c r="F531" s="207"/>
      <c r="G531" s="207"/>
      <c r="H531" s="207"/>
      <c r="I531" s="207"/>
    </row>
    <row r="532" spans="1:9" s="438" customFormat="1" ht="15" customHeight="1" x14ac:dyDescent="0.3">
      <c r="A532" s="103" t="s">
        <v>1055</v>
      </c>
      <c r="B532" s="33" t="s">
        <v>1056</v>
      </c>
      <c r="C532" s="684">
        <v>782590.47</v>
      </c>
      <c r="D532" s="686"/>
      <c r="E532" s="207"/>
      <c r="F532" s="207"/>
      <c r="G532" s="207"/>
      <c r="H532" s="207"/>
      <c r="I532" s="207"/>
    </row>
    <row r="533" spans="1:9" s="438" customFormat="1" ht="15" customHeight="1" x14ac:dyDescent="0.3">
      <c r="A533" s="103" t="s">
        <v>1057</v>
      </c>
      <c r="B533" s="33" t="s">
        <v>1058</v>
      </c>
      <c r="C533" s="684">
        <v>6196.4</v>
      </c>
      <c r="D533" s="686"/>
      <c r="E533" s="207"/>
      <c r="F533" s="207"/>
      <c r="G533" s="207"/>
      <c r="H533" s="207"/>
      <c r="I533" s="207"/>
    </row>
    <row r="534" spans="1:9" s="438" customFormat="1" ht="15" customHeight="1" x14ac:dyDescent="0.3">
      <c r="A534" s="103" t="s">
        <v>1059</v>
      </c>
      <c r="B534" s="33" t="s">
        <v>1060</v>
      </c>
      <c r="C534" s="684">
        <v>724363.59</v>
      </c>
      <c r="D534" s="686"/>
      <c r="E534" s="207"/>
      <c r="F534" s="207"/>
      <c r="G534" s="207"/>
      <c r="H534" s="207"/>
      <c r="I534" s="207"/>
    </row>
    <row r="535" spans="1:9" s="438" customFormat="1" ht="15" customHeight="1" x14ac:dyDescent="0.3">
      <c r="A535" s="103" t="s">
        <v>1061</v>
      </c>
      <c r="B535" s="33" t="s">
        <v>1062</v>
      </c>
      <c r="C535" s="684">
        <v>2836377.08</v>
      </c>
      <c r="D535" s="686"/>
      <c r="E535" s="207"/>
      <c r="F535" s="207"/>
      <c r="G535" s="207"/>
      <c r="H535" s="207"/>
      <c r="I535" s="207"/>
    </row>
    <row r="536" spans="1:9" s="438" customFormat="1" ht="15" customHeight="1" x14ac:dyDescent="0.3">
      <c r="A536" s="103" t="s">
        <v>1063</v>
      </c>
      <c r="B536" s="33" t="s">
        <v>1064</v>
      </c>
      <c r="C536" s="684">
        <v>37531.730000000003</v>
      </c>
      <c r="D536" s="686"/>
      <c r="E536" s="207"/>
      <c r="F536" s="207"/>
      <c r="G536" s="207"/>
      <c r="H536" s="207"/>
      <c r="I536" s="207"/>
    </row>
    <row r="537" spans="1:9" s="438" customFormat="1" ht="15" customHeight="1" x14ac:dyDescent="0.3">
      <c r="A537" s="103" t="s">
        <v>1065</v>
      </c>
      <c r="B537" s="33" t="s">
        <v>1066</v>
      </c>
      <c r="C537" s="684">
        <v>317425.98</v>
      </c>
      <c r="D537" s="686"/>
      <c r="E537" s="207"/>
      <c r="F537" s="207"/>
      <c r="G537" s="207"/>
      <c r="H537" s="207"/>
      <c r="I537" s="207"/>
    </row>
    <row r="538" spans="1:9" s="438" customFormat="1" ht="15" customHeight="1" x14ac:dyDescent="0.3">
      <c r="A538" s="103" t="s">
        <v>1067</v>
      </c>
      <c r="B538" s="33" t="s">
        <v>1068</v>
      </c>
      <c r="C538" s="684">
        <v>80305.009999999995</v>
      </c>
      <c r="D538" s="686"/>
      <c r="E538" s="207"/>
      <c r="F538" s="207"/>
      <c r="G538" s="207"/>
      <c r="H538" s="207"/>
      <c r="I538" s="207"/>
    </row>
    <row r="539" spans="1:9" s="438" customFormat="1" ht="15" customHeight="1" x14ac:dyDescent="0.3">
      <c r="A539" s="103" t="s">
        <v>1069</v>
      </c>
      <c r="B539" s="33" t="s">
        <v>1070</v>
      </c>
      <c r="C539" s="684">
        <v>1037.9100000000001</v>
      </c>
      <c r="D539" s="686"/>
      <c r="E539" s="207"/>
      <c r="F539" s="207"/>
      <c r="G539" s="207"/>
      <c r="H539" s="207"/>
      <c r="I539" s="207"/>
    </row>
    <row r="540" spans="1:9" s="438" customFormat="1" ht="15" customHeight="1" x14ac:dyDescent="0.3">
      <c r="A540" s="103" t="s">
        <v>1071</v>
      </c>
      <c r="B540" s="33" t="s">
        <v>1072</v>
      </c>
      <c r="C540" s="684">
        <v>95471.53</v>
      </c>
      <c r="D540" s="686"/>
      <c r="E540" s="207"/>
      <c r="F540" s="207"/>
      <c r="G540" s="207"/>
      <c r="H540" s="207"/>
      <c r="I540" s="207"/>
    </row>
    <row r="541" spans="1:9" s="438" customFormat="1" ht="15" customHeight="1" x14ac:dyDescent="0.3">
      <c r="A541" s="103" t="s">
        <v>1073</v>
      </c>
      <c r="B541" s="33" t="s">
        <v>1074</v>
      </c>
      <c r="C541" s="684">
        <v>319076.01</v>
      </c>
      <c r="D541" s="686"/>
      <c r="E541" s="207"/>
      <c r="F541" s="207"/>
      <c r="G541" s="207"/>
      <c r="H541" s="207"/>
      <c r="I541" s="207"/>
    </row>
    <row r="542" spans="1:9" ht="15" customHeight="1" x14ac:dyDescent="0.3">
      <c r="A542" s="103" t="s">
        <v>1075</v>
      </c>
      <c r="B542" s="33" t="s">
        <v>1076</v>
      </c>
      <c r="C542" s="684">
        <v>14008.73</v>
      </c>
      <c r="E542" s="207"/>
      <c r="F542" s="207"/>
      <c r="G542" s="207"/>
      <c r="H542" s="207"/>
      <c r="I542" s="207"/>
    </row>
    <row r="543" spans="1:9" ht="15" customHeight="1" x14ac:dyDescent="0.3">
      <c r="A543" s="103" t="s">
        <v>1077</v>
      </c>
      <c r="B543" s="33" t="s">
        <v>1078</v>
      </c>
      <c r="C543" s="684">
        <v>15819.84</v>
      </c>
      <c r="E543" s="207"/>
      <c r="F543" s="207"/>
      <c r="G543" s="207"/>
      <c r="H543" s="207"/>
      <c r="I543" s="207"/>
    </row>
    <row r="544" spans="1:9" ht="15" customHeight="1" x14ac:dyDescent="0.3">
      <c r="A544" s="103" t="s">
        <v>1079</v>
      </c>
      <c r="B544" s="33" t="s">
        <v>1080</v>
      </c>
      <c r="C544" s="684">
        <v>16825.47</v>
      </c>
      <c r="E544" s="207"/>
      <c r="F544" s="207"/>
      <c r="G544" s="207"/>
      <c r="H544" s="207"/>
      <c r="I544" s="207"/>
    </row>
    <row r="545" spans="1:10" ht="15" customHeight="1" x14ac:dyDescent="0.25">
      <c r="A545" s="104"/>
      <c r="B545" s="68" t="s">
        <v>77</v>
      </c>
      <c r="C545" s="759">
        <f>SUM(C475:C544)</f>
        <v>85219302.360000044</v>
      </c>
      <c r="D545" s="686">
        <f>+C545</f>
        <v>85219302.360000044</v>
      </c>
      <c r="E545" s="207"/>
      <c r="F545" s="262"/>
      <c r="G545" s="263"/>
      <c r="H545" s="264"/>
      <c r="I545" s="207"/>
    </row>
    <row r="546" spans="1:10" ht="15" customHeight="1" x14ac:dyDescent="0.25">
      <c r="A546" s="68"/>
      <c r="B546" s="68"/>
      <c r="C546" s="209"/>
      <c r="D546" s="688"/>
      <c r="E546" s="207"/>
      <c r="F546" s="207"/>
      <c r="G546" s="207"/>
      <c r="H546" s="207"/>
      <c r="I546" s="207"/>
    </row>
    <row r="547" spans="1:10" ht="15" customHeight="1" x14ac:dyDescent="0.25">
      <c r="A547" s="105"/>
      <c r="B547" s="68"/>
      <c r="C547" s="252"/>
      <c r="D547" s="440">
        <f>SUM(D5:D546)</f>
        <v>65251377.360000044</v>
      </c>
      <c r="E547" s="441">
        <f>SUM(E5:E546)</f>
        <v>-65251377.359999992</v>
      </c>
      <c r="F547" s="207"/>
      <c r="G547" s="207"/>
      <c r="H547" s="207"/>
      <c r="I547" s="685">
        <f>+D547+E547</f>
        <v>0</v>
      </c>
      <c r="J547" s="619"/>
    </row>
    <row r="548" spans="1:10" ht="15" customHeight="1" x14ac:dyDescent="0.25">
      <c r="A548" s="106"/>
      <c r="B548" s="68"/>
      <c r="C548" s="252"/>
      <c r="D548" s="688"/>
      <c r="E548" s="207"/>
      <c r="F548" s="207"/>
      <c r="G548" s="207"/>
      <c r="H548" s="207"/>
      <c r="I548" s="207"/>
    </row>
    <row r="549" spans="1:10" ht="15" customHeight="1" x14ac:dyDescent="0.25">
      <c r="A549" s="105"/>
      <c r="B549" s="68"/>
      <c r="C549" s="252"/>
      <c r="D549" s="688"/>
      <c r="E549" s="555"/>
      <c r="F549" s="207"/>
      <c r="G549" s="207"/>
      <c r="H549" s="207"/>
      <c r="I549" s="207"/>
    </row>
    <row r="550" spans="1:10" ht="15" customHeight="1" x14ac:dyDescent="0.25">
      <c r="A550" s="105"/>
      <c r="B550" s="107"/>
      <c r="C550" s="252"/>
      <c r="D550" s="688"/>
      <c r="E550" s="259"/>
      <c r="F550" s="207"/>
      <c r="G550" s="207"/>
      <c r="H550" s="207"/>
      <c r="I550" s="207"/>
    </row>
    <row r="551" spans="1:10" ht="15" customHeight="1" x14ac:dyDescent="0.25">
      <c r="A551" s="105"/>
      <c r="B551" s="68"/>
      <c r="C551" s="252"/>
      <c r="D551" s="688"/>
      <c r="E551" s="207"/>
      <c r="F551" s="207"/>
      <c r="G551" s="207"/>
      <c r="H551" s="207"/>
      <c r="I551" s="207"/>
    </row>
    <row r="552" spans="1:10" ht="15" customHeight="1" x14ac:dyDescent="0.25">
      <c r="A552" s="68"/>
      <c r="B552" s="68"/>
      <c r="C552" s="252"/>
      <c r="D552" s="688"/>
      <c r="E552" s="207"/>
      <c r="F552" s="207"/>
      <c r="G552" s="207"/>
      <c r="H552" s="207"/>
      <c r="I552" s="207"/>
    </row>
    <row r="553" spans="1:10" ht="15" customHeight="1" x14ac:dyDescent="0.25">
      <c r="A553" s="68"/>
      <c r="B553" s="68"/>
      <c r="C553" s="252"/>
      <c r="D553" s="688"/>
      <c r="E553" s="207"/>
      <c r="F553" s="207"/>
      <c r="G553" s="207"/>
      <c r="H553" s="207"/>
      <c r="I553" s="207"/>
    </row>
    <row r="554" spans="1:10" ht="15" customHeight="1" x14ac:dyDescent="0.25">
      <c r="A554" s="68"/>
      <c r="B554" s="68"/>
      <c r="C554" s="252"/>
      <c r="D554" s="688"/>
      <c r="E554" s="207"/>
      <c r="F554" s="207"/>
      <c r="G554" s="207"/>
      <c r="H554" s="207"/>
      <c r="I554" s="207"/>
    </row>
    <row r="555" spans="1:10" ht="15" customHeight="1" x14ac:dyDescent="0.25">
      <c r="A555" s="68"/>
      <c r="B555" s="68"/>
      <c r="C555" s="252"/>
      <c r="D555" s="688"/>
      <c r="E555" s="218" t="s">
        <v>16</v>
      </c>
      <c r="F555" s="207"/>
      <c r="G555" s="207"/>
      <c r="H555" s="207"/>
      <c r="I555" s="207"/>
    </row>
    <row r="556" spans="1:10" ht="15" customHeight="1" x14ac:dyDescent="0.25">
      <c r="A556" s="68"/>
      <c r="B556" s="68"/>
      <c r="C556" s="252"/>
      <c r="D556" s="688"/>
      <c r="E556" s="207"/>
      <c r="F556" s="207"/>
      <c r="G556" s="207"/>
      <c r="H556" s="207"/>
      <c r="I556" s="207"/>
    </row>
    <row r="557" spans="1:10" ht="15" customHeight="1" x14ac:dyDescent="0.25">
      <c r="A557" s="68"/>
      <c r="B557" s="68"/>
      <c r="C557" s="252"/>
      <c r="D557" s="688"/>
      <c r="E557" s="207"/>
      <c r="F557" s="207"/>
      <c r="G557" s="207"/>
      <c r="H557" s="207"/>
      <c r="I557" s="207"/>
    </row>
    <row r="558" spans="1:10" ht="15" customHeight="1" x14ac:dyDescent="0.25">
      <c r="A558" s="68"/>
      <c r="B558" s="68"/>
      <c r="C558" s="252"/>
      <c r="D558" s="688"/>
      <c r="E558" s="207"/>
      <c r="F558" s="207"/>
      <c r="G558" s="207"/>
      <c r="H558" s="207"/>
      <c r="I558" s="207"/>
    </row>
    <row r="559" spans="1:10" ht="15" customHeight="1" x14ac:dyDescent="0.25">
      <c r="A559" s="68"/>
      <c r="B559" s="68"/>
      <c r="C559" s="252"/>
      <c r="D559" s="688"/>
      <c r="E559" s="207"/>
      <c r="F559" s="207"/>
      <c r="G559" s="207"/>
      <c r="H559" s="207"/>
      <c r="I559" s="207"/>
    </row>
    <row r="560" spans="1:10" ht="15" customHeight="1" x14ac:dyDescent="0.25">
      <c r="A560" s="68"/>
      <c r="B560" s="68"/>
      <c r="C560" s="252"/>
      <c r="D560" s="688"/>
      <c r="E560" s="207"/>
      <c r="F560" s="207"/>
      <c r="G560" s="207"/>
      <c r="H560" s="207"/>
      <c r="I560" s="207"/>
    </row>
    <row r="561" spans="1:9" ht="15" customHeight="1" x14ac:dyDescent="0.25">
      <c r="A561" s="68"/>
      <c r="B561" s="68"/>
      <c r="C561" s="252"/>
      <c r="D561" s="688"/>
      <c r="E561" s="207"/>
      <c r="F561" s="207"/>
      <c r="G561" s="207"/>
      <c r="H561" s="207"/>
      <c r="I561" s="207"/>
    </row>
    <row r="562" spans="1:9" ht="15" customHeight="1" x14ac:dyDescent="0.25">
      <c r="A562" s="68"/>
      <c r="B562" s="68"/>
      <c r="C562" s="252"/>
      <c r="D562" s="688"/>
      <c r="E562" s="207"/>
      <c r="F562" s="207"/>
      <c r="G562" s="207"/>
      <c r="H562" s="207"/>
      <c r="I562" s="207"/>
    </row>
    <row r="563" spans="1:9" ht="15" customHeight="1" x14ac:dyDescent="0.25">
      <c r="A563" s="68"/>
      <c r="B563" s="68"/>
      <c r="C563" s="252"/>
      <c r="D563" s="688"/>
      <c r="E563" s="207"/>
      <c r="F563" s="207"/>
      <c r="G563" s="207"/>
      <c r="H563" s="207"/>
      <c r="I563" s="207"/>
    </row>
    <row r="564" spans="1:9" ht="15" customHeight="1" x14ac:dyDescent="0.25">
      <c r="A564" s="68"/>
      <c r="B564" s="68"/>
      <c r="C564" s="252"/>
      <c r="D564" s="688"/>
      <c r="E564" s="207"/>
      <c r="F564" s="207"/>
      <c r="G564" s="207"/>
      <c r="H564" s="207"/>
      <c r="I564" s="207"/>
    </row>
    <row r="565" spans="1:9" ht="15" customHeight="1" x14ac:dyDescent="0.25">
      <c r="A565" s="68"/>
      <c r="B565" s="68"/>
      <c r="C565" s="252"/>
      <c r="D565" s="688"/>
      <c r="E565" s="207"/>
      <c r="F565" s="207"/>
      <c r="G565" s="207"/>
      <c r="H565" s="207"/>
      <c r="I565" s="207"/>
    </row>
    <row r="566" spans="1:9" ht="15" customHeight="1" x14ac:dyDescent="0.25">
      <c r="A566" s="68"/>
      <c r="B566" s="68"/>
      <c r="C566" s="252"/>
      <c r="D566" s="688"/>
      <c r="E566" s="207"/>
      <c r="F566" s="207"/>
      <c r="G566" s="207"/>
      <c r="H566" s="207"/>
      <c r="I566" s="207"/>
    </row>
    <row r="567" spans="1:9" ht="15" customHeight="1" x14ac:dyDescent="0.25">
      <c r="A567" s="68"/>
      <c r="B567" s="68"/>
      <c r="C567" s="252"/>
      <c r="D567" s="688"/>
      <c r="E567" s="207"/>
      <c r="F567" s="207"/>
      <c r="G567" s="207"/>
      <c r="H567" s="207"/>
      <c r="I567" s="207"/>
    </row>
    <row r="568" spans="1:9" ht="15" customHeight="1" x14ac:dyDescent="0.25">
      <c r="A568" s="68"/>
      <c r="B568" s="68"/>
      <c r="C568" s="252"/>
      <c r="D568" s="688"/>
      <c r="E568" s="207"/>
      <c r="F568" s="207"/>
      <c r="G568" s="207"/>
      <c r="H568" s="207"/>
      <c r="I568" s="207"/>
    </row>
    <row r="569" spans="1:9" ht="15" customHeight="1" x14ac:dyDescent="0.25">
      <c r="A569" s="68"/>
      <c r="B569" s="68"/>
      <c r="C569" s="252"/>
      <c r="D569" s="688"/>
      <c r="E569" s="207"/>
      <c r="F569" s="207"/>
      <c r="G569" s="207"/>
      <c r="H569" s="207"/>
      <c r="I569" s="207"/>
    </row>
    <row r="570" spans="1:9" ht="15" customHeight="1" x14ac:dyDescent="0.25">
      <c r="A570" s="68"/>
      <c r="B570" s="68"/>
      <c r="C570" s="252"/>
      <c r="D570" s="688"/>
      <c r="E570" s="207"/>
      <c r="F570" s="207"/>
      <c r="G570" s="207"/>
      <c r="H570" s="207"/>
      <c r="I570" s="207"/>
    </row>
    <row r="571" spans="1:9" ht="15" customHeight="1" x14ac:dyDescent="0.25">
      <c r="A571" s="68"/>
      <c r="B571" s="68"/>
      <c r="C571" s="252"/>
      <c r="D571" s="688"/>
      <c r="E571" s="207"/>
      <c r="F571" s="207"/>
      <c r="G571" s="207"/>
      <c r="H571" s="207"/>
      <c r="I571" s="207"/>
    </row>
    <row r="572" spans="1:9" ht="15" customHeight="1" x14ac:dyDescent="0.25">
      <c r="A572" s="68"/>
      <c r="B572" s="68"/>
      <c r="C572" s="252"/>
      <c r="D572" s="688"/>
      <c r="E572" s="207"/>
      <c r="F572" s="207"/>
      <c r="G572" s="207"/>
      <c r="H572" s="207"/>
      <c r="I572" s="207"/>
    </row>
    <row r="573" spans="1:9" ht="15" customHeight="1" x14ac:dyDescent="0.25">
      <c r="A573" s="68"/>
      <c r="B573" s="68"/>
      <c r="C573" s="252"/>
      <c r="D573" s="688"/>
      <c r="E573" s="207"/>
      <c r="F573" s="207"/>
      <c r="G573" s="207"/>
      <c r="H573" s="207"/>
      <c r="I573" s="207"/>
    </row>
    <row r="574" spans="1:9" ht="15" customHeight="1" x14ac:dyDescent="0.25">
      <c r="A574" s="68"/>
      <c r="B574" s="68"/>
      <c r="C574" s="252"/>
      <c r="D574" s="688"/>
      <c r="E574" s="207"/>
      <c r="F574" s="207"/>
      <c r="G574" s="207"/>
      <c r="H574" s="207"/>
      <c r="I574" s="207"/>
    </row>
    <row r="575" spans="1:9" ht="15" customHeight="1" x14ac:dyDescent="0.25">
      <c r="A575" s="68"/>
      <c r="B575" s="68"/>
      <c r="C575" s="252"/>
      <c r="D575" s="688"/>
      <c r="E575" s="207"/>
      <c r="F575" s="207"/>
      <c r="G575" s="207"/>
      <c r="H575" s="207"/>
      <c r="I575" s="207"/>
    </row>
    <row r="576" spans="1:9" ht="15" customHeight="1" x14ac:dyDescent="0.25">
      <c r="A576" s="68"/>
      <c r="B576" s="68"/>
      <c r="C576" s="252"/>
      <c r="D576" s="688"/>
      <c r="E576" s="207"/>
      <c r="F576" s="207"/>
      <c r="G576" s="207"/>
      <c r="H576" s="207"/>
      <c r="I576" s="207"/>
    </row>
    <row r="577" spans="1:9" ht="15" customHeight="1" x14ac:dyDescent="0.25">
      <c r="A577" s="68"/>
      <c r="B577" s="68"/>
      <c r="C577" s="252"/>
      <c r="D577" s="688"/>
      <c r="E577" s="207"/>
      <c r="F577" s="207"/>
      <c r="G577" s="207"/>
      <c r="H577" s="207"/>
      <c r="I577" s="207"/>
    </row>
    <row r="578" spans="1:9" ht="15" customHeight="1" x14ac:dyDescent="0.25">
      <c r="A578" s="68"/>
      <c r="B578" s="68"/>
      <c r="C578" s="252"/>
      <c r="D578" s="688"/>
      <c r="E578" s="207"/>
      <c r="F578" s="207"/>
      <c r="G578" s="207"/>
      <c r="H578" s="207"/>
      <c r="I578" s="207"/>
    </row>
    <row r="579" spans="1:9" ht="15" customHeight="1" x14ac:dyDescent="0.25">
      <c r="A579" s="68"/>
      <c r="B579" s="68"/>
      <c r="C579" s="252"/>
      <c r="D579" s="688"/>
      <c r="E579" s="207"/>
      <c r="F579" s="207"/>
      <c r="G579" s="207"/>
      <c r="H579" s="207"/>
      <c r="I579" s="207"/>
    </row>
    <row r="580" spans="1:9" ht="15" customHeight="1" x14ac:dyDescent="0.25">
      <c r="A580" s="68"/>
      <c r="B580" s="68"/>
      <c r="C580" s="252"/>
      <c r="D580" s="688"/>
      <c r="E580" s="207"/>
      <c r="F580" s="207"/>
      <c r="G580" s="207"/>
      <c r="H580" s="207"/>
      <c r="I580" s="207"/>
    </row>
    <row r="581" spans="1:9" ht="15" customHeight="1" x14ac:dyDescent="0.25">
      <c r="A581" s="68"/>
      <c r="B581" s="68"/>
      <c r="C581" s="252"/>
      <c r="D581" s="688"/>
      <c r="E581" s="207"/>
      <c r="F581" s="207"/>
      <c r="G581" s="207"/>
      <c r="H581" s="207"/>
      <c r="I581" s="207"/>
    </row>
    <row r="582" spans="1:9" ht="15" customHeight="1" x14ac:dyDescent="0.25">
      <c r="A582" s="68"/>
      <c r="B582" s="68"/>
      <c r="C582" s="252"/>
      <c r="D582" s="688"/>
      <c r="E582" s="207"/>
      <c r="F582" s="207"/>
      <c r="G582" s="207"/>
      <c r="H582" s="207"/>
      <c r="I582" s="207"/>
    </row>
    <row r="583" spans="1:9" ht="15" customHeight="1" x14ac:dyDescent="0.25">
      <c r="A583" s="68"/>
      <c r="B583" s="68"/>
      <c r="C583" s="252"/>
      <c r="D583" s="688"/>
      <c r="E583" s="207"/>
      <c r="F583" s="207"/>
      <c r="G583" s="207"/>
      <c r="H583" s="207"/>
      <c r="I583" s="207"/>
    </row>
    <row r="584" spans="1:9" ht="15" customHeight="1" x14ac:dyDescent="0.25">
      <c r="A584" s="68"/>
      <c r="B584" s="68"/>
      <c r="C584" s="252"/>
      <c r="D584" s="688"/>
      <c r="E584" s="207"/>
      <c r="F584" s="207"/>
      <c r="G584" s="207"/>
      <c r="H584" s="207"/>
      <c r="I584" s="207"/>
    </row>
    <row r="585" spans="1:9" ht="15" customHeight="1" x14ac:dyDescent="0.25">
      <c r="A585" s="68"/>
      <c r="B585" s="68"/>
      <c r="C585" s="252"/>
      <c r="D585" s="688"/>
      <c r="E585" s="207"/>
      <c r="F585" s="207"/>
      <c r="G585" s="207"/>
      <c r="H585" s="207"/>
      <c r="I585" s="207"/>
    </row>
    <row r="586" spans="1:9" ht="15" customHeight="1" x14ac:dyDescent="0.25">
      <c r="A586" s="68"/>
      <c r="B586" s="68"/>
      <c r="C586" s="252"/>
      <c r="D586" s="688"/>
      <c r="E586" s="207"/>
      <c r="F586" s="207"/>
      <c r="G586" s="207"/>
      <c r="H586" s="207"/>
      <c r="I586" s="207"/>
    </row>
    <row r="587" spans="1:9" ht="15" customHeight="1" x14ac:dyDescent="0.25">
      <c r="A587" s="68"/>
      <c r="B587" s="68"/>
      <c r="C587" s="252"/>
      <c r="D587" s="688"/>
      <c r="E587" s="207"/>
      <c r="F587" s="207"/>
      <c r="G587" s="207"/>
      <c r="H587" s="207"/>
      <c r="I587" s="207"/>
    </row>
    <row r="588" spans="1:9" ht="15" customHeight="1" x14ac:dyDescent="0.25">
      <c r="A588" s="68"/>
      <c r="B588" s="68"/>
      <c r="C588" s="252"/>
      <c r="D588" s="688"/>
      <c r="E588" s="207"/>
      <c r="F588" s="207"/>
      <c r="G588" s="207"/>
      <c r="H588" s="207"/>
      <c r="I588" s="207"/>
    </row>
    <row r="589" spans="1:9" ht="15" customHeight="1" x14ac:dyDescent="0.25">
      <c r="A589" s="68"/>
      <c r="B589" s="68"/>
      <c r="C589" s="252"/>
      <c r="D589" s="688"/>
      <c r="E589" s="207"/>
      <c r="F589" s="207"/>
      <c r="G589" s="207"/>
      <c r="H589" s="207"/>
      <c r="I589" s="207"/>
    </row>
    <row r="590" spans="1:9" ht="15" customHeight="1" x14ac:dyDescent="0.25">
      <c r="A590" s="68"/>
      <c r="B590" s="68"/>
      <c r="C590" s="252"/>
      <c r="D590" s="688"/>
      <c r="E590" s="207"/>
      <c r="F590" s="207"/>
      <c r="G590" s="207"/>
      <c r="H590" s="207"/>
      <c r="I590" s="207"/>
    </row>
    <row r="591" spans="1:9" ht="15" customHeight="1" x14ac:dyDescent="0.25">
      <c r="A591" s="68"/>
      <c r="B591" s="68"/>
      <c r="C591" s="252"/>
      <c r="D591" s="688"/>
      <c r="E591" s="207"/>
      <c r="F591" s="207"/>
      <c r="G591" s="207"/>
      <c r="H591" s="207"/>
      <c r="I591" s="207"/>
    </row>
    <row r="592" spans="1:9" ht="15" customHeight="1" x14ac:dyDescent="0.25">
      <c r="A592" s="68"/>
      <c r="B592" s="68"/>
      <c r="C592" s="252"/>
      <c r="D592" s="688"/>
      <c r="E592" s="207"/>
      <c r="F592" s="207"/>
      <c r="G592" s="207"/>
      <c r="H592" s="207"/>
      <c r="I592" s="207"/>
    </row>
    <row r="593" spans="1:9" ht="15" customHeight="1" x14ac:dyDescent="0.25">
      <c r="A593" s="68"/>
      <c r="B593" s="68"/>
      <c r="C593" s="252"/>
      <c r="D593" s="688"/>
      <c r="E593" s="207"/>
      <c r="F593" s="207"/>
      <c r="G593" s="207"/>
      <c r="H593" s="207"/>
      <c r="I593" s="207"/>
    </row>
    <row r="594" spans="1:9" ht="15" customHeight="1" x14ac:dyDescent="0.25">
      <c r="A594" s="68"/>
      <c r="B594" s="68"/>
      <c r="C594" s="252"/>
      <c r="D594" s="688"/>
      <c r="E594" s="207"/>
      <c r="F594" s="207"/>
      <c r="G594" s="207"/>
      <c r="H594" s="207"/>
      <c r="I594" s="207"/>
    </row>
    <row r="595" spans="1:9" ht="15" customHeight="1" x14ac:dyDescent="0.25">
      <c r="A595" s="68"/>
      <c r="B595" s="68"/>
      <c r="C595" s="252"/>
      <c r="D595" s="688"/>
      <c r="E595" s="207"/>
      <c r="F595" s="207"/>
      <c r="G595" s="207"/>
      <c r="H595" s="207"/>
      <c r="I595" s="207"/>
    </row>
    <row r="596" spans="1:9" ht="15" customHeight="1" x14ac:dyDescent="0.25">
      <c r="A596" s="68"/>
      <c r="B596" s="68"/>
      <c r="C596" s="252"/>
      <c r="D596" s="688"/>
      <c r="E596" s="207"/>
      <c r="F596" s="207"/>
      <c r="G596" s="207"/>
      <c r="H596" s="207"/>
      <c r="I596" s="207"/>
    </row>
    <row r="597" spans="1:9" ht="15" customHeight="1" x14ac:dyDescent="0.25">
      <c r="A597" s="68"/>
      <c r="B597" s="68"/>
      <c r="C597" s="252"/>
      <c r="D597" s="688"/>
      <c r="E597" s="207"/>
      <c r="F597" s="207"/>
      <c r="G597" s="207"/>
      <c r="H597" s="207"/>
      <c r="I597" s="207"/>
    </row>
    <row r="598" spans="1:9" ht="15" customHeight="1" x14ac:dyDescent="0.25">
      <c r="A598" s="68"/>
      <c r="B598" s="68"/>
      <c r="C598" s="252"/>
      <c r="D598" s="688"/>
      <c r="E598" s="207"/>
      <c r="F598" s="207"/>
      <c r="G598" s="207"/>
      <c r="H598" s="207"/>
      <c r="I598" s="207"/>
    </row>
    <row r="599" spans="1:9" ht="15" customHeight="1" x14ac:dyDescent="0.25">
      <c r="D599" s="688"/>
      <c r="E599" s="207"/>
      <c r="F599" s="207"/>
      <c r="G599" s="207"/>
      <c r="H599" s="207"/>
      <c r="I599" s="207"/>
    </row>
    <row r="600" spans="1:9" ht="15" customHeight="1" x14ac:dyDescent="0.25">
      <c r="D600" s="688"/>
      <c r="E600" s="207"/>
      <c r="F600" s="207"/>
      <c r="G600" s="207"/>
      <c r="H600" s="207"/>
      <c r="I600" s="207"/>
    </row>
    <row r="601" spans="1:9" ht="15" customHeight="1" x14ac:dyDescent="0.25">
      <c r="D601" s="688"/>
      <c r="E601" s="207"/>
      <c r="F601" s="207"/>
      <c r="G601" s="207"/>
      <c r="H601" s="207"/>
      <c r="I601" s="207"/>
    </row>
    <row r="602" spans="1:9" ht="15" customHeight="1" x14ac:dyDescent="0.25">
      <c r="D602" s="688"/>
      <c r="E602" s="207"/>
      <c r="F602" s="207"/>
      <c r="G602" s="207"/>
      <c r="H602" s="207"/>
      <c r="I602" s="207"/>
    </row>
    <row r="603" spans="1:9" ht="15" customHeight="1" x14ac:dyDescent="0.25">
      <c r="D603" s="688"/>
      <c r="E603" s="207"/>
      <c r="F603" s="207"/>
      <c r="G603" s="207"/>
      <c r="H603" s="207"/>
      <c r="I603" s="207"/>
    </row>
    <row r="604" spans="1:9" ht="15" customHeight="1" x14ac:dyDescent="0.25">
      <c r="D604" s="688"/>
      <c r="E604" s="207"/>
      <c r="F604" s="207"/>
      <c r="G604" s="207"/>
      <c r="H604" s="207"/>
      <c r="I604" s="207"/>
    </row>
    <row r="605" spans="1:9" ht="15" customHeight="1" x14ac:dyDescent="0.25">
      <c r="D605" s="688"/>
      <c r="E605" s="207"/>
    </row>
    <row r="606" spans="1:9" ht="15" customHeight="1" x14ac:dyDescent="0.25">
      <c r="D606" s="688"/>
      <c r="E606" s="207"/>
    </row>
    <row r="607" spans="1:9" ht="15" customHeight="1" x14ac:dyDescent="0.25">
      <c r="D607" s="688"/>
      <c r="E607" s="207"/>
    </row>
    <row r="608" spans="1:9" ht="15" customHeight="1" x14ac:dyDescent="0.25">
      <c r="D608" s="688"/>
      <c r="E608" s="207"/>
    </row>
    <row r="609" spans="4:5" ht="15" customHeight="1" x14ac:dyDescent="0.25">
      <c r="D609" s="688"/>
      <c r="E609" s="207"/>
    </row>
    <row r="610" spans="4:5" ht="15" customHeight="1" x14ac:dyDescent="0.25">
      <c r="D610" s="688"/>
      <c r="E610" s="207"/>
    </row>
    <row r="611" spans="4:5" ht="15" customHeight="1" x14ac:dyDescent="0.25">
      <c r="D611" s="688"/>
      <c r="E611" s="207"/>
    </row>
    <row r="612" spans="4:5" ht="15" customHeight="1" x14ac:dyDescent="0.25">
      <c r="D612" s="688"/>
      <c r="E612" s="207"/>
    </row>
    <row r="613" spans="4:5" ht="15" customHeight="1" x14ac:dyDescent="0.25">
      <c r="D613" s="688"/>
      <c r="E613" s="207"/>
    </row>
    <row r="614" spans="4:5" ht="15" customHeight="1" x14ac:dyDescent="0.25">
      <c r="D614" s="688"/>
      <c r="E614" s="207"/>
    </row>
    <row r="615" spans="4:5" ht="15" customHeight="1" x14ac:dyDescent="0.25">
      <c r="D615" s="688"/>
      <c r="E615" s="207"/>
    </row>
    <row r="616" spans="4:5" ht="15" customHeight="1" x14ac:dyDescent="0.25">
      <c r="D616" s="688"/>
      <c r="E616" s="207"/>
    </row>
    <row r="617" spans="4:5" ht="15" customHeight="1" x14ac:dyDescent="0.25">
      <c r="D617" s="688"/>
      <c r="E617" s="207"/>
    </row>
  </sheetData>
  <sheetProtection selectLockedCells="1" sort="0" pivotTables="0" selectUnlockedCells="1"/>
  <phoneticPr fontId="12" type="noConversion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A183:A186 A166 A145:A149 A175:A181 A141:A142 A151:A164 A168:A173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M226"/>
  <sheetViews>
    <sheetView showGridLines="0" zoomScaleNormal="100" workbookViewId="0">
      <pane ySplit="7" topLeftCell="A64" activePane="bottomLeft" state="frozen"/>
      <selection pane="bottomLeft" activeCell="D115" sqref="D115"/>
    </sheetView>
  </sheetViews>
  <sheetFormatPr defaultColWidth="8" defaultRowHeight="15" customHeight="1" x14ac:dyDescent="0.25"/>
  <cols>
    <col min="1" max="1" width="3.453125" style="36" bestFit="1" customWidth="1"/>
    <col min="2" max="2" width="7.6328125" style="36" customWidth="1"/>
    <col min="3" max="3" width="32.1796875" style="36" customWidth="1"/>
    <col min="4" max="4" width="12.90625" style="207" bestFit="1" customWidth="1"/>
    <col min="5" max="5" width="13" style="100" customWidth="1"/>
    <col min="6" max="6" width="9.1796875" style="36" customWidth="1"/>
    <col min="7" max="7" width="11.6328125" style="36" customWidth="1"/>
    <col min="8" max="9" width="8" style="36" customWidth="1"/>
    <col min="10" max="10" width="9.6328125" style="36" customWidth="1"/>
    <col min="11" max="11" width="12.90625" style="36" customWidth="1"/>
    <col min="12" max="12" width="12" style="36" bestFit="1" customWidth="1"/>
    <col min="13" max="13" width="11.54296875" style="36" bestFit="1" customWidth="1"/>
    <col min="14" max="16384" width="8" style="36"/>
  </cols>
  <sheetData>
    <row r="1" spans="1:13" ht="15" customHeight="1" x14ac:dyDescent="0.25">
      <c r="B1" s="64" t="s">
        <v>748</v>
      </c>
    </row>
    <row r="2" spans="1:13" ht="15" customHeight="1" x14ac:dyDescent="0.25">
      <c r="B2" s="64" t="s">
        <v>838</v>
      </c>
      <c r="C2" s="68"/>
      <c r="D2" s="252"/>
    </row>
    <row r="3" spans="1:13" ht="15" customHeight="1" x14ac:dyDescent="0.25">
      <c r="B3" s="62" t="s">
        <v>839</v>
      </c>
      <c r="C3" s="62"/>
      <c r="D3" s="252"/>
    </row>
    <row r="4" spans="1:13" ht="15" customHeight="1" x14ac:dyDescent="0.25">
      <c r="B4" s="62"/>
      <c r="C4" s="62"/>
      <c r="D4" s="252"/>
    </row>
    <row r="5" spans="1:13" ht="15" customHeight="1" x14ac:dyDescent="0.25">
      <c r="B5" s="62"/>
      <c r="C5" s="224"/>
      <c r="D5" s="252"/>
    </row>
    <row r="6" spans="1:13" ht="15" customHeight="1" x14ac:dyDescent="0.25">
      <c r="A6" s="36" t="s">
        <v>75</v>
      </c>
      <c r="B6" s="101" t="s">
        <v>236</v>
      </c>
      <c r="C6" s="102"/>
      <c r="D6" s="765">
        <v>44742</v>
      </c>
      <c r="E6" s="404"/>
      <c r="F6" s="405"/>
    </row>
    <row r="7" spans="1:13" ht="15" customHeight="1" x14ac:dyDescent="0.25">
      <c r="A7" s="36" t="s">
        <v>840</v>
      </c>
      <c r="B7" s="98" t="s">
        <v>42</v>
      </c>
      <c r="C7" s="98" t="s">
        <v>43</v>
      </c>
      <c r="D7" s="766" t="s">
        <v>309</v>
      </c>
      <c r="E7" s="259"/>
      <c r="F7" s="207"/>
      <c r="G7" s="100"/>
    </row>
    <row r="8" spans="1:13" ht="15" customHeight="1" x14ac:dyDescent="0.3">
      <c r="A8" s="36">
        <v>1</v>
      </c>
      <c r="B8" s="103">
        <v>301.01</v>
      </c>
      <c r="C8" s="33" t="s">
        <v>558</v>
      </c>
      <c r="D8" s="684">
        <v>608.5</v>
      </c>
      <c r="E8" s="103"/>
      <c r="F8" s="33"/>
      <c r="G8" s="684"/>
      <c r="K8" s="103"/>
      <c r="L8" s="33"/>
      <c r="M8" s="618"/>
    </row>
    <row r="9" spans="1:13" ht="15" customHeight="1" x14ac:dyDescent="0.3">
      <c r="A9" s="36">
        <v>2</v>
      </c>
      <c r="B9" s="103">
        <v>301.02</v>
      </c>
      <c r="C9" s="33" t="s">
        <v>559</v>
      </c>
      <c r="D9" s="684">
        <v>5564.04</v>
      </c>
      <c r="E9" s="103"/>
      <c r="F9" s="33"/>
      <c r="G9" s="684"/>
      <c r="K9" s="103"/>
      <c r="L9" s="33"/>
      <c r="M9" s="618"/>
    </row>
    <row r="10" spans="1:13" ht="15" customHeight="1" x14ac:dyDescent="0.3">
      <c r="A10" s="36">
        <v>3</v>
      </c>
      <c r="B10" s="103">
        <v>331.01</v>
      </c>
      <c r="C10" s="33" t="s">
        <v>560</v>
      </c>
      <c r="D10" s="684">
        <v>723220.07</v>
      </c>
      <c r="E10" s="103"/>
      <c r="F10" s="33"/>
      <c r="G10" s="684"/>
      <c r="K10" s="103"/>
      <c r="L10" s="33"/>
      <c r="M10" s="618"/>
    </row>
    <row r="11" spans="1:13" ht="15" customHeight="1" x14ac:dyDescent="0.3">
      <c r="A11" s="36">
        <v>4</v>
      </c>
      <c r="B11" s="103">
        <v>331.04</v>
      </c>
      <c r="C11" s="33" t="s">
        <v>561</v>
      </c>
      <c r="D11" s="684">
        <v>406426.71</v>
      </c>
      <c r="E11" s="103"/>
      <c r="F11" s="33"/>
      <c r="G11" s="684"/>
      <c r="K11" s="103"/>
      <c r="L11" s="33"/>
      <c r="M11" s="618"/>
    </row>
    <row r="12" spans="1:13" ht="15" customHeight="1" x14ac:dyDescent="0.3">
      <c r="A12" s="36">
        <v>5</v>
      </c>
      <c r="B12" s="103">
        <v>332.01</v>
      </c>
      <c r="C12" s="33" t="s">
        <v>562</v>
      </c>
      <c r="D12" s="684">
        <v>449614.04</v>
      </c>
      <c r="E12" s="103"/>
      <c r="F12" s="33"/>
      <c r="G12" s="684"/>
      <c r="K12" s="103"/>
      <c r="L12" s="33"/>
      <c r="M12" s="618"/>
    </row>
    <row r="13" spans="1:13" ht="15" customHeight="1" x14ac:dyDescent="0.3">
      <c r="A13" s="36">
        <v>6</v>
      </c>
      <c r="B13" s="103">
        <v>332.02</v>
      </c>
      <c r="C13" s="33" t="s">
        <v>563</v>
      </c>
      <c r="D13" s="684">
        <v>663905.55000000005</v>
      </c>
      <c r="E13" s="103"/>
      <c r="F13" s="33"/>
      <c r="G13" s="684"/>
      <c r="K13" s="103"/>
      <c r="L13" s="33"/>
      <c r="M13" s="618"/>
    </row>
    <row r="14" spans="1:13" ht="15" customHeight="1" x14ac:dyDescent="0.3">
      <c r="A14" s="36">
        <v>7</v>
      </c>
      <c r="B14" s="103">
        <v>332.03</v>
      </c>
      <c r="C14" s="33" t="s">
        <v>564</v>
      </c>
      <c r="D14" s="684">
        <v>67701.63</v>
      </c>
      <c r="E14" s="103"/>
      <c r="F14" s="33"/>
      <c r="G14" s="684"/>
      <c r="K14" s="103"/>
      <c r="L14" s="33"/>
      <c r="M14" s="618"/>
    </row>
    <row r="15" spans="1:13" ht="15" customHeight="1" x14ac:dyDescent="0.3">
      <c r="A15" s="36">
        <v>8</v>
      </c>
      <c r="B15" s="103">
        <v>333.01</v>
      </c>
      <c r="C15" s="33" t="s">
        <v>565</v>
      </c>
      <c r="D15" s="684">
        <v>989130.75</v>
      </c>
      <c r="E15" s="103"/>
      <c r="F15" s="33"/>
      <c r="G15" s="684"/>
      <c r="K15" s="103"/>
      <c r="L15" s="33"/>
      <c r="M15" s="618"/>
    </row>
    <row r="16" spans="1:13" ht="15" customHeight="1" x14ac:dyDescent="0.3">
      <c r="A16" s="36">
        <v>9</v>
      </c>
      <c r="B16" s="103">
        <v>334.01</v>
      </c>
      <c r="C16" s="33" t="s">
        <v>566</v>
      </c>
      <c r="D16" s="684">
        <v>165244.54999999999</v>
      </c>
      <c r="E16" s="103"/>
      <c r="F16" s="33"/>
      <c r="G16" s="684"/>
      <c r="K16" s="103"/>
      <c r="L16" s="33"/>
      <c r="M16" s="618"/>
    </row>
    <row r="17" spans="1:13" ht="15" customHeight="1" x14ac:dyDescent="0.3">
      <c r="A17" s="36">
        <v>10</v>
      </c>
      <c r="B17" s="103">
        <v>335.01</v>
      </c>
      <c r="C17" s="33" t="s">
        <v>567</v>
      </c>
      <c r="D17" s="684">
        <v>7459.78</v>
      </c>
      <c r="E17" s="103"/>
      <c r="F17" s="33"/>
      <c r="G17" s="684"/>
      <c r="K17" s="103"/>
      <c r="L17" s="33"/>
      <c r="M17" s="618"/>
    </row>
    <row r="18" spans="1:13" ht="15" customHeight="1" x14ac:dyDescent="0.3">
      <c r="A18" s="36">
        <v>11</v>
      </c>
      <c r="B18" s="103">
        <v>336.01</v>
      </c>
      <c r="C18" s="33" t="s">
        <v>568</v>
      </c>
      <c r="D18" s="684">
        <v>76671.83</v>
      </c>
      <c r="E18" s="103"/>
      <c r="F18" s="33"/>
      <c r="G18" s="684"/>
      <c r="K18" s="103"/>
      <c r="L18" s="33"/>
      <c r="M18" s="618"/>
    </row>
    <row r="19" spans="1:13" ht="15" customHeight="1" x14ac:dyDescent="0.3">
      <c r="A19" s="36">
        <v>12</v>
      </c>
      <c r="B19" s="103">
        <v>362.02</v>
      </c>
      <c r="C19" s="33" t="s">
        <v>581</v>
      </c>
      <c r="D19" s="684">
        <v>200590.39</v>
      </c>
      <c r="E19" s="259"/>
      <c r="F19" s="207"/>
      <c r="G19" s="100"/>
      <c r="K19" s="103"/>
      <c r="L19" s="33"/>
      <c r="M19" s="618"/>
    </row>
    <row r="20" spans="1:13" ht="15" customHeight="1" x14ac:dyDescent="0.25">
      <c r="A20" s="36">
        <v>13</v>
      </c>
      <c r="B20" s="103"/>
      <c r="C20" s="303" t="s">
        <v>851</v>
      </c>
      <c r="D20" s="791">
        <f>SUM(D8:D19)</f>
        <v>3756137.84</v>
      </c>
      <c r="E20" s="259"/>
      <c r="F20" s="207"/>
      <c r="G20" s="100"/>
      <c r="K20" s="103"/>
      <c r="L20" s="33"/>
      <c r="M20" s="617"/>
    </row>
    <row r="21" spans="1:13" ht="15" customHeight="1" x14ac:dyDescent="0.25">
      <c r="A21" s="36">
        <v>14</v>
      </c>
      <c r="B21" s="103"/>
      <c r="C21" s="33"/>
      <c r="D21" s="258"/>
      <c r="E21" s="259"/>
      <c r="F21" s="207"/>
      <c r="G21" s="100"/>
      <c r="K21" s="103"/>
      <c r="L21" s="33"/>
      <c r="M21" s="617"/>
    </row>
    <row r="22" spans="1:13" ht="15" customHeight="1" x14ac:dyDescent="0.3">
      <c r="A22" s="36">
        <v>15</v>
      </c>
      <c r="B22" s="103">
        <v>341.05</v>
      </c>
      <c r="C22" s="33" t="s">
        <v>569</v>
      </c>
      <c r="D22" s="684">
        <v>12766764.83</v>
      </c>
      <c r="E22" s="259"/>
      <c r="F22" s="207"/>
      <c r="G22" s="100"/>
      <c r="K22" s="103"/>
      <c r="L22" s="33"/>
      <c r="M22" s="617"/>
    </row>
    <row r="23" spans="1:13" ht="15" customHeight="1" x14ac:dyDescent="0.25">
      <c r="A23" s="36">
        <v>16</v>
      </c>
      <c r="B23" s="103"/>
      <c r="C23" s="303" t="s">
        <v>852</v>
      </c>
      <c r="D23" s="484">
        <f>+D22</f>
        <v>12766764.83</v>
      </c>
      <c r="E23" s="259"/>
      <c r="F23" s="207"/>
      <c r="G23" s="100"/>
      <c r="K23" s="103"/>
      <c r="L23" s="33"/>
      <c r="M23" s="617"/>
    </row>
    <row r="24" spans="1:13" ht="15" customHeight="1" x14ac:dyDescent="0.25">
      <c r="A24" s="36">
        <v>17</v>
      </c>
      <c r="B24" s="103"/>
      <c r="C24" s="33"/>
      <c r="D24" s="258"/>
      <c r="E24" s="259"/>
      <c r="F24" s="207"/>
      <c r="G24" s="100"/>
      <c r="K24" s="103"/>
      <c r="L24" s="33"/>
      <c r="M24" s="617"/>
    </row>
    <row r="25" spans="1:13" ht="15" customHeight="1" x14ac:dyDescent="0.3">
      <c r="A25" s="36">
        <v>18</v>
      </c>
      <c r="B25" s="103">
        <v>350.01</v>
      </c>
      <c r="C25" s="33" t="s">
        <v>570</v>
      </c>
      <c r="D25" s="684">
        <v>21673.06</v>
      </c>
      <c r="E25" s="103"/>
      <c r="F25" s="33"/>
      <c r="G25" s="684"/>
      <c r="K25" s="103"/>
      <c r="L25" s="33"/>
      <c r="M25" s="617"/>
    </row>
    <row r="26" spans="1:13" ht="15" customHeight="1" x14ac:dyDescent="0.3">
      <c r="A26" s="36">
        <v>19</v>
      </c>
      <c r="B26" s="103">
        <v>353.01</v>
      </c>
      <c r="C26" s="33" t="s">
        <v>571</v>
      </c>
      <c r="D26" s="684">
        <v>4100.79</v>
      </c>
      <c r="E26" s="103"/>
      <c r="F26" s="33"/>
      <c r="G26" s="684"/>
      <c r="K26" s="103"/>
      <c r="L26" s="33"/>
      <c r="M26" s="617"/>
    </row>
    <row r="27" spans="1:13" ht="15" customHeight="1" x14ac:dyDescent="0.3">
      <c r="A27" s="36">
        <v>20</v>
      </c>
      <c r="B27" s="103">
        <v>353.02</v>
      </c>
      <c r="C27" s="33" t="s">
        <v>572</v>
      </c>
      <c r="D27" s="684">
        <v>173188.15</v>
      </c>
      <c r="E27" s="103"/>
      <c r="F27" s="33"/>
      <c r="G27" s="684"/>
      <c r="K27" s="103"/>
      <c r="L27" s="33"/>
      <c r="M27" s="617"/>
    </row>
    <row r="28" spans="1:13" ht="15" customHeight="1" x14ac:dyDescent="0.3">
      <c r="A28" s="36">
        <v>21</v>
      </c>
      <c r="B28" s="103">
        <v>353.03</v>
      </c>
      <c r="C28" s="33" t="s">
        <v>573</v>
      </c>
      <c r="D28" s="684">
        <v>10749.35</v>
      </c>
      <c r="E28" s="103"/>
      <c r="F28" s="33"/>
      <c r="G28" s="684"/>
      <c r="K28" s="103"/>
      <c r="L28" s="33"/>
      <c r="M28" s="617"/>
    </row>
    <row r="29" spans="1:13" ht="15" customHeight="1" x14ac:dyDescent="0.3">
      <c r="A29" s="36">
        <v>22</v>
      </c>
      <c r="B29" s="103">
        <v>353.04</v>
      </c>
      <c r="C29" s="33" t="s">
        <v>574</v>
      </c>
      <c r="D29" s="684">
        <v>91589.53</v>
      </c>
      <c r="E29" s="103"/>
      <c r="F29" s="33"/>
      <c r="G29" s="684"/>
      <c r="K29" s="103"/>
      <c r="L29" s="33"/>
      <c r="M29" s="617"/>
    </row>
    <row r="30" spans="1:13" ht="15" customHeight="1" x14ac:dyDescent="0.3">
      <c r="A30" s="36">
        <v>23</v>
      </c>
      <c r="B30" s="103">
        <v>353.05</v>
      </c>
      <c r="C30" s="33" t="s">
        <v>575</v>
      </c>
      <c r="D30" s="684">
        <v>950995.75</v>
      </c>
      <c r="E30" s="103"/>
      <c r="F30" s="33"/>
      <c r="G30" s="684"/>
      <c r="K30" s="103"/>
      <c r="L30" s="33"/>
      <c r="M30" s="617"/>
    </row>
    <row r="31" spans="1:13" s="439" customFormat="1" ht="15" customHeight="1" x14ac:dyDescent="0.3">
      <c r="A31" s="439">
        <v>24</v>
      </c>
      <c r="B31" s="103">
        <v>353.8</v>
      </c>
      <c r="C31" s="33" t="s">
        <v>984</v>
      </c>
      <c r="D31" s="684">
        <v>32009.91</v>
      </c>
      <c r="E31" s="103"/>
      <c r="F31" s="33"/>
      <c r="G31" s="684"/>
      <c r="K31" s="103"/>
      <c r="L31" s="33"/>
      <c r="M31" s="617"/>
    </row>
    <row r="32" spans="1:13" ht="15" customHeight="1" x14ac:dyDescent="0.3">
      <c r="A32" s="439">
        <v>25</v>
      </c>
      <c r="B32" s="103">
        <v>354.05</v>
      </c>
      <c r="C32" s="33" t="s">
        <v>576</v>
      </c>
      <c r="D32" s="684">
        <v>961753.97</v>
      </c>
      <c r="E32" s="103"/>
      <c r="F32" s="33"/>
      <c r="G32" s="684"/>
      <c r="K32" s="103"/>
      <c r="L32" s="33"/>
      <c r="M32" s="617"/>
    </row>
    <row r="33" spans="1:13" ht="15" customHeight="1" x14ac:dyDescent="0.3">
      <c r="A33" s="439">
        <v>26</v>
      </c>
      <c r="B33" s="103">
        <v>355.01</v>
      </c>
      <c r="C33" s="33" t="s">
        <v>577</v>
      </c>
      <c r="D33" s="684">
        <v>299706.25</v>
      </c>
      <c r="E33" s="103"/>
      <c r="F33" s="33"/>
      <c r="G33" s="684"/>
      <c r="K33" s="103"/>
      <c r="L33" s="33"/>
      <c r="M33" s="617"/>
    </row>
    <row r="34" spans="1:13" ht="15" customHeight="1" x14ac:dyDescent="0.3">
      <c r="A34" s="439">
        <v>27</v>
      </c>
      <c r="B34" s="103">
        <v>356.01</v>
      </c>
      <c r="C34" s="33" t="s">
        <v>578</v>
      </c>
      <c r="D34" s="684">
        <v>237966.83</v>
      </c>
      <c r="E34" s="103"/>
      <c r="F34" s="33"/>
      <c r="G34" s="684"/>
      <c r="K34" s="103"/>
      <c r="L34" s="33"/>
      <c r="M34" s="617"/>
    </row>
    <row r="35" spans="1:13" ht="15" customHeight="1" x14ac:dyDescent="0.25">
      <c r="A35" s="439">
        <v>28</v>
      </c>
      <c r="B35" s="103"/>
      <c r="C35" s="303" t="s">
        <v>853</v>
      </c>
      <c r="D35" s="484">
        <f>SUM(D25:D34)</f>
        <v>2783733.59</v>
      </c>
      <c r="E35" s="259"/>
      <c r="F35" s="207"/>
      <c r="G35" s="100"/>
      <c r="K35" s="103"/>
      <c r="L35" s="33"/>
      <c r="M35" s="617"/>
    </row>
    <row r="36" spans="1:13" ht="15" customHeight="1" x14ac:dyDescent="0.25">
      <c r="A36" s="439">
        <v>29</v>
      </c>
      <c r="B36" s="103"/>
      <c r="C36" s="33"/>
      <c r="D36" s="258"/>
      <c r="E36" s="259"/>
      <c r="F36" s="207"/>
      <c r="G36" s="100"/>
      <c r="K36" s="103"/>
      <c r="L36" s="33"/>
      <c r="M36" s="617"/>
    </row>
    <row r="37" spans="1:13" ht="15" customHeight="1" x14ac:dyDescent="0.3">
      <c r="A37" s="439">
        <v>30</v>
      </c>
      <c r="B37" s="103">
        <v>360.01</v>
      </c>
      <c r="C37" s="33" t="s">
        <v>579</v>
      </c>
      <c r="D37" s="684">
        <v>105959.58</v>
      </c>
      <c r="E37" s="103"/>
      <c r="F37" s="33"/>
      <c r="G37" s="684"/>
      <c r="J37" s="103"/>
      <c r="K37" s="33"/>
      <c r="L37" s="617"/>
      <c r="M37" s="617"/>
    </row>
    <row r="38" spans="1:13" ht="15" customHeight="1" x14ac:dyDescent="0.3">
      <c r="A38" s="439">
        <v>31</v>
      </c>
      <c r="B38" s="103">
        <v>362.01</v>
      </c>
      <c r="C38" s="33" t="s">
        <v>580</v>
      </c>
      <c r="D38" s="684">
        <v>381164.91</v>
      </c>
      <c r="E38" s="103"/>
      <c r="F38" s="33"/>
      <c r="G38" s="684"/>
      <c r="J38" s="103"/>
      <c r="K38" s="33"/>
      <c r="L38" s="617"/>
      <c r="M38" s="617"/>
    </row>
    <row r="39" spans="1:13" ht="15" customHeight="1" x14ac:dyDescent="0.3">
      <c r="A39" s="439">
        <v>32</v>
      </c>
      <c r="B39" s="103">
        <v>362.03</v>
      </c>
      <c r="C39" s="33" t="s">
        <v>582</v>
      </c>
      <c r="D39" s="684">
        <v>143183.97</v>
      </c>
      <c r="E39" s="103"/>
      <c r="F39" s="33"/>
      <c r="G39" s="684"/>
      <c r="J39" s="103"/>
      <c r="K39" s="33"/>
      <c r="L39" s="617"/>
      <c r="M39" s="617"/>
    </row>
    <row r="40" spans="1:13" ht="15" customHeight="1" x14ac:dyDescent="0.3">
      <c r="A40" s="439">
        <v>33</v>
      </c>
      <c r="B40" s="103">
        <v>362.04</v>
      </c>
      <c r="C40" s="33" t="s">
        <v>583</v>
      </c>
      <c r="D40" s="684">
        <v>200831.94</v>
      </c>
      <c r="E40" s="103"/>
      <c r="F40" s="33"/>
      <c r="G40" s="684"/>
      <c r="J40" s="103"/>
      <c r="K40" s="33"/>
      <c r="L40" s="617"/>
      <c r="M40" s="617"/>
    </row>
    <row r="41" spans="1:13" ht="15" customHeight="1" x14ac:dyDescent="0.3">
      <c r="A41" s="439">
        <v>34</v>
      </c>
      <c r="B41" s="103">
        <v>362.05</v>
      </c>
      <c r="C41" s="33" t="s">
        <v>584</v>
      </c>
      <c r="D41" s="684">
        <v>540140.29</v>
      </c>
      <c r="E41" s="103"/>
      <c r="F41" s="33"/>
      <c r="G41" s="684"/>
      <c r="J41" s="103"/>
      <c r="K41" s="33"/>
      <c r="L41" s="617"/>
    </row>
    <row r="42" spans="1:13" ht="15" customHeight="1" x14ac:dyDescent="0.3">
      <c r="A42" s="439">
        <v>35</v>
      </c>
      <c r="B42" s="103">
        <v>362.08</v>
      </c>
      <c r="C42" s="33" t="s">
        <v>585</v>
      </c>
      <c r="D42" s="684">
        <v>218794.61</v>
      </c>
      <c r="E42" s="103"/>
      <c r="F42" s="33"/>
      <c r="G42" s="684"/>
      <c r="J42" s="103"/>
      <c r="K42" s="33"/>
      <c r="L42" s="617"/>
    </row>
    <row r="43" spans="1:13" ht="15" customHeight="1" x14ac:dyDescent="0.3">
      <c r="A43" s="439">
        <v>36</v>
      </c>
      <c r="B43" s="103">
        <v>362.09</v>
      </c>
      <c r="C43" s="33" t="s">
        <v>586</v>
      </c>
      <c r="D43" s="684">
        <v>540237.75</v>
      </c>
      <c r="E43" s="103"/>
      <c r="F43" s="33"/>
      <c r="G43" s="684"/>
      <c r="J43" s="103"/>
      <c r="K43" s="33"/>
      <c r="L43" s="617"/>
    </row>
    <row r="44" spans="1:13" ht="15" customHeight="1" x14ac:dyDescent="0.3">
      <c r="A44" s="439">
        <v>37</v>
      </c>
      <c r="B44" s="103">
        <v>362.1</v>
      </c>
      <c r="C44" s="33" t="s">
        <v>587</v>
      </c>
      <c r="D44" s="684">
        <v>607741.42000000004</v>
      </c>
      <c r="E44" s="103"/>
      <c r="F44" s="33"/>
      <c r="G44" s="684"/>
      <c r="J44" s="103"/>
      <c r="K44" s="33"/>
      <c r="L44" s="617"/>
    </row>
    <row r="45" spans="1:13" ht="15" customHeight="1" x14ac:dyDescent="0.3">
      <c r="A45" s="439">
        <v>38</v>
      </c>
      <c r="B45" s="103">
        <v>362.11</v>
      </c>
      <c r="C45" s="33" t="s">
        <v>588</v>
      </c>
      <c r="D45" s="684">
        <v>280815.87</v>
      </c>
      <c r="E45" s="103"/>
      <c r="F45" s="33"/>
      <c r="G45" s="684"/>
      <c r="J45" s="103"/>
      <c r="K45" s="33"/>
      <c r="L45" s="617"/>
    </row>
    <row r="46" spans="1:13" s="439" customFormat="1" ht="15" customHeight="1" x14ac:dyDescent="0.3">
      <c r="A46" s="439">
        <v>39</v>
      </c>
      <c r="B46" s="103">
        <v>362.12</v>
      </c>
      <c r="C46" s="461" t="s">
        <v>1010</v>
      </c>
      <c r="D46" s="684">
        <v>2500.3000000000002</v>
      </c>
      <c r="E46" s="103"/>
      <c r="F46" s="33"/>
      <c r="G46" s="684"/>
      <c r="J46" s="103"/>
      <c r="K46" s="33"/>
      <c r="L46" s="617"/>
      <c r="M46" s="36"/>
    </row>
    <row r="47" spans="1:13" s="439" customFormat="1" ht="15" customHeight="1" x14ac:dyDescent="0.3">
      <c r="A47" s="622">
        <v>40</v>
      </c>
      <c r="B47" s="103">
        <v>362.5</v>
      </c>
      <c r="C47" s="33" t="s">
        <v>1247</v>
      </c>
      <c r="D47" s="684">
        <v>106622.28</v>
      </c>
      <c r="E47" s="103"/>
      <c r="F47" s="33"/>
      <c r="G47" s="684"/>
      <c r="J47" s="103"/>
      <c r="K47" s="33"/>
      <c r="L47" s="617"/>
    </row>
    <row r="48" spans="1:13" s="439" customFormat="1" ht="15" customHeight="1" x14ac:dyDescent="0.3">
      <c r="A48" s="622">
        <v>41</v>
      </c>
      <c r="B48" s="103">
        <v>362.51</v>
      </c>
      <c r="C48" s="33" t="s">
        <v>1248</v>
      </c>
      <c r="D48" s="684">
        <v>9550.6</v>
      </c>
      <c r="E48" s="103"/>
      <c r="F48" s="33"/>
      <c r="G48" s="684"/>
      <c r="J48" s="103"/>
      <c r="K48" s="33"/>
      <c r="L48" s="617"/>
    </row>
    <row r="49" spans="1:13" ht="15" customHeight="1" x14ac:dyDescent="0.3">
      <c r="A49" s="622">
        <v>42</v>
      </c>
      <c r="B49" s="103">
        <v>362.8</v>
      </c>
      <c r="C49" s="461" t="s">
        <v>1012</v>
      </c>
      <c r="D49" s="684">
        <v>215755.02</v>
      </c>
      <c r="E49" s="103"/>
      <c r="F49" s="33"/>
      <c r="G49" s="684"/>
      <c r="J49" s="103"/>
      <c r="K49" s="33"/>
      <c r="L49" s="617"/>
      <c r="M49" s="439"/>
    </row>
    <row r="50" spans="1:13" ht="15" customHeight="1" x14ac:dyDescent="0.3">
      <c r="A50" s="622">
        <v>43</v>
      </c>
      <c r="B50" s="103">
        <v>362.9</v>
      </c>
      <c r="C50" s="461" t="s">
        <v>1014</v>
      </c>
      <c r="D50" s="684">
        <v>29016.39</v>
      </c>
      <c r="E50" s="103"/>
      <c r="F50" s="33"/>
      <c r="G50" s="684"/>
      <c r="J50" s="103"/>
      <c r="K50" s="33"/>
      <c r="L50" s="617"/>
    </row>
    <row r="51" spans="1:13" s="439" customFormat="1" ht="15" customHeight="1" x14ac:dyDescent="0.3">
      <c r="A51" s="622">
        <v>44</v>
      </c>
      <c r="B51" s="103">
        <v>364.01</v>
      </c>
      <c r="C51" s="33" t="s">
        <v>589</v>
      </c>
      <c r="D51" s="684">
        <v>24657920.379999999</v>
      </c>
      <c r="E51" s="103"/>
      <c r="F51" s="33"/>
      <c r="G51" s="684"/>
      <c r="J51" s="103"/>
      <c r="K51" s="33"/>
      <c r="L51" s="617"/>
      <c r="M51" s="36"/>
    </row>
    <row r="52" spans="1:13" ht="15" customHeight="1" x14ac:dyDescent="0.3">
      <c r="A52" s="622">
        <v>45</v>
      </c>
      <c r="B52" s="103">
        <v>365.01</v>
      </c>
      <c r="C52" s="33" t="s">
        <v>590</v>
      </c>
      <c r="D52" s="684">
        <v>18815861.469999999</v>
      </c>
      <c r="E52" s="103"/>
      <c r="F52" s="33"/>
      <c r="G52" s="684"/>
      <c r="J52" s="103"/>
      <c r="K52" s="33"/>
      <c r="L52" s="617"/>
      <c r="M52" s="439"/>
    </row>
    <row r="53" spans="1:13" ht="15" customHeight="1" x14ac:dyDescent="0.3">
      <c r="A53" s="622">
        <v>46</v>
      </c>
      <c r="B53" s="103">
        <v>365.8</v>
      </c>
      <c r="C53" s="462" t="s">
        <v>1020</v>
      </c>
      <c r="D53" s="684">
        <v>24652.33</v>
      </c>
      <c r="E53" s="103"/>
      <c r="F53" s="33"/>
      <c r="G53" s="684"/>
      <c r="J53" s="103"/>
      <c r="K53" s="33"/>
      <c r="L53" s="617"/>
    </row>
    <row r="54" spans="1:13" s="439" customFormat="1" ht="15" customHeight="1" x14ac:dyDescent="0.3">
      <c r="A54" s="622">
        <v>47</v>
      </c>
      <c r="B54" s="103">
        <v>367.01</v>
      </c>
      <c r="C54" s="33" t="s">
        <v>591</v>
      </c>
      <c r="D54" s="684">
        <v>1207540.17</v>
      </c>
      <c r="E54" s="103"/>
      <c r="F54" s="33"/>
      <c r="G54" s="684"/>
      <c r="J54" s="103"/>
      <c r="K54" s="33"/>
      <c r="L54" s="617"/>
      <c r="M54" s="36"/>
    </row>
    <row r="55" spans="1:13" ht="15" customHeight="1" x14ac:dyDescent="0.3">
      <c r="A55" s="622">
        <v>48</v>
      </c>
      <c r="B55" s="103">
        <v>368.01</v>
      </c>
      <c r="C55" s="33" t="s">
        <v>592</v>
      </c>
      <c r="D55" s="684">
        <v>7937497.4800000004</v>
      </c>
      <c r="E55" s="103"/>
      <c r="F55" s="33"/>
      <c r="G55" s="684"/>
      <c r="J55" s="103"/>
      <c r="K55" s="33"/>
      <c r="L55" s="617"/>
      <c r="M55" s="439"/>
    </row>
    <row r="56" spans="1:13" ht="15" customHeight="1" x14ac:dyDescent="0.3">
      <c r="A56" s="622">
        <v>49</v>
      </c>
      <c r="B56" s="103">
        <v>368.8</v>
      </c>
      <c r="C56" s="463" t="s">
        <v>1026</v>
      </c>
      <c r="D56" s="684">
        <v>28828.720000000001</v>
      </c>
      <c r="E56" s="103"/>
      <c r="F56" s="33"/>
      <c r="G56" s="684"/>
      <c r="J56" s="103"/>
      <c r="K56" s="33"/>
      <c r="L56" s="617"/>
    </row>
    <row r="57" spans="1:13" s="439" customFormat="1" ht="15" customHeight="1" x14ac:dyDescent="0.3">
      <c r="A57" s="622">
        <v>50</v>
      </c>
      <c r="B57" s="103">
        <v>369.01</v>
      </c>
      <c r="C57" s="33" t="s">
        <v>593</v>
      </c>
      <c r="D57" s="684">
        <v>1449787.29</v>
      </c>
      <c r="E57" s="103"/>
      <c r="F57" s="33"/>
      <c r="G57" s="684"/>
      <c r="J57" s="103"/>
      <c r="K57" s="33"/>
      <c r="L57" s="617"/>
      <c r="M57" s="36"/>
    </row>
    <row r="58" spans="1:13" s="439" customFormat="1" ht="15" customHeight="1" x14ac:dyDescent="0.3">
      <c r="A58" s="622">
        <v>51</v>
      </c>
      <c r="B58" s="103">
        <v>370.01</v>
      </c>
      <c r="C58" s="33" t="s">
        <v>594</v>
      </c>
      <c r="D58" s="684">
        <v>10804.55</v>
      </c>
      <c r="E58" s="103"/>
      <c r="F58" s="33"/>
      <c r="G58" s="684"/>
      <c r="J58" s="103"/>
      <c r="K58" s="33"/>
      <c r="L58" s="617"/>
    </row>
    <row r="59" spans="1:13" s="439" customFormat="1" ht="15" customHeight="1" x14ac:dyDescent="0.3">
      <c r="A59" s="622">
        <v>52</v>
      </c>
      <c r="B59" s="103">
        <v>370.02</v>
      </c>
      <c r="C59" s="464" t="s">
        <v>1032</v>
      </c>
      <c r="D59" s="684">
        <v>1238449.53</v>
      </c>
      <c r="E59" s="103"/>
      <c r="F59" s="33"/>
      <c r="G59" s="684"/>
      <c r="J59" s="103"/>
      <c r="K59" s="33"/>
      <c r="L59" s="617"/>
    </row>
    <row r="60" spans="1:13" s="439" customFormat="1" ht="15" customHeight="1" x14ac:dyDescent="0.3">
      <c r="A60" s="622">
        <v>53</v>
      </c>
      <c r="B60" s="103">
        <v>370.03</v>
      </c>
      <c r="C60" s="464" t="s">
        <v>1034</v>
      </c>
      <c r="D60" s="684">
        <v>43474.75</v>
      </c>
      <c r="E60" s="103"/>
      <c r="F60" s="33"/>
      <c r="G60" s="684"/>
      <c r="J60" s="103"/>
      <c r="K60" s="33"/>
      <c r="L60" s="617"/>
    </row>
    <row r="61" spans="1:13" s="439" customFormat="1" ht="15" customHeight="1" x14ac:dyDescent="0.3">
      <c r="A61" s="622">
        <v>54</v>
      </c>
      <c r="B61" s="103">
        <v>370.04</v>
      </c>
      <c r="C61" s="464" t="s">
        <v>1036</v>
      </c>
      <c r="D61" s="684">
        <v>204734.72</v>
      </c>
      <c r="E61" s="103"/>
      <c r="F61" s="33"/>
      <c r="G61" s="684"/>
      <c r="J61" s="103"/>
      <c r="K61" s="33"/>
      <c r="L61" s="617"/>
    </row>
    <row r="62" spans="1:13" s="439" customFormat="1" ht="15" customHeight="1" x14ac:dyDescent="0.3">
      <c r="A62" s="622">
        <v>55</v>
      </c>
      <c r="B62" s="103">
        <v>370.05</v>
      </c>
      <c r="C62" s="464" t="s">
        <v>1038</v>
      </c>
      <c r="D62" s="684">
        <v>23069.81</v>
      </c>
      <c r="E62" s="103"/>
      <c r="F62" s="33"/>
      <c r="G62" s="684"/>
      <c r="J62" s="103"/>
      <c r="K62" s="33"/>
      <c r="L62" s="617"/>
    </row>
    <row r="63" spans="1:13" ht="15" customHeight="1" x14ac:dyDescent="0.3">
      <c r="A63" s="622">
        <v>56</v>
      </c>
      <c r="B63" s="103">
        <v>370.8</v>
      </c>
      <c r="C63" s="464" t="s">
        <v>1040</v>
      </c>
      <c r="D63" s="684">
        <v>66295.58</v>
      </c>
      <c r="E63" s="103"/>
      <c r="F63" s="33"/>
      <c r="G63" s="684"/>
      <c r="J63" s="103"/>
      <c r="K63" s="33"/>
      <c r="L63" s="617"/>
      <c r="M63" s="439"/>
    </row>
    <row r="64" spans="1:13" ht="15" customHeight="1" x14ac:dyDescent="0.3">
      <c r="A64" s="622">
        <v>57</v>
      </c>
      <c r="B64" s="103">
        <v>370.81</v>
      </c>
      <c r="C64" s="464" t="s">
        <v>1042</v>
      </c>
      <c r="D64" s="684">
        <v>26042.95</v>
      </c>
      <c r="E64" s="103"/>
      <c r="F64" s="33"/>
      <c r="G64" s="684"/>
      <c r="J64" s="103"/>
      <c r="K64" s="33"/>
      <c r="L64" s="617"/>
    </row>
    <row r="65" spans="1:13" ht="15" customHeight="1" x14ac:dyDescent="0.3">
      <c r="A65" s="622">
        <v>58</v>
      </c>
      <c r="B65" s="103">
        <v>371.01</v>
      </c>
      <c r="C65" s="33" t="s">
        <v>595</v>
      </c>
      <c r="D65" s="684">
        <v>113201.54</v>
      </c>
      <c r="E65" s="103"/>
      <c r="F65" s="33"/>
      <c r="G65" s="684"/>
      <c r="J65" s="103"/>
      <c r="K65" s="33"/>
      <c r="L65" s="617"/>
    </row>
    <row r="66" spans="1:13" ht="15" customHeight="1" x14ac:dyDescent="0.3">
      <c r="A66" s="622">
        <v>59</v>
      </c>
      <c r="B66" s="103">
        <v>373.01</v>
      </c>
      <c r="C66" s="33" t="s">
        <v>596</v>
      </c>
      <c r="D66" s="684">
        <v>203.4</v>
      </c>
      <c r="E66" s="103"/>
      <c r="F66" s="33"/>
      <c r="G66" s="684"/>
      <c r="J66" s="103"/>
      <c r="K66" s="33"/>
      <c r="L66" s="617"/>
    </row>
    <row r="67" spans="1:13" ht="15" customHeight="1" x14ac:dyDescent="0.3">
      <c r="A67" s="622">
        <v>60</v>
      </c>
      <c r="B67" s="103"/>
      <c r="C67" s="303" t="s">
        <v>854</v>
      </c>
      <c r="D67" s="791">
        <f>SUM(D37:D66)</f>
        <v>59230679.600000001</v>
      </c>
      <c r="E67" s="103"/>
      <c r="F67" s="33"/>
      <c r="G67" s="684"/>
      <c r="J67" s="103"/>
      <c r="K67" s="33"/>
      <c r="L67" s="617"/>
    </row>
    <row r="68" spans="1:13" ht="15" customHeight="1" x14ac:dyDescent="0.25">
      <c r="A68" s="622">
        <v>61</v>
      </c>
      <c r="B68" s="103"/>
      <c r="C68" s="33"/>
      <c r="D68" s="258"/>
      <c r="E68" s="259"/>
      <c r="F68" s="207"/>
      <c r="G68" s="100"/>
      <c r="J68" s="103"/>
      <c r="K68" s="33"/>
      <c r="L68" s="617"/>
    </row>
    <row r="69" spans="1:13" ht="15" customHeight="1" x14ac:dyDescent="0.3">
      <c r="A69" s="622">
        <v>62</v>
      </c>
      <c r="B69" s="103">
        <v>389.01</v>
      </c>
      <c r="C69" s="33" t="s">
        <v>597</v>
      </c>
      <c r="D69" s="684">
        <v>53010.74</v>
      </c>
      <c r="E69" s="103"/>
      <c r="F69" s="33"/>
      <c r="G69" s="684"/>
      <c r="J69" s="103"/>
      <c r="K69" s="33"/>
      <c r="L69" s="617"/>
    </row>
    <row r="70" spans="1:13" ht="15" customHeight="1" x14ac:dyDescent="0.3">
      <c r="A70" s="622">
        <v>63</v>
      </c>
      <c r="B70" s="103">
        <v>390.01</v>
      </c>
      <c r="C70" s="33" t="s">
        <v>598</v>
      </c>
      <c r="D70" s="684">
        <v>1364549.86</v>
      </c>
      <c r="E70" s="103"/>
      <c r="F70" s="33"/>
      <c r="G70" s="684"/>
      <c r="J70" s="103"/>
      <c r="K70" s="33"/>
      <c r="L70" s="617"/>
    </row>
    <row r="71" spans="1:13" ht="15" customHeight="1" x14ac:dyDescent="0.3">
      <c r="A71" s="622">
        <v>64</v>
      </c>
      <c r="B71" s="103">
        <v>390.02</v>
      </c>
      <c r="C71" s="33" t="s">
        <v>599</v>
      </c>
      <c r="D71" s="684">
        <v>17393.150000000001</v>
      </c>
      <c r="E71" s="103"/>
      <c r="F71" s="33"/>
      <c r="G71" s="684"/>
      <c r="J71" s="103"/>
      <c r="K71" s="33"/>
      <c r="L71" s="617"/>
    </row>
    <row r="72" spans="1:13" ht="15" customHeight="1" x14ac:dyDescent="0.3">
      <c r="A72" s="622">
        <v>65</v>
      </c>
      <c r="B72" s="103">
        <v>390.04</v>
      </c>
      <c r="C72" s="33" t="s">
        <v>600</v>
      </c>
      <c r="D72" s="684">
        <v>782590.47</v>
      </c>
      <c r="E72" s="103"/>
      <c r="F72" s="33"/>
      <c r="G72" s="617"/>
      <c r="J72" s="103"/>
      <c r="K72" s="33"/>
      <c r="L72" s="617"/>
    </row>
    <row r="73" spans="1:13" ht="15" customHeight="1" x14ac:dyDescent="0.3">
      <c r="A73" s="622">
        <v>66</v>
      </c>
      <c r="B73" s="103">
        <v>390.05</v>
      </c>
      <c r="C73" s="33" t="s">
        <v>601</v>
      </c>
      <c r="D73" s="684">
        <v>6196.4</v>
      </c>
      <c r="E73" s="103"/>
      <c r="F73" s="33"/>
      <c r="G73" s="684"/>
      <c r="J73" s="103"/>
      <c r="K73" s="33"/>
      <c r="L73" s="617"/>
    </row>
    <row r="74" spans="1:13" ht="15" customHeight="1" x14ac:dyDescent="0.3">
      <c r="A74" s="622">
        <v>67</v>
      </c>
      <c r="B74" s="103">
        <v>391.01</v>
      </c>
      <c r="C74" s="33" t="s">
        <v>602</v>
      </c>
      <c r="D74" s="684">
        <v>724363.59</v>
      </c>
      <c r="E74" s="103"/>
      <c r="F74" s="33"/>
      <c r="G74" s="684"/>
      <c r="J74" s="103"/>
      <c r="K74" s="33"/>
      <c r="L74" s="617"/>
    </row>
    <row r="75" spans="1:13" ht="15" customHeight="1" x14ac:dyDescent="0.3">
      <c r="A75" s="622">
        <v>68</v>
      </c>
      <c r="B75" s="103">
        <v>392.01</v>
      </c>
      <c r="C75" s="33" t="s">
        <v>603</v>
      </c>
      <c r="D75" s="684">
        <v>2836377.08</v>
      </c>
      <c r="E75" s="103"/>
      <c r="F75" s="33"/>
      <c r="G75" s="684"/>
      <c r="J75" s="103"/>
      <c r="K75" s="33"/>
      <c r="L75" s="617"/>
    </row>
    <row r="76" spans="1:13" ht="15" customHeight="1" x14ac:dyDescent="0.3">
      <c r="A76" s="622">
        <v>69</v>
      </c>
      <c r="B76" s="103">
        <v>393.01</v>
      </c>
      <c r="C76" s="33" t="s">
        <v>604</v>
      </c>
      <c r="D76" s="684">
        <v>37531.730000000003</v>
      </c>
      <c r="E76" s="103"/>
      <c r="F76" s="33"/>
      <c r="G76" s="684"/>
      <c r="J76" s="103"/>
      <c r="K76" s="33"/>
      <c r="L76" s="617"/>
    </row>
    <row r="77" spans="1:13" ht="15" customHeight="1" x14ac:dyDescent="0.3">
      <c r="A77" s="622">
        <v>70</v>
      </c>
      <c r="B77" s="103">
        <v>394.01</v>
      </c>
      <c r="C77" s="33" t="s">
        <v>605</v>
      </c>
      <c r="D77" s="684">
        <v>317425.98</v>
      </c>
      <c r="E77" s="103"/>
      <c r="F77" s="33"/>
      <c r="G77" s="684"/>
      <c r="J77" s="103"/>
      <c r="K77" s="33"/>
      <c r="L77" s="617"/>
    </row>
    <row r="78" spans="1:13" ht="15" customHeight="1" x14ac:dyDescent="0.3">
      <c r="A78" s="622">
        <v>71</v>
      </c>
      <c r="B78" s="103">
        <v>395.01</v>
      </c>
      <c r="C78" s="33" t="s">
        <v>606</v>
      </c>
      <c r="D78" s="684">
        <v>80305.009999999995</v>
      </c>
      <c r="E78" s="103"/>
      <c r="F78" s="33"/>
      <c r="G78" s="684"/>
      <c r="J78" s="103"/>
      <c r="K78" s="33"/>
      <c r="L78" s="617"/>
    </row>
    <row r="79" spans="1:13" ht="15" customHeight="1" x14ac:dyDescent="0.3">
      <c r="A79" s="622">
        <v>72</v>
      </c>
      <c r="B79" s="103">
        <v>395.02</v>
      </c>
      <c r="C79" s="33" t="s">
        <v>607</v>
      </c>
      <c r="D79" s="684">
        <v>1037.9100000000001</v>
      </c>
      <c r="E79" s="103"/>
      <c r="F79" s="33"/>
      <c r="G79" s="684"/>
      <c r="J79" s="103"/>
      <c r="K79" s="33"/>
      <c r="L79" s="617"/>
    </row>
    <row r="80" spans="1:13" s="439" customFormat="1" ht="15" customHeight="1" x14ac:dyDescent="0.3">
      <c r="A80" s="622">
        <v>73</v>
      </c>
      <c r="B80" s="103">
        <v>396.01</v>
      </c>
      <c r="C80" s="33" t="s">
        <v>608</v>
      </c>
      <c r="D80" s="684">
        <v>95471.53</v>
      </c>
      <c r="E80" s="103"/>
      <c r="F80" s="33"/>
      <c r="G80" s="684"/>
      <c r="J80" s="103"/>
      <c r="K80" s="33"/>
      <c r="L80" s="617"/>
      <c r="M80" s="36"/>
    </row>
    <row r="81" spans="1:13" s="439" customFormat="1" ht="15" customHeight="1" x14ac:dyDescent="0.3">
      <c r="A81" s="622">
        <v>74</v>
      </c>
      <c r="B81" s="103">
        <v>397.01</v>
      </c>
      <c r="C81" s="33" t="s">
        <v>609</v>
      </c>
      <c r="D81" s="684">
        <v>319076.01</v>
      </c>
      <c r="E81" s="103"/>
      <c r="F81" s="33"/>
      <c r="G81" s="684"/>
      <c r="J81" s="103"/>
      <c r="K81" s="33"/>
      <c r="L81" s="617"/>
    </row>
    <row r="82" spans="1:13" ht="15" customHeight="1" x14ac:dyDescent="0.3">
      <c r="A82" s="622">
        <v>75</v>
      </c>
      <c r="B82" s="103">
        <v>397.05</v>
      </c>
      <c r="C82" s="465" t="s">
        <v>1076</v>
      </c>
      <c r="D82" s="684">
        <v>14005.73</v>
      </c>
      <c r="E82" s="103"/>
      <c r="F82" s="33"/>
      <c r="G82" s="684"/>
      <c r="J82" s="103"/>
      <c r="K82" s="33"/>
      <c r="L82" s="617"/>
      <c r="M82" s="439"/>
    </row>
    <row r="83" spans="1:13" ht="15" customHeight="1" x14ac:dyDescent="0.3">
      <c r="A83" s="622">
        <v>76</v>
      </c>
      <c r="B83" s="103">
        <v>397.06</v>
      </c>
      <c r="C83" s="465" t="s">
        <v>1078</v>
      </c>
      <c r="D83" s="684">
        <v>15822.84</v>
      </c>
      <c r="E83" s="103"/>
      <c r="F83" s="33"/>
      <c r="G83" s="684"/>
    </row>
    <row r="84" spans="1:13" ht="15" customHeight="1" x14ac:dyDescent="0.3">
      <c r="A84" s="622">
        <v>77</v>
      </c>
      <c r="B84" s="103">
        <v>398.01</v>
      </c>
      <c r="C84" s="33" t="s">
        <v>610</v>
      </c>
      <c r="D84" s="684">
        <v>16825.47</v>
      </c>
      <c r="E84" s="103"/>
      <c r="F84" s="33"/>
      <c r="G84" s="684"/>
      <c r="J84" s="207"/>
    </row>
    <row r="85" spans="1:13" ht="15" customHeight="1" x14ac:dyDescent="0.3">
      <c r="A85" s="622">
        <v>78</v>
      </c>
      <c r="B85" s="104"/>
      <c r="C85" s="437" t="s">
        <v>855</v>
      </c>
      <c r="D85" s="792">
        <f>SUM(D69:D84)</f>
        <v>6681983.5</v>
      </c>
      <c r="E85" s="103"/>
      <c r="F85" s="33"/>
      <c r="G85" s="684"/>
      <c r="H85" s="207"/>
      <c r="I85" s="207"/>
      <c r="J85" s="207"/>
    </row>
    <row r="86" spans="1:13" s="530" customFormat="1" ht="15" customHeight="1" x14ac:dyDescent="0.25">
      <c r="A86" s="622">
        <v>79</v>
      </c>
      <c r="B86" s="104"/>
      <c r="C86" s="437"/>
      <c r="D86" s="407"/>
      <c r="E86" s="259"/>
      <c r="F86" s="207"/>
      <c r="G86" s="207"/>
      <c r="H86" s="207"/>
      <c r="I86" s="207"/>
      <c r="J86" s="207"/>
      <c r="M86" s="36"/>
    </row>
    <row r="87" spans="1:13" s="674" customFormat="1" ht="15" customHeight="1" x14ac:dyDescent="0.25">
      <c r="A87" s="674">
        <v>80</v>
      </c>
      <c r="B87" s="98">
        <v>107.04</v>
      </c>
      <c r="C87" s="68" t="s">
        <v>498</v>
      </c>
      <c r="D87" s="759">
        <v>-13058.15</v>
      </c>
      <c r="E87" s="98"/>
      <c r="F87" s="68"/>
      <c r="G87" s="759"/>
      <c r="H87" s="207"/>
      <c r="I87" s="207"/>
      <c r="J87" s="207"/>
    </row>
    <row r="88" spans="1:13" s="725" customFormat="1" ht="15" customHeight="1" x14ac:dyDescent="0.25">
      <c r="A88" s="972">
        <v>81</v>
      </c>
      <c r="B88" s="98">
        <v>107.1</v>
      </c>
      <c r="C88" s="265" t="s">
        <v>499</v>
      </c>
      <c r="D88" s="614">
        <v>0</v>
      </c>
      <c r="E88" s="98"/>
      <c r="F88" s="68"/>
      <c r="G88" s="759"/>
      <c r="H88" s="207"/>
      <c r="I88" s="207"/>
      <c r="J88" s="207"/>
    </row>
    <row r="89" spans="1:13" ht="15" customHeight="1" x14ac:dyDescent="0.3">
      <c r="A89" s="972">
        <v>82</v>
      </c>
      <c r="B89" s="98">
        <v>107.11</v>
      </c>
      <c r="C89" s="68" t="s">
        <v>1184</v>
      </c>
      <c r="D89" s="684">
        <v>2971.25</v>
      </c>
      <c r="E89" s="98"/>
      <c r="F89" s="265"/>
      <c r="G89" s="614"/>
      <c r="H89" s="207"/>
      <c r="I89" s="207"/>
      <c r="J89" s="98"/>
      <c r="K89" s="68"/>
      <c r="L89" s="614"/>
    </row>
    <row r="90" spans="1:13" ht="15" customHeight="1" x14ac:dyDescent="0.3">
      <c r="A90" s="972">
        <v>83</v>
      </c>
      <c r="B90" s="98">
        <v>107.2</v>
      </c>
      <c r="C90" s="68" t="s">
        <v>500</v>
      </c>
      <c r="D90" s="684">
        <v>1186383.71</v>
      </c>
      <c r="E90" s="98"/>
      <c r="F90" s="68"/>
      <c r="G90" s="684"/>
      <c r="H90" s="207"/>
      <c r="I90" s="207"/>
      <c r="J90" s="98"/>
      <c r="K90" s="265"/>
      <c r="L90" s="614"/>
    </row>
    <row r="91" spans="1:13" ht="15" customHeight="1" x14ac:dyDescent="0.3">
      <c r="A91" s="972">
        <v>84</v>
      </c>
      <c r="B91" s="98"/>
      <c r="C91" s="437" t="s">
        <v>3</v>
      </c>
      <c r="D91" s="791">
        <f>SUM(D87:D90)</f>
        <v>1176296.81</v>
      </c>
      <c r="E91" s="98"/>
      <c r="F91" s="265"/>
      <c r="G91" s="684"/>
      <c r="H91" s="207"/>
      <c r="I91" s="207"/>
      <c r="J91" s="98"/>
      <c r="K91" s="68"/>
      <c r="L91" s="614"/>
    </row>
    <row r="92" spans="1:13" ht="15" customHeight="1" x14ac:dyDescent="0.25">
      <c r="A92" s="972">
        <v>85</v>
      </c>
      <c r="B92" s="98"/>
      <c r="C92" s="437"/>
      <c r="D92" s="484"/>
      <c r="E92" s="259"/>
      <c r="F92" s="207"/>
      <c r="G92" s="207"/>
      <c r="H92" s="207"/>
      <c r="I92" s="207"/>
      <c r="J92" s="207"/>
    </row>
    <row r="93" spans="1:13" ht="15" customHeight="1" x14ac:dyDescent="0.25">
      <c r="A93" s="972">
        <v>86</v>
      </c>
      <c r="B93" s="98"/>
      <c r="C93" s="437" t="s">
        <v>856</v>
      </c>
      <c r="D93" s="791">
        <f>+D20+D23+D35+D67+D85+D91</f>
        <v>86395596.170000002</v>
      </c>
      <c r="E93" s="259"/>
      <c r="F93" s="207"/>
      <c r="G93" s="207"/>
      <c r="H93" s="207"/>
      <c r="I93" s="207"/>
      <c r="J93" s="207"/>
    </row>
    <row r="94" spans="1:13" ht="15" customHeight="1" x14ac:dyDescent="0.25">
      <c r="A94" s="972">
        <v>87</v>
      </c>
      <c r="B94" s="98"/>
      <c r="C94" s="68"/>
      <c r="D94" s="258"/>
      <c r="E94" s="259"/>
      <c r="F94" s="207"/>
      <c r="G94" s="207"/>
      <c r="H94" s="207"/>
      <c r="I94" s="207"/>
      <c r="J94" s="207"/>
    </row>
    <row r="95" spans="1:13" ht="15" customHeight="1" x14ac:dyDescent="0.3">
      <c r="A95" s="972">
        <v>88</v>
      </c>
      <c r="B95" s="98">
        <v>108.03</v>
      </c>
      <c r="C95" s="68" t="s">
        <v>501</v>
      </c>
      <c r="D95" s="684">
        <v>-2718936.9</v>
      </c>
      <c r="E95" s="98"/>
      <c r="F95" s="265"/>
      <c r="G95" s="684"/>
      <c r="H95" s="207"/>
      <c r="I95" s="207"/>
      <c r="J95" s="98"/>
      <c r="K95" s="265"/>
      <c r="L95" s="615"/>
    </row>
    <row r="96" spans="1:13" ht="15" customHeight="1" x14ac:dyDescent="0.3">
      <c r="A96" s="972">
        <v>89</v>
      </c>
      <c r="B96" s="98">
        <v>108.04</v>
      </c>
      <c r="C96" s="68" t="s">
        <v>502</v>
      </c>
      <c r="D96" s="684">
        <v>-6523538.5800000001</v>
      </c>
      <c r="E96" s="98"/>
      <c r="F96" s="265"/>
      <c r="G96" s="684"/>
      <c r="H96" s="207"/>
      <c r="I96" s="207"/>
      <c r="J96" s="98"/>
      <c r="K96" s="265"/>
      <c r="L96" s="615"/>
    </row>
    <row r="97" spans="1:13" ht="15" customHeight="1" x14ac:dyDescent="0.3">
      <c r="A97" s="972">
        <v>90</v>
      </c>
      <c r="B97" s="98">
        <v>108.05</v>
      </c>
      <c r="C97" s="68" t="s">
        <v>503</v>
      </c>
      <c r="D97" s="684">
        <v>-1345456.5</v>
      </c>
      <c r="E97" s="98"/>
      <c r="F97" s="265"/>
      <c r="G97" s="684"/>
      <c r="H97" s="207"/>
      <c r="I97" s="207"/>
      <c r="J97" s="98"/>
      <c r="K97" s="265"/>
      <c r="L97" s="615"/>
    </row>
    <row r="98" spans="1:13" ht="15" customHeight="1" x14ac:dyDescent="0.3">
      <c r="A98" s="972">
        <v>91</v>
      </c>
      <c r="B98" s="98">
        <v>108.06</v>
      </c>
      <c r="C98" s="68" t="s">
        <v>504</v>
      </c>
      <c r="D98" s="684">
        <v>-23739964.620000001</v>
      </c>
      <c r="E98" s="98"/>
      <c r="F98" s="265"/>
      <c r="G98" s="684"/>
      <c r="H98" s="207"/>
      <c r="I98" s="207"/>
      <c r="J98" s="98"/>
      <c r="K98" s="265"/>
      <c r="L98" s="615"/>
    </row>
    <row r="99" spans="1:13" ht="15" customHeight="1" x14ac:dyDescent="0.3">
      <c r="A99" s="972">
        <v>92</v>
      </c>
      <c r="B99" s="98">
        <v>108.07</v>
      </c>
      <c r="C99" s="68" t="s">
        <v>505</v>
      </c>
      <c r="D99" s="684">
        <v>-1581511.99</v>
      </c>
      <c r="E99" s="98"/>
      <c r="F99" s="265"/>
      <c r="G99" s="684"/>
      <c r="H99" s="207"/>
      <c r="I99" s="207"/>
      <c r="J99" s="98"/>
      <c r="K99" s="265"/>
      <c r="L99" s="615"/>
    </row>
    <row r="100" spans="1:13" ht="15" customHeight="1" x14ac:dyDescent="0.3">
      <c r="A100" s="972">
        <v>93</v>
      </c>
      <c r="B100" s="98">
        <v>108.1</v>
      </c>
      <c r="C100" s="68" t="s">
        <v>506</v>
      </c>
      <c r="D100" s="684">
        <v>-1075358.26</v>
      </c>
      <c r="E100" s="98"/>
      <c r="F100" s="265"/>
      <c r="G100" s="684"/>
      <c r="H100" s="207"/>
      <c r="I100" s="207"/>
      <c r="J100" s="98"/>
      <c r="K100" s="265"/>
      <c r="L100" s="615"/>
    </row>
    <row r="101" spans="1:13" ht="15" customHeight="1" x14ac:dyDescent="0.3">
      <c r="A101" s="972">
        <v>94</v>
      </c>
      <c r="B101" s="98">
        <v>108.11</v>
      </c>
      <c r="C101" s="68" t="s">
        <v>611</v>
      </c>
      <c r="D101" s="684">
        <v>-1542953.52</v>
      </c>
      <c r="E101" s="98"/>
      <c r="F101" s="68"/>
      <c r="G101" s="684"/>
      <c r="H101" s="207"/>
      <c r="I101" s="207"/>
      <c r="J101" s="98"/>
      <c r="K101" s="68"/>
      <c r="L101" s="615"/>
    </row>
    <row r="102" spans="1:13" ht="15" customHeight="1" x14ac:dyDescent="0.3">
      <c r="A102" s="972">
        <v>95</v>
      </c>
      <c r="B102" s="103">
        <v>108.8</v>
      </c>
      <c r="C102" s="33" t="s">
        <v>507</v>
      </c>
      <c r="D102" s="684">
        <v>113586.58</v>
      </c>
      <c r="E102" s="259"/>
      <c r="F102" s="207"/>
      <c r="G102" s="207"/>
      <c r="H102" s="207"/>
      <c r="I102" s="207"/>
      <c r="J102" s="207"/>
    </row>
    <row r="103" spans="1:13" ht="15" customHeight="1" x14ac:dyDescent="0.25">
      <c r="A103" s="972">
        <v>96</v>
      </c>
      <c r="B103" s="103"/>
      <c r="C103" s="437" t="s">
        <v>15</v>
      </c>
      <c r="D103" s="791">
        <f>SUM(D94:D102)</f>
        <v>-38414133.790000007</v>
      </c>
      <c r="E103" s="259"/>
      <c r="F103" s="207"/>
      <c r="G103" s="207"/>
      <c r="H103" s="207"/>
      <c r="I103" s="207"/>
      <c r="J103" s="207"/>
    </row>
    <row r="104" spans="1:13" ht="15" customHeight="1" x14ac:dyDescent="0.25">
      <c r="A104" s="972">
        <v>97</v>
      </c>
      <c r="B104" s="103"/>
      <c r="C104" s="68"/>
      <c r="D104" s="258"/>
      <c r="E104" s="259"/>
      <c r="F104" s="207"/>
      <c r="G104" s="207"/>
      <c r="H104" s="207"/>
      <c r="I104" s="207"/>
      <c r="J104" s="207"/>
    </row>
    <row r="105" spans="1:13" ht="15" customHeight="1" x14ac:dyDescent="0.25">
      <c r="A105" s="972">
        <v>98</v>
      </c>
      <c r="B105" s="103"/>
      <c r="C105" s="437" t="s">
        <v>841</v>
      </c>
      <c r="D105" s="484">
        <f>+D93+D103</f>
        <v>47981462.379999995</v>
      </c>
      <c r="E105" s="460"/>
      <c r="F105" s="207"/>
      <c r="G105" s="207"/>
      <c r="H105" s="207"/>
      <c r="I105" s="207"/>
      <c r="J105" s="207"/>
    </row>
    <row r="106" spans="1:13" ht="15" customHeight="1" x14ac:dyDescent="0.25">
      <c r="A106" s="972">
        <v>99</v>
      </c>
      <c r="B106" s="103"/>
      <c r="C106" s="68"/>
      <c r="D106" s="258"/>
      <c r="E106" s="259"/>
      <c r="F106" s="207"/>
      <c r="G106" s="207"/>
      <c r="H106" s="207"/>
      <c r="I106" s="207"/>
      <c r="J106" s="207"/>
    </row>
    <row r="107" spans="1:13" ht="15" customHeight="1" x14ac:dyDescent="0.3">
      <c r="A107" s="972">
        <v>100</v>
      </c>
      <c r="B107" s="103" t="s">
        <v>842</v>
      </c>
      <c r="C107" s="33" t="s">
        <v>843</v>
      </c>
      <c r="D107" s="290">
        <f>467503.35+23026.57</f>
        <v>490529.92</v>
      </c>
      <c r="E107" s="684"/>
      <c r="F107" s="207"/>
      <c r="G107" s="207"/>
      <c r="H107" s="207"/>
      <c r="I107" s="207"/>
      <c r="J107" s="616"/>
    </row>
    <row r="108" spans="1:13" ht="15" customHeight="1" x14ac:dyDescent="0.3">
      <c r="A108" s="972">
        <v>101</v>
      </c>
      <c r="B108" s="378">
        <v>165</v>
      </c>
      <c r="C108" s="33" t="s">
        <v>844</v>
      </c>
      <c r="D108" s="290">
        <v>555478.36</v>
      </c>
      <c r="E108" s="684"/>
      <c r="F108" s="207"/>
      <c r="G108" s="207"/>
      <c r="H108" s="207"/>
      <c r="I108" s="207"/>
      <c r="J108" s="616"/>
    </row>
    <row r="109" spans="1:13" ht="15" customHeight="1" x14ac:dyDescent="0.25">
      <c r="A109" s="972">
        <v>102</v>
      </c>
      <c r="B109" s="103" t="s">
        <v>858</v>
      </c>
      <c r="C109" s="33" t="s">
        <v>845</v>
      </c>
      <c r="D109" s="290">
        <f>+'S1-Revenue Requirement'!E15*0.125</f>
        <v>2281886.891363591</v>
      </c>
      <c r="E109" s="259"/>
      <c r="F109" s="207"/>
      <c r="G109" s="207"/>
      <c r="H109" s="207"/>
      <c r="I109" s="207"/>
      <c r="J109" s="207"/>
    </row>
    <row r="110" spans="1:13" ht="15" customHeight="1" x14ac:dyDescent="0.25">
      <c r="A110" s="972">
        <v>103</v>
      </c>
      <c r="B110" s="103" t="s">
        <v>847</v>
      </c>
      <c r="C110" s="33" t="s">
        <v>846</v>
      </c>
      <c r="D110" s="290">
        <v>584076.38</v>
      </c>
      <c r="E110" s="259"/>
      <c r="F110" s="207"/>
      <c r="G110" s="207"/>
      <c r="H110" s="207"/>
      <c r="I110" s="207"/>
      <c r="J110" s="207"/>
    </row>
    <row r="111" spans="1:13" ht="15" customHeight="1" x14ac:dyDescent="0.3">
      <c r="A111" s="972">
        <v>104</v>
      </c>
      <c r="B111" s="378">
        <v>235</v>
      </c>
      <c r="C111" s="33" t="s">
        <v>71</v>
      </c>
      <c r="D111" s="793">
        <v>-194187.8</v>
      </c>
      <c r="E111" s="259"/>
      <c r="F111" s="207"/>
      <c r="G111" s="207"/>
      <c r="H111" s="207"/>
      <c r="I111" s="207"/>
      <c r="J111" s="207"/>
    </row>
    <row r="112" spans="1:13" s="483" customFormat="1" ht="15" customHeight="1" x14ac:dyDescent="0.25">
      <c r="A112" s="972">
        <v>105</v>
      </c>
      <c r="B112" s="103" t="s">
        <v>849</v>
      </c>
      <c r="C112" s="33" t="s">
        <v>848</v>
      </c>
      <c r="D112" s="290">
        <v>-132482.54999999999</v>
      </c>
      <c r="E112" s="259"/>
      <c r="F112" s="207"/>
      <c r="G112" s="207"/>
      <c r="H112" s="207"/>
      <c r="I112" s="207"/>
      <c r="J112" s="207"/>
      <c r="M112" s="36"/>
    </row>
    <row r="113" spans="1:13" s="483" customFormat="1" ht="15" customHeight="1" x14ac:dyDescent="0.25">
      <c r="A113" s="972">
        <v>106</v>
      </c>
      <c r="B113" s="103"/>
      <c r="C113" s="437" t="s">
        <v>850</v>
      </c>
      <c r="D113" s="484">
        <f>SUM(D105:D112)</f>
        <v>51566763.581363596</v>
      </c>
      <c r="E113" s="484"/>
      <c r="F113" s="207"/>
      <c r="G113" s="207"/>
      <c r="H113" s="207"/>
      <c r="I113" s="207"/>
      <c r="J113" s="207"/>
    </row>
    <row r="114" spans="1:13" ht="15" customHeight="1" x14ac:dyDescent="0.25">
      <c r="A114" s="972">
        <v>107</v>
      </c>
      <c r="B114" s="103"/>
      <c r="C114" s="437"/>
      <c r="D114" s="484"/>
      <c r="E114" s="259"/>
      <c r="F114" s="207"/>
      <c r="G114" s="207"/>
      <c r="H114" s="207"/>
      <c r="I114" s="207"/>
      <c r="J114" s="207"/>
      <c r="M114" s="483"/>
    </row>
    <row r="115" spans="1:13" ht="15" customHeight="1" x14ac:dyDescent="0.25">
      <c r="A115" s="972">
        <v>108</v>
      </c>
      <c r="B115" s="103"/>
      <c r="C115" s="437" t="s">
        <v>1134</v>
      </c>
      <c r="D115" s="484">
        <f>+D113*'S9-A WCOD'!G75</f>
        <v>1956400.8367190526</v>
      </c>
      <c r="E115" s="259"/>
      <c r="F115" s="207"/>
      <c r="G115" s="207"/>
      <c r="H115" s="207"/>
      <c r="I115" s="207"/>
      <c r="J115" s="207"/>
    </row>
    <row r="116" spans="1:13" ht="15" customHeight="1" x14ac:dyDescent="0.25">
      <c r="B116" s="103"/>
      <c r="C116" s="252"/>
      <c r="D116" s="258"/>
      <c r="E116" s="259"/>
      <c r="F116" s="207"/>
      <c r="G116" s="207"/>
      <c r="H116" s="207"/>
      <c r="I116" s="207"/>
      <c r="J116" s="207"/>
    </row>
    <row r="117" spans="1:13" ht="15" customHeight="1" x14ac:dyDescent="0.25">
      <c r="A117" s="36" t="s">
        <v>859</v>
      </c>
      <c r="B117" s="103"/>
      <c r="C117" s="252"/>
      <c r="D117" s="258"/>
      <c r="E117" s="259"/>
      <c r="F117" s="207"/>
      <c r="G117" s="207"/>
      <c r="H117" s="207"/>
      <c r="I117" s="207"/>
      <c r="J117" s="207"/>
    </row>
    <row r="118" spans="1:13" ht="15" customHeight="1" x14ac:dyDescent="0.25">
      <c r="B118" s="103"/>
      <c r="C118" s="252"/>
      <c r="D118" s="258"/>
      <c r="E118" s="259"/>
      <c r="F118" s="207"/>
      <c r="G118" s="207"/>
      <c r="H118" s="207"/>
      <c r="I118" s="207"/>
      <c r="J118" s="207"/>
    </row>
    <row r="119" spans="1:13" ht="15" customHeight="1" x14ac:dyDescent="0.25">
      <c r="B119" s="307"/>
      <c r="C119" s="252"/>
      <c r="D119" s="258"/>
      <c r="E119" s="259"/>
      <c r="F119" s="207"/>
      <c r="G119" s="207"/>
      <c r="H119" s="207"/>
      <c r="I119" s="207"/>
      <c r="J119" s="207"/>
    </row>
    <row r="120" spans="1:13" ht="15" customHeight="1" x14ac:dyDescent="0.25">
      <c r="B120" s="307"/>
      <c r="C120" s="205"/>
      <c r="D120" s="408"/>
      <c r="E120" s="259"/>
      <c r="F120" s="207"/>
      <c r="G120" s="207"/>
      <c r="H120" s="207"/>
      <c r="I120" s="207"/>
      <c r="J120" s="207"/>
    </row>
    <row r="121" spans="1:13" ht="15" customHeight="1" x14ac:dyDescent="0.25">
      <c r="B121" s="307"/>
      <c r="C121" s="205"/>
      <c r="D121" s="258"/>
      <c r="E121" s="259"/>
      <c r="F121" s="207"/>
      <c r="G121" s="207"/>
      <c r="H121" s="207"/>
      <c r="I121" s="207"/>
      <c r="J121" s="207"/>
    </row>
    <row r="122" spans="1:13" ht="15" customHeight="1" x14ac:dyDescent="0.25">
      <c r="B122" s="103"/>
      <c r="C122" s="205"/>
      <c r="D122" s="258"/>
      <c r="E122" s="259"/>
      <c r="F122" s="207"/>
      <c r="G122" s="207"/>
      <c r="H122" s="207"/>
      <c r="I122" s="207"/>
      <c r="J122" s="207"/>
    </row>
    <row r="123" spans="1:13" ht="15" customHeight="1" x14ac:dyDescent="0.25">
      <c r="B123" s="103"/>
      <c r="C123" s="205"/>
      <c r="D123" s="258"/>
      <c r="E123" s="259"/>
      <c r="F123" s="207"/>
      <c r="G123" s="207"/>
      <c r="H123" s="207"/>
      <c r="I123" s="207"/>
      <c r="J123" s="207"/>
    </row>
    <row r="124" spans="1:13" ht="15" customHeight="1" x14ac:dyDescent="0.25">
      <c r="B124" s="103"/>
      <c r="C124" s="33"/>
      <c r="D124" s="258"/>
      <c r="E124" s="259"/>
      <c r="F124" s="207"/>
      <c r="G124" s="207"/>
      <c r="H124" s="207"/>
      <c r="I124" s="207"/>
      <c r="J124" s="207"/>
    </row>
    <row r="125" spans="1:13" ht="15" customHeight="1" x14ac:dyDescent="0.25">
      <c r="B125" s="103"/>
      <c r="C125" s="33"/>
      <c r="D125" s="258"/>
      <c r="E125" s="259"/>
      <c r="F125" s="207"/>
      <c r="G125" s="207"/>
      <c r="H125" s="207"/>
      <c r="I125" s="207"/>
      <c r="J125" s="207"/>
    </row>
    <row r="126" spans="1:13" ht="15" customHeight="1" x14ac:dyDescent="0.25">
      <c r="B126" s="103"/>
      <c r="C126" s="33"/>
      <c r="D126" s="258"/>
      <c r="E126" s="259"/>
      <c r="F126" s="207"/>
      <c r="G126" s="207"/>
      <c r="H126" s="207"/>
      <c r="I126" s="207"/>
      <c r="J126" s="207"/>
    </row>
    <row r="127" spans="1:13" ht="15" customHeight="1" x14ac:dyDescent="0.25">
      <c r="B127" s="103"/>
      <c r="C127" s="33"/>
      <c r="D127" s="258"/>
      <c r="E127" s="259"/>
      <c r="F127" s="207"/>
      <c r="G127" s="207"/>
      <c r="H127" s="207"/>
      <c r="I127" s="207"/>
      <c r="J127" s="207"/>
    </row>
    <row r="128" spans="1:13" ht="15" customHeight="1" x14ac:dyDescent="0.25">
      <c r="B128" s="103"/>
      <c r="C128" s="33"/>
      <c r="D128" s="258"/>
      <c r="E128" s="259"/>
      <c r="F128" s="207"/>
      <c r="G128" s="207"/>
      <c r="H128" s="207"/>
      <c r="I128" s="207"/>
      <c r="J128" s="207"/>
    </row>
    <row r="129" spans="2:10" ht="15" customHeight="1" x14ac:dyDescent="0.25">
      <c r="B129" s="103"/>
      <c r="C129" s="33"/>
      <c r="D129" s="258"/>
      <c r="E129" s="259"/>
      <c r="F129" s="207"/>
      <c r="G129" s="207"/>
      <c r="H129" s="207"/>
      <c r="I129" s="207"/>
      <c r="J129" s="207"/>
    </row>
    <row r="130" spans="2:10" ht="15" customHeight="1" x14ac:dyDescent="0.25">
      <c r="B130" s="103"/>
      <c r="C130" s="33"/>
      <c r="D130" s="258"/>
      <c r="E130" s="259"/>
      <c r="F130" s="207"/>
      <c r="G130" s="207"/>
      <c r="H130" s="207"/>
      <c r="I130" s="207"/>
      <c r="J130" s="207"/>
    </row>
    <row r="131" spans="2:10" ht="15" customHeight="1" x14ac:dyDescent="0.25">
      <c r="B131" s="103"/>
      <c r="C131" s="33"/>
      <c r="D131" s="258"/>
      <c r="E131" s="259"/>
      <c r="F131" s="207"/>
      <c r="G131" s="207"/>
      <c r="H131" s="207"/>
      <c r="I131" s="207"/>
      <c r="J131" s="207"/>
    </row>
    <row r="132" spans="2:10" ht="15" customHeight="1" x14ac:dyDescent="0.25">
      <c r="B132" s="103"/>
      <c r="C132" s="33"/>
      <c r="D132" s="258"/>
      <c r="E132" s="259"/>
      <c r="F132" s="207"/>
      <c r="G132" s="207"/>
      <c r="H132" s="207"/>
      <c r="I132" s="207"/>
      <c r="J132" s="207"/>
    </row>
    <row r="133" spans="2:10" ht="15" customHeight="1" x14ac:dyDescent="0.25">
      <c r="B133" s="103"/>
      <c r="C133" s="33"/>
      <c r="D133" s="258"/>
      <c r="E133" s="259"/>
      <c r="F133" s="207"/>
      <c r="G133" s="207"/>
      <c r="H133" s="207"/>
      <c r="I133" s="207"/>
      <c r="J133" s="207"/>
    </row>
    <row r="134" spans="2:10" ht="15" customHeight="1" x14ac:dyDescent="0.25">
      <c r="B134" s="103"/>
      <c r="C134" s="33"/>
      <c r="D134" s="258"/>
      <c r="E134" s="259"/>
      <c r="F134" s="207"/>
      <c r="G134" s="207"/>
      <c r="H134" s="207"/>
      <c r="I134" s="207"/>
      <c r="J134" s="207"/>
    </row>
    <row r="135" spans="2:10" ht="15" customHeight="1" x14ac:dyDescent="0.25">
      <c r="B135" s="103"/>
      <c r="C135" s="33"/>
      <c r="D135" s="258"/>
      <c r="E135" s="259"/>
      <c r="F135" s="207"/>
      <c r="G135" s="207"/>
      <c r="H135" s="207"/>
      <c r="I135" s="207"/>
      <c r="J135" s="207"/>
    </row>
    <row r="136" spans="2:10" ht="15" customHeight="1" x14ac:dyDescent="0.25">
      <c r="B136" s="103"/>
      <c r="C136" s="33"/>
      <c r="D136" s="258"/>
      <c r="E136" s="259"/>
      <c r="F136" s="207"/>
      <c r="G136" s="207"/>
      <c r="H136" s="207"/>
      <c r="I136" s="207"/>
      <c r="J136" s="207"/>
    </row>
    <row r="137" spans="2:10" ht="15" customHeight="1" x14ac:dyDescent="0.25">
      <c r="B137" s="103"/>
      <c r="C137" s="33"/>
      <c r="D137" s="258"/>
      <c r="E137" s="259"/>
      <c r="F137" s="207"/>
      <c r="G137" s="207"/>
      <c r="H137" s="207"/>
      <c r="I137" s="207"/>
      <c r="J137" s="207"/>
    </row>
    <row r="138" spans="2:10" ht="15" customHeight="1" x14ac:dyDescent="0.25">
      <c r="B138" s="103"/>
      <c r="C138" s="33"/>
      <c r="D138" s="258"/>
      <c r="E138" s="259"/>
      <c r="F138" s="207"/>
      <c r="G138" s="207"/>
      <c r="H138" s="207"/>
      <c r="I138" s="207"/>
      <c r="J138" s="207"/>
    </row>
    <row r="139" spans="2:10" ht="15" customHeight="1" x14ac:dyDescent="0.25">
      <c r="B139" s="103"/>
      <c r="C139" s="33"/>
      <c r="D139" s="258"/>
      <c r="E139" s="259"/>
      <c r="F139" s="207"/>
      <c r="G139" s="207"/>
      <c r="H139" s="207"/>
      <c r="I139" s="207"/>
      <c r="J139" s="207"/>
    </row>
    <row r="140" spans="2:10" ht="15" customHeight="1" x14ac:dyDescent="0.25">
      <c r="B140" s="103"/>
      <c r="C140" s="33"/>
      <c r="D140" s="258"/>
      <c r="E140" s="259"/>
      <c r="F140" s="207"/>
      <c r="G140" s="207"/>
      <c r="H140" s="207"/>
      <c r="I140" s="207"/>
      <c r="J140" s="207"/>
    </row>
    <row r="141" spans="2:10" ht="15" customHeight="1" x14ac:dyDescent="0.25">
      <c r="B141" s="103"/>
      <c r="C141" s="33"/>
      <c r="D141" s="258"/>
      <c r="E141" s="259"/>
      <c r="F141" s="207"/>
      <c r="G141" s="207"/>
      <c r="H141" s="207"/>
      <c r="I141" s="207"/>
      <c r="J141" s="207"/>
    </row>
    <row r="142" spans="2:10" ht="15" customHeight="1" x14ac:dyDescent="0.25">
      <c r="B142" s="103"/>
      <c r="C142" s="33"/>
      <c r="D142" s="258"/>
      <c r="E142" s="259"/>
      <c r="F142" s="207"/>
      <c r="G142" s="207"/>
      <c r="H142" s="207"/>
      <c r="I142" s="207"/>
      <c r="J142" s="207"/>
    </row>
    <row r="143" spans="2:10" ht="15" customHeight="1" x14ac:dyDescent="0.25">
      <c r="B143" s="103"/>
      <c r="C143" s="33"/>
      <c r="D143" s="258"/>
      <c r="E143" s="259"/>
      <c r="F143" s="207"/>
      <c r="G143" s="207"/>
      <c r="H143" s="207"/>
      <c r="I143" s="207"/>
      <c r="J143" s="207"/>
    </row>
    <row r="144" spans="2:10" ht="15" customHeight="1" x14ac:dyDescent="0.25">
      <c r="B144" s="103"/>
      <c r="C144" s="33"/>
      <c r="D144" s="258"/>
      <c r="E144" s="259"/>
      <c r="F144" s="207"/>
      <c r="G144" s="207"/>
      <c r="H144" s="207"/>
      <c r="I144" s="207"/>
      <c r="J144" s="207"/>
    </row>
    <row r="145" spans="2:10" ht="15" customHeight="1" x14ac:dyDescent="0.25">
      <c r="B145" s="103"/>
      <c r="C145" s="33"/>
      <c r="D145" s="258"/>
      <c r="E145" s="259"/>
      <c r="F145" s="207"/>
      <c r="G145" s="207"/>
      <c r="H145" s="207"/>
      <c r="I145" s="207"/>
      <c r="J145" s="207"/>
    </row>
    <row r="146" spans="2:10" ht="15" customHeight="1" x14ac:dyDescent="0.25">
      <c r="B146" s="103"/>
      <c r="C146" s="33"/>
      <c r="D146" s="258"/>
      <c r="E146" s="259"/>
      <c r="F146" s="207"/>
      <c r="G146" s="207"/>
      <c r="H146" s="207"/>
      <c r="I146" s="207"/>
      <c r="J146" s="207"/>
    </row>
    <row r="147" spans="2:10" ht="15" customHeight="1" x14ac:dyDescent="0.25">
      <c r="B147" s="103"/>
      <c r="C147" s="33"/>
      <c r="D147" s="258"/>
      <c r="E147" s="259"/>
      <c r="F147" s="207"/>
      <c r="G147" s="207"/>
      <c r="H147" s="207"/>
      <c r="I147" s="207"/>
      <c r="J147" s="207"/>
    </row>
    <row r="148" spans="2:10" ht="15" customHeight="1" x14ac:dyDescent="0.25">
      <c r="B148" s="103"/>
      <c r="C148" s="33"/>
      <c r="D148" s="258"/>
      <c r="E148" s="259"/>
      <c r="F148" s="207"/>
      <c r="G148" s="207"/>
      <c r="H148" s="207"/>
      <c r="I148" s="207"/>
      <c r="J148" s="207"/>
    </row>
    <row r="149" spans="2:10" ht="15" customHeight="1" x14ac:dyDescent="0.25">
      <c r="B149" s="103"/>
      <c r="C149" s="33"/>
      <c r="D149" s="258"/>
      <c r="E149" s="259"/>
      <c r="F149" s="207"/>
      <c r="G149" s="207"/>
      <c r="H149" s="207"/>
      <c r="I149" s="207"/>
      <c r="J149" s="207"/>
    </row>
    <row r="150" spans="2:10" ht="15" customHeight="1" x14ac:dyDescent="0.25">
      <c r="B150" s="103"/>
      <c r="C150" s="33"/>
      <c r="D150" s="258"/>
      <c r="E150" s="259"/>
      <c r="F150" s="207"/>
      <c r="G150" s="207"/>
      <c r="H150" s="207"/>
      <c r="I150" s="207"/>
      <c r="J150" s="207"/>
    </row>
    <row r="151" spans="2:10" ht="15" customHeight="1" x14ac:dyDescent="0.25">
      <c r="B151" s="103"/>
      <c r="C151" s="33"/>
      <c r="D151" s="258"/>
      <c r="E151" s="259"/>
      <c r="F151" s="207"/>
      <c r="G151" s="207"/>
      <c r="H151" s="207"/>
      <c r="I151" s="207"/>
      <c r="J151" s="207"/>
    </row>
    <row r="152" spans="2:10" ht="15" customHeight="1" x14ac:dyDescent="0.25">
      <c r="B152" s="103"/>
      <c r="C152" s="33"/>
      <c r="D152" s="258"/>
      <c r="E152" s="259"/>
      <c r="F152" s="207"/>
      <c r="G152" s="207"/>
      <c r="H152" s="207"/>
      <c r="I152" s="207"/>
      <c r="J152" s="207"/>
    </row>
    <row r="153" spans="2:10" ht="15" customHeight="1" x14ac:dyDescent="0.25">
      <c r="B153" s="103"/>
      <c r="C153" s="33"/>
      <c r="D153" s="258"/>
      <c r="E153" s="259"/>
      <c r="F153" s="207"/>
      <c r="G153" s="207"/>
      <c r="H153" s="207"/>
      <c r="I153" s="207"/>
      <c r="J153" s="207"/>
    </row>
    <row r="154" spans="2:10" ht="15" customHeight="1" x14ac:dyDescent="0.25">
      <c r="B154" s="103"/>
      <c r="C154" s="33"/>
      <c r="D154" s="258"/>
      <c r="E154" s="259"/>
      <c r="F154" s="207"/>
      <c r="G154" s="207"/>
      <c r="H154" s="207"/>
      <c r="I154" s="207"/>
      <c r="J154" s="207"/>
    </row>
    <row r="155" spans="2:10" ht="15" customHeight="1" x14ac:dyDescent="0.25">
      <c r="B155" s="103"/>
      <c r="C155" s="33"/>
      <c r="D155" s="258"/>
      <c r="E155" s="259"/>
      <c r="F155" s="207"/>
      <c r="G155" s="207"/>
      <c r="H155" s="207"/>
      <c r="I155" s="207"/>
      <c r="J155" s="207"/>
    </row>
    <row r="156" spans="2:10" ht="15" customHeight="1" x14ac:dyDescent="0.25">
      <c r="B156" s="103"/>
      <c r="C156" s="33"/>
      <c r="D156" s="258"/>
      <c r="E156" s="259"/>
      <c r="F156" s="207"/>
      <c r="G156" s="207"/>
      <c r="H156" s="207"/>
      <c r="I156" s="207"/>
      <c r="J156" s="207"/>
    </row>
    <row r="157" spans="2:10" ht="15" customHeight="1" x14ac:dyDescent="0.25">
      <c r="B157" s="103"/>
      <c r="C157" s="33"/>
      <c r="D157" s="258"/>
      <c r="E157" s="259"/>
      <c r="F157" s="207"/>
      <c r="G157" s="207"/>
      <c r="H157" s="207"/>
      <c r="I157" s="207"/>
      <c r="J157" s="207"/>
    </row>
    <row r="158" spans="2:10" ht="15" customHeight="1" x14ac:dyDescent="0.25">
      <c r="B158" s="103"/>
      <c r="C158" s="33"/>
      <c r="D158" s="258"/>
      <c r="E158" s="259"/>
      <c r="F158" s="207"/>
      <c r="G158" s="207"/>
      <c r="H158" s="207"/>
      <c r="I158" s="207"/>
      <c r="J158" s="207"/>
    </row>
    <row r="159" spans="2:10" ht="15" customHeight="1" x14ac:dyDescent="0.25">
      <c r="B159" s="103"/>
      <c r="C159" s="33"/>
      <c r="D159" s="258"/>
      <c r="E159" s="259"/>
      <c r="F159" s="207"/>
      <c r="G159" s="207"/>
      <c r="H159" s="207"/>
      <c r="I159" s="207"/>
      <c r="J159" s="207"/>
    </row>
    <row r="160" spans="2:10" ht="15" customHeight="1" x14ac:dyDescent="0.25">
      <c r="B160" s="103"/>
      <c r="C160" s="33"/>
      <c r="D160" s="258"/>
      <c r="E160" s="259"/>
      <c r="F160" s="207"/>
      <c r="G160" s="207"/>
      <c r="H160" s="207"/>
      <c r="I160" s="207"/>
      <c r="J160" s="207"/>
    </row>
    <row r="161" spans="2:10" ht="15" customHeight="1" x14ac:dyDescent="0.25">
      <c r="B161" s="103"/>
      <c r="C161" s="33"/>
      <c r="D161" s="258"/>
      <c r="E161" s="259"/>
      <c r="F161" s="207"/>
      <c r="G161" s="207"/>
      <c r="H161" s="207"/>
      <c r="I161" s="207"/>
      <c r="J161" s="207"/>
    </row>
    <row r="162" spans="2:10" ht="15" customHeight="1" x14ac:dyDescent="0.25">
      <c r="B162" s="103"/>
      <c r="C162" s="33"/>
      <c r="D162" s="258"/>
      <c r="E162" s="259"/>
      <c r="F162" s="207"/>
      <c r="G162" s="207"/>
      <c r="H162" s="207"/>
      <c r="I162" s="207"/>
      <c r="J162" s="207"/>
    </row>
    <row r="163" spans="2:10" ht="15" customHeight="1" x14ac:dyDescent="0.25">
      <c r="B163" s="103"/>
      <c r="C163" s="33"/>
      <c r="D163" s="258"/>
      <c r="E163" s="259"/>
      <c r="F163" s="207"/>
      <c r="G163" s="207"/>
      <c r="H163" s="207"/>
      <c r="I163" s="207"/>
      <c r="J163" s="207"/>
    </row>
    <row r="164" spans="2:10" ht="15" customHeight="1" x14ac:dyDescent="0.25">
      <c r="B164" s="103"/>
      <c r="C164" s="33"/>
      <c r="D164" s="258"/>
      <c r="E164" s="259"/>
      <c r="F164" s="207"/>
      <c r="G164" s="207"/>
      <c r="H164" s="207"/>
      <c r="I164" s="207"/>
      <c r="J164" s="207"/>
    </row>
    <row r="165" spans="2:10" ht="15" customHeight="1" x14ac:dyDescent="0.25">
      <c r="B165" s="103"/>
      <c r="C165" s="33"/>
      <c r="D165" s="258"/>
      <c r="E165" s="259"/>
      <c r="F165" s="207"/>
      <c r="G165" s="207"/>
      <c r="H165" s="207"/>
      <c r="I165" s="207"/>
      <c r="J165" s="207"/>
    </row>
    <row r="166" spans="2:10" ht="15" customHeight="1" x14ac:dyDescent="0.25">
      <c r="B166" s="103"/>
      <c r="C166" s="33"/>
      <c r="D166" s="258"/>
      <c r="E166" s="259"/>
      <c r="F166" s="207"/>
      <c r="G166" s="207"/>
      <c r="H166" s="207"/>
      <c r="I166" s="207"/>
      <c r="J166" s="207"/>
    </row>
    <row r="167" spans="2:10" ht="15" customHeight="1" x14ac:dyDescent="0.25">
      <c r="B167" s="103"/>
      <c r="C167" s="33"/>
      <c r="D167" s="258"/>
      <c r="E167" s="259"/>
      <c r="F167" s="207"/>
      <c r="G167" s="207"/>
      <c r="H167" s="207"/>
      <c r="I167" s="207"/>
      <c r="J167" s="207"/>
    </row>
    <row r="168" spans="2:10" ht="15" customHeight="1" x14ac:dyDescent="0.25">
      <c r="B168" s="103"/>
      <c r="C168" s="33"/>
      <c r="D168" s="258"/>
      <c r="E168" s="259"/>
      <c r="F168" s="207"/>
      <c r="G168" s="207"/>
      <c r="H168" s="207"/>
      <c r="I168" s="207"/>
      <c r="J168" s="207"/>
    </row>
    <row r="169" spans="2:10" ht="15" customHeight="1" x14ac:dyDescent="0.25">
      <c r="B169" s="103"/>
      <c r="C169" s="33"/>
      <c r="D169" s="258"/>
      <c r="E169" s="259"/>
      <c r="F169" s="207"/>
      <c r="G169" s="207"/>
      <c r="H169" s="207"/>
      <c r="I169" s="207"/>
      <c r="J169" s="207"/>
    </row>
    <row r="170" spans="2:10" ht="15" customHeight="1" x14ac:dyDescent="0.25">
      <c r="B170" s="103"/>
      <c r="C170" s="33"/>
      <c r="D170" s="258"/>
      <c r="E170" s="259"/>
      <c r="F170" s="207"/>
      <c r="G170" s="207"/>
      <c r="H170" s="207"/>
      <c r="I170" s="207"/>
      <c r="J170" s="207"/>
    </row>
    <row r="171" spans="2:10" ht="15" customHeight="1" x14ac:dyDescent="0.25">
      <c r="B171" s="103"/>
      <c r="C171" s="33"/>
      <c r="D171" s="258"/>
      <c r="E171" s="259"/>
      <c r="F171" s="207"/>
      <c r="G171" s="262"/>
      <c r="H171" s="263"/>
      <c r="I171" s="264"/>
      <c r="J171" s="207"/>
    </row>
    <row r="172" spans="2:10" ht="15" customHeight="1" x14ac:dyDescent="0.25">
      <c r="B172" s="104"/>
      <c r="C172" s="68"/>
      <c r="D172" s="258"/>
      <c r="E172" s="259"/>
      <c r="F172" s="207"/>
      <c r="G172" s="207"/>
      <c r="H172" s="207"/>
      <c r="I172" s="207"/>
      <c r="J172" s="207"/>
    </row>
    <row r="173" spans="2:10" ht="15" customHeight="1" x14ac:dyDescent="0.25">
      <c r="B173" s="104"/>
      <c r="C173" s="68"/>
      <c r="D173" s="258"/>
      <c r="E173" s="259"/>
      <c r="F173" s="207"/>
      <c r="G173" s="207"/>
      <c r="H173" s="207"/>
      <c r="I173" s="207"/>
      <c r="J173" s="207"/>
    </row>
    <row r="174" spans="2:10" ht="15" customHeight="1" x14ac:dyDescent="0.25">
      <c r="B174" s="68"/>
      <c r="C174" s="68"/>
      <c r="D174" s="209"/>
      <c r="E174" s="259"/>
      <c r="F174" s="207"/>
      <c r="G174" s="207"/>
      <c r="H174" s="207"/>
      <c r="I174" s="207"/>
      <c r="J174" s="207"/>
    </row>
    <row r="175" spans="2:10" ht="15" customHeight="1" x14ac:dyDescent="0.25">
      <c r="B175" s="105"/>
      <c r="C175" s="68"/>
      <c r="D175" s="252"/>
      <c r="E175" s="260"/>
      <c r="F175" s="260"/>
      <c r="G175" s="207"/>
      <c r="H175" s="207"/>
      <c r="I175" s="207"/>
      <c r="J175" s="207"/>
    </row>
    <row r="176" spans="2:10" ht="15" customHeight="1" x14ac:dyDescent="0.25">
      <c r="B176" s="105"/>
      <c r="C176" s="68"/>
      <c r="D176" s="252"/>
      <c r="E176" s="260"/>
      <c r="F176" s="205"/>
      <c r="G176" s="207"/>
      <c r="H176" s="207"/>
      <c r="I176" s="207"/>
      <c r="J176" s="207"/>
    </row>
    <row r="177" spans="1:13" ht="15" customHeight="1" x14ac:dyDescent="0.25">
      <c r="B177" s="105"/>
      <c r="C177" s="68"/>
      <c r="D177" s="252"/>
      <c r="E177" s="260"/>
      <c r="F177" s="260"/>
      <c r="G177" s="207"/>
      <c r="H177" s="207"/>
      <c r="I177" s="207"/>
      <c r="J177" s="207"/>
    </row>
    <row r="178" spans="1:13" ht="15" customHeight="1" x14ac:dyDescent="0.25">
      <c r="B178" s="105"/>
      <c r="C178" s="107"/>
      <c r="D178" s="252"/>
      <c r="E178" s="260"/>
      <c r="F178" s="260"/>
      <c r="G178" s="207"/>
      <c r="H178" s="207"/>
      <c r="I178" s="207"/>
    </row>
    <row r="179" spans="1:13" ht="15" customHeight="1" x14ac:dyDescent="0.25">
      <c r="B179" s="105"/>
      <c r="C179" s="68"/>
      <c r="D179" s="252"/>
      <c r="E179" s="260"/>
      <c r="F179" s="205"/>
    </row>
    <row r="180" spans="1:13" ht="15" customHeight="1" x14ac:dyDescent="0.25">
      <c r="B180" s="68"/>
      <c r="C180" s="68"/>
      <c r="D180" s="252"/>
      <c r="E180" s="260"/>
      <c r="F180" s="205"/>
    </row>
    <row r="181" spans="1:13" ht="15" customHeight="1" x14ac:dyDescent="0.25">
      <c r="B181" s="68"/>
      <c r="C181" s="68"/>
      <c r="D181" s="252"/>
      <c r="E181" s="259"/>
      <c r="F181" s="207"/>
    </row>
    <row r="182" spans="1:13" ht="15" customHeight="1" x14ac:dyDescent="0.25">
      <c r="B182" s="68"/>
      <c r="C182" s="68"/>
      <c r="D182" s="252"/>
      <c r="E182" s="259"/>
      <c r="F182" s="207"/>
    </row>
    <row r="183" spans="1:13" ht="15" customHeight="1" x14ac:dyDescent="0.25">
      <c r="B183" s="68"/>
      <c r="C183" s="68"/>
      <c r="D183" s="252"/>
      <c r="E183" s="259"/>
      <c r="F183" s="218"/>
    </row>
    <row r="184" spans="1:13" ht="15" customHeight="1" x14ac:dyDescent="0.25">
      <c r="B184" s="68"/>
      <c r="C184" s="68"/>
      <c r="D184" s="252"/>
      <c r="E184" s="259"/>
      <c r="F184" s="207"/>
    </row>
    <row r="185" spans="1:13" ht="15" customHeight="1" x14ac:dyDescent="0.25">
      <c r="B185" s="68"/>
      <c r="C185" s="68"/>
      <c r="D185" s="252"/>
      <c r="E185" s="259"/>
      <c r="F185" s="207"/>
    </row>
    <row r="186" spans="1:13" ht="15" customHeight="1" x14ac:dyDescent="0.25">
      <c r="B186" s="68"/>
      <c r="C186" s="68"/>
      <c r="D186" s="252"/>
      <c r="E186" s="259"/>
      <c r="F186" s="207"/>
    </row>
    <row r="187" spans="1:13" ht="15" customHeight="1" x14ac:dyDescent="0.25">
      <c r="B187" s="68"/>
      <c r="C187" s="68"/>
      <c r="D187" s="252"/>
      <c r="E187" s="259"/>
      <c r="F187" s="207"/>
    </row>
    <row r="188" spans="1:13" s="100" customFormat="1" ht="15" customHeight="1" x14ac:dyDescent="0.25">
      <c r="A188" s="36"/>
      <c r="B188" s="68"/>
      <c r="C188" s="68"/>
      <c r="D188" s="252"/>
      <c r="E188" s="259"/>
      <c r="F188" s="207"/>
      <c r="G188" s="36"/>
      <c r="H188" s="36"/>
      <c r="I188" s="36"/>
      <c r="J188" s="36"/>
      <c r="M188" s="36"/>
    </row>
    <row r="189" spans="1:13" s="100" customFormat="1" ht="15" customHeight="1" x14ac:dyDescent="0.25">
      <c r="A189" s="36"/>
      <c r="B189" s="68"/>
      <c r="C189" s="68"/>
      <c r="D189" s="252"/>
      <c r="E189" s="259"/>
      <c r="F189" s="207"/>
      <c r="G189" s="36"/>
      <c r="H189" s="36"/>
      <c r="I189" s="36"/>
      <c r="J189" s="36"/>
    </row>
    <row r="190" spans="1:13" s="100" customFormat="1" ht="15" customHeight="1" x14ac:dyDescent="0.25">
      <c r="B190" s="68"/>
      <c r="C190" s="68"/>
      <c r="D190" s="252"/>
      <c r="E190" s="259"/>
      <c r="F190" s="207"/>
      <c r="G190" s="36"/>
      <c r="H190" s="36"/>
      <c r="I190" s="36"/>
      <c r="J190" s="36"/>
    </row>
    <row r="191" spans="1:13" s="100" customFormat="1" ht="15" customHeight="1" x14ac:dyDescent="0.25">
      <c r="B191" s="68"/>
      <c r="C191" s="68"/>
      <c r="D191" s="252"/>
      <c r="E191" s="259"/>
      <c r="F191" s="207"/>
      <c r="G191" s="36"/>
      <c r="H191" s="36"/>
      <c r="I191" s="36"/>
      <c r="J191" s="36"/>
    </row>
    <row r="192" spans="1:13" s="100" customFormat="1" ht="15" customHeight="1" x14ac:dyDescent="0.25">
      <c r="B192" s="68"/>
      <c r="C192" s="68"/>
      <c r="D192" s="252"/>
      <c r="E192" s="259"/>
      <c r="F192" s="207"/>
      <c r="G192" s="36"/>
      <c r="H192" s="36"/>
      <c r="I192" s="36"/>
      <c r="J192" s="36"/>
    </row>
    <row r="193" spans="2:10" s="100" customFormat="1" ht="15" customHeight="1" x14ac:dyDescent="0.25">
      <c r="B193" s="68"/>
      <c r="C193" s="68"/>
      <c r="D193" s="252"/>
      <c r="E193" s="259"/>
      <c r="F193" s="207"/>
      <c r="G193" s="36"/>
      <c r="H193" s="36"/>
      <c r="I193" s="36"/>
      <c r="J193" s="36"/>
    </row>
    <row r="194" spans="2:10" s="100" customFormat="1" ht="15" customHeight="1" x14ac:dyDescent="0.25">
      <c r="B194" s="68"/>
      <c r="C194" s="68"/>
      <c r="D194" s="252"/>
      <c r="E194" s="259"/>
      <c r="F194" s="207"/>
      <c r="G194" s="36"/>
      <c r="H194" s="36"/>
      <c r="I194" s="36"/>
      <c r="J194" s="36"/>
    </row>
    <row r="195" spans="2:10" s="100" customFormat="1" ht="15" customHeight="1" x14ac:dyDescent="0.25">
      <c r="B195" s="68"/>
      <c r="C195" s="68"/>
      <c r="D195" s="252"/>
      <c r="E195" s="259"/>
      <c r="F195" s="207"/>
      <c r="G195" s="36"/>
      <c r="H195" s="36"/>
      <c r="I195" s="36"/>
      <c r="J195" s="36"/>
    </row>
    <row r="196" spans="2:10" s="100" customFormat="1" ht="15" customHeight="1" x14ac:dyDescent="0.25">
      <c r="B196" s="68"/>
      <c r="C196" s="68"/>
      <c r="D196" s="252"/>
      <c r="F196" s="36"/>
      <c r="G196" s="36"/>
      <c r="H196" s="36"/>
      <c r="I196" s="36"/>
      <c r="J196" s="36"/>
    </row>
    <row r="197" spans="2:10" s="100" customFormat="1" ht="15" customHeight="1" x14ac:dyDescent="0.25">
      <c r="B197" s="68"/>
      <c r="C197" s="68"/>
      <c r="D197" s="252"/>
      <c r="F197" s="36"/>
      <c r="G197" s="36"/>
      <c r="H197" s="36"/>
      <c r="I197" s="36"/>
      <c r="J197" s="36"/>
    </row>
    <row r="198" spans="2:10" s="100" customFormat="1" ht="15" customHeight="1" x14ac:dyDescent="0.25">
      <c r="B198" s="68"/>
      <c r="C198" s="68"/>
      <c r="D198" s="252"/>
      <c r="F198" s="36"/>
      <c r="G198" s="36"/>
      <c r="H198" s="36"/>
      <c r="I198" s="36"/>
      <c r="J198" s="36"/>
    </row>
    <row r="199" spans="2:10" s="100" customFormat="1" ht="15" customHeight="1" x14ac:dyDescent="0.25">
      <c r="B199" s="68"/>
      <c r="C199" s="68"/>
      <c r="D199" s="252"/>
      <c r="F199" s="36"/>
      <c r="G199" s="36"/>
      <c r="H199" s="36"/>
      <c r="I199" s="36"/>
      <c r="J199" s="36"/>
    </row>
    <row r="200" spans="2:10" s="100" customFormat="1" ht="15" customHeight="1" x14ac:dyDescent="0.25">
      <c r="B200" s="68"/>
      <c r="C200" s="68"/>
      <c r="D200" s="252"/>
      <c r="F200" s="36"/>
      <c r="G200" s="36"/>
      <c r="H200" s="36"/>
      <c r="I200" s="36"/>
      <c r="J200" s="36"/>
    </row>
    <row r="201" spans="2:10" s="100" customFormat="1" ht="15" customHeight="1" x14ac:dyDescent="0.25">
      <c r="B201" s="68"/>
      <c r="C201" s="68"/>
      <c r="D201" s="252"/>
      <c r="F201" s="36"/>
      <c r="G201" s="36"/>
      <c r="H201" s="36"/>
      <c r="I201" s="36"/>
      <c r="J201" s="36"/>
    </row>
    <row r="202" spans="2:10" s="100" customFormat="1" ht="15" customHeight="1" x14ac:dyDescent="0.25">
      <c r="B202" s="68"/>
      <c r="C202" s="68"/>
      <c r="D202" s="252"/>
      <c r="F202" s="36"/>
      <c r="G202" s="36"/>
      <c r="H202" s="36"/>
      <c r="I202" s="36"/>
      <c r="J202" s="36"/>
    </row>
    <row r="203" spans="2:10" s="100" customFormat="1" ht="15" customHeight="1" x14ac:dyDescent="0.25">
      <c r="B203" s="68"/>
      <c r="C203" s="68"/>
      <c r="D203" s="252"/>
      <c r="F203" s="36"/>
      <c r="G203" s="36"/>
      <c r="H203" s="36"/>
      <c r="I203" s="36"/>
      <c r="J203" s="36"/>
    </row>
    <row r="204" spans="2:10" s="100" customFormat="1" ht="15" customHeight="1" x14ac:dyDescent="0.25">
      <c r="B204" s="68"/>
      <c r="C204" s="68"/>
      <c r="D204" s="252"/>
      <c r="F204" s="36"/>
      <c r="G204" s="36"/>
      <c r="H204" s="36"/>
      <c r="I204" s="36"/>
      <c r="J204" s="36"/>
    </row>
    <row r="205" spans="2:10" s="100" customFormat="1" ht="15" customHeight="1" x14ac:dyDescent="0.25">
      <c r="B205" s="68"/>
      <c r="C205" s="68"/>
      <c r="D205" s="252"/>
      <c r="F205" s="36"/>
      <c r="G205" s="36"/>
      <c r="H205" s="36"/>
      <c r="I205" s="36"/>
      <c r="J205" s="36"/>
    </row>
    <row r="206" spans="2:10" s="100" customFormat="1" ht="15" customHeight="1" x14ac:dyDescent="0.25">
      <c r="B206" s="68"/>
      <c r="C206" s="68"/>
      <c r="D206" s="252"/>
      <c r="F206" s="36"/>
      <c r="G206" s="36"/>
      <c r="H206" s="36"/>
      <c r="I206" s="36"/>
      <c r="J206" s="36"/>
    </row>
    <row r="207" spans="2:10" s="100" customFormat="1" ht="15" customHeight="1" x14ac:dyDescent="0.25">
      <c r="B207" s="68"/>
      <c r="C207" s="68"/>
      <c r="D207" s="252"/>
      <c r="F207" s="36"/>
      <c r="G207" s="36"/>
      <c r="H207" s="36"/>
      <c r="I207" s="36"/>
      <c r="J207" s="36"/>
    </row>
    <row r="208" spans="2:10" s="100" customFormat="1" ht="15" customHeight="1" x14ac:dyDescent="0.25">
      <c r="B208" s="68"/>
      <c r="C208" s="68"/>
      <c r="D208" s="252"/>
      <c r="F208" s="36"/>
      <c r="G208" s="36"/>
      <c r="H208" s="36"/>
      <c r="I208" s="36"/>
      <c r="J208" s="36"/>
    </row>
    <row r="209" spans="2:10" s="100" customFormat="1" ht="15" customHeight="1" x14ac:dyDescent="0.25">
      <c r="B209" s="68"/>
      <c r="C209" s="68"/>
      <c r="D209" s="252"/>
      <c r="F209" s="36"/>
      <c r="G209" s="36"/>
      <c r="H209" s="36"/>
      <c r="I209" s="36"/>
      <c r="J209" s="36"/>
    </row>
    <row r="210" spans="2:10" s="100" customFormat="1" ht="15" customHeight="1" x14ac:dyDescent="0.25">
      <c r="B210" s="68"/>
      <c r="C210" s="68"/>
      <c r="D210" s="252"/>
      <c r="F210" s="36"/>
      <c r="G210" s="36"/>
      <c r="H210" s="36"/>
      <c r="I210" s="36"/>
      <c r="J210" s="36"/>
    </row>
    <row r="211" spans="2:10" s="100" customFormat="1" ht="15" customHeight="1" x14ac:dyDescent="0.25">
      <c r="B211" s="68"/>
      <c r="C211" s="68"/>
      <c r="D211" s="252"/>
      <c r="F211" s="36"/>
      <c r="G211" s="36"/>
      <c r="H211" s="36"/>
      <c r="I211" s="36"/>
      <c r="J211" s="36"/>
    </row>
    <row r="212" spans="2:10" s="100" customFormat="1" ht="15" customHeight="1" x14ac:dyDescent="0.25">
      <c r="B212" s="68"/>
      <c r="C212" s="68"/>
      <c r="D212" s="252"/>
      <c r="F212" s="36"/>
      <c r="G212" s="36"/>
      <c r="H212" s="36"/>
      <c r="I212" s="36"/>
      <c r="J212" s="36"/>
    </row>
    <row r="213" spans="2:10" s="100" customFormat="1" ht="15" customHeight="1" x14ac:dyDescent="0.25">
      <c r="B213" s="68"/>
      <c r="C213" s="68"/>
      <c r="D213" s="252"/>
      <c r="F213" s="36"/>
      <c r="G213" s="36"/>
      <c r="H213" s="36"/>
      <c r="I213" s="36"/>
      <c r="J213" s="36"/>
    </row>
    <row r="214" spans="2:10" s="100" customFormat="1" ht="15" customHeight="1" x14ac:dyDescent="0.25">
      <c r="B214" s="68"/>
      <c r="C214" s="68"/>
      <c r="D214" s="252"/>
      <c r="F214" s="36"/>
      <c r="G214" s="36"/>
      <c r="H214" s="36"/>
      <c r="I214" s="36"/>
      <c r="J214" s="36"/>
    </row>
    <row r="215" spans="2:10" s="100" customFormat="1" ht="15" customHeight="1" x14ac:dyDescent="0.25">
      <c r="B215" s="68"/>
      <c r="C215" s="68"/>
      <c r="D215" s="252"/>
      <c r="F215" s="36"/>
      <c r="G215" s="36"/>
      <c r="H215" s="36"/>
      <c r="I215" s="36"/>
      <c r="J215" s="36"/>
    </row>
    <row r="216" spans="2:10" s="100" customFormat="1" ht="15" customHeight="1" x14ac:dyDescent="0.25">
      <c r="B216" s="68"/>
      <c r="C216" s="68"/>
      <c r="D216" s="252"/>
      <c r="F216" s="36"/>
      <c r="G216" s="36"/>
      <c r="H216" s="36"/>
      <c r="I216" s="36"/>
      <c r="J216" s="36"/>
    </row>
    <row r="217" spans="2:10" s="100" customFormat="1" ht="15" customHeight="1" x14ac:dyDescent="0.25">
      <c r="B217" s="68"/>
      <c r="C217" s="68"/>
      <c r="D217" s="252"/>
      <c r="F217" s="36"/>
      <c r="G217" s="36"/>
      <c r="H217" s="36"/>
      <c r="I217" s="36"/>
      <c r="J217" s="36"/>
    </row>
    <row r="218" spans="2:10" s="100" customFormat="1" ht="15" customHeight="1" x14ac:dyDescent="0.25">
      <c r="B218" s="68"/>
      <c r="C218" s="68"/>
      <c r="D218" s="252"/>
      <c r="F218" s="36"/>
      <c r="G218" s="36"/>
      <c r="H218" s="36"/>
      <c r="I218" s="36"/>
      <c r="J218" s="36"/>
    </row>
    <row r="219" spans="2:10" s="100" customFormat="1" ht="15" customHeight="1" x14ac:dyDescent="0.25">
      <c r="B219" s="68"/>
      <c r="C219" s="68"/>
      <c r="D219" s="252"/>
      <c r="F219" s="36"/>
      <c r="G219" s="36"/>
      <c r="H219" s="36"/>
      <c r="I219" s="36"/>
      <c r="J219" s="36"/>
    </row>
    <row r="220" spans="2:10" s="100" customFormat="1" ht="15" customHeight="1" x14ac:dyDescent="0.25">
      <c r="B220" s="68"/>
      <c r="C220" s="68"/>
      <c r="D220" s="252"/>
      <c r="F220" s="36"/>
      <c r="G220" s="36"/>
      <c r="H220" s="36"/>
      <c r="I220" s="36"/>
      <c r="J220" s="36"/>
    </row>
    <row r="221" spans="2:10" s="100" customFormat="1" ht="15" customHeight="1" x14ac:dyDescent="0.25">
      <c r="B221" s="68"/>
      <c r="C221" s="68"/>
      <c r="D221" s="252"/>
      <c r="F221" s="36"/>
      <c r="G221" s="36"/>
      <c r="H221" s="36"/>
      <c r="I221" s="36"/>
      <c r="J221" s="36"/>
    </row>
    <row r="222" spans="2:10" s="100" customFormat="1" ht="15" customHeight="1" x14ac:dyDescent="0.25">
      <c r="B222" s="68"/>
      <c r="C222" s="68"/>
      <c r="D222" s="252"/>
      <c r="F222" s="36"/>
      <c r="G222" s="36"/>
      <c r="H222" s="36"/>
      <c r="I222" s="36"/>
      <c r="J222" s="36"/>
    </row>
    <row r="223" spans="2:10" s="100" customFormat="1" ht="15" customHeight="1" x14ac:dyDescent="0.25">
      <c r="B223" s="68"/>
      <c r="C223" s="68"/>
      <c r="D223" s="252"/>
      <c r="F223" s="36"/>
      <c r="G223" s="36"/>
      <c r="H223" s="36"/>
      <c r="I223" s="36"/>
      <c r="J223" s="36"/>
    </row>
    <row r="224" spans="2:10" s="100" customFormat="1" ht="15" customHeight="1" x14ac:dyDescent="0.25">
      <c r="B224" s="68"/>
      <c r="C224" s="68"/>
      <c r="D224" s="252"/>
      <c r="F224" s="36"/>
      <c r="G224" s="36"/>
      <c r="H224" s="36"/>
      <c r="I224" s="36"/>
      <c r="J224" s="36"/>
    </row>
    <row r="225" spans="1:13" ht="15" customHeight="1" x14ac:dyDescent="0.25">
      <c r="A225" s="100"/>
      <c r="B225" s="68"/>
      <c r="C225" s="68"/>
      <c r="D225" s="252"/>
      <c r="M225" s="100"/>
    </row>
    <row r="226" spans="1:13" ht="15" customHeight="1" x14ac:dyDescent="0.25">
      <c r="A226" s="100"/>
      <c r="B226" s="68"/>
      <c r="C226" s="68"/>
      <c r="D226" s="252"/>
    </row>
  </sheetData>
  <sheetProtection selectLockedCells="1" sort="0" pivotTables="0" selectUnlockedCells="1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D1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21</vt:i4>
      </vt:variant>
    </vt:vector>
  </HeadingPairs>
  <TitlesOfParts>
    <vt:vector size="46" baseType="lpstr">
      <vt:lpstr>S1-Revenue Requirement</vt:lpstr>
      <vt:lpstr>S1-A Summary of Variances</vt:lpstr>
      <vt:lpstr>S2 - Power Supply</vt:lpstr>
      <vt:lpstr>S3 - Transmission &amp; Power Prod</vt:lpstr>
      <vt:lpstr>S4 - Dist Maint &amp; Ops</vt:lpstr>
      <vt:lpstr>S5 - Cust Accts</vt:lpstr>
      <vt:lpstr>S6 - Admin &amp; Gen</vt:lpstr>
      <vt:lpstr>S6A - Payroll by Function</vt:lpstr>
      <vt:lpstr>S6-B Payroll Distribution</vt:lpstr>
      <vt:lpstr>S6C Total Payroll &amp; Benefits</vt:lpstr>
      <vt:lpstr>S7 - Insurance</vt:lpstr>
      <vt:lpstr>S8 - Depreciation</vt:lpstr>
      <vt:lpstr>S8A - Amortization</vt:lpstr>
      <vt:lpstr>S9 - Interest Exp</vt:lpstr>
      <vt:lpstr>S9-A WCOD</vt:lpstr>
      <vt:lpstr>S10 - Int &amp; Div Income</vt:lpstr>
      <vt:lpstr>S11  - Other Revenues</vt:lpstr>
      <vt:lpstr>S12 - Ratio Calcs</vt:lpstr>
      <vt:lpstr>S13 ROE</vt:lpstr>
      <vt:lpstr>S14 - Property Tax Generation</vt:lpstr>
      <vt:lpstr>S15 - Gross Rec &amp; Rev Tax</vt:lpstr>
      <vt:lpstr>S16 - Net Metering</vt:lpstr>
      <vt:lpstr>S17 - Effect on Revenue</vt:lpstr>
      <vt:lpstr>Trial Balance</vt:lpstr>
      <vt:lpstr>S18 Return on Rate Base</vt:lpstr>
      <vt:lpstr>'S10 - Int &amp; Div Income'!Print_Area</vt:lpstr>
      <vt:lpstr>'S11  - Other Revenues'!Print_Area</vt:lpstr>
      <vt:lpstr>'S12 - Ratio Calcs'!Print_Area</vt:lpstr>
      <vt:lpstr>'S14 - Property Tax Generation'!Print_Area</vt:lpstr>
      <vt:lpstr>'S17 - Effect on Revenue'!Print_Area</vt:lpstr>
      <vt:lpstr>'S18 Return on Rate Base'!Print_Area</vt:lpstr>
      <vt:lpstr>'S1-A Summary of Variances'!Print_Area</vt:lpstr>
      <vt:lpstr>'S1-Revenue Requirement'!Print_Area</vt:lpstr>
      <vt:lpstr>'S2 - Power Supply'!Print_Area</vt:lpstr>
      <vt:lpstr>'S4 - Dist Maint &amp; Ops'!Print_Area</vt:lpstr>
      <vt:lpstr>'S5 - Cust Accts'!Print_Area</vt:lpstr>
      <vt:lpstr>'S6A - Payroll by Function'!Print_Area</vt:lpstr>
      <vt:lpstr>'S6C Total Payroll &amp; Benefits'!Print_Area</vt:lpstr>
      <vt:lpstr>'S7 - Insurance'!Print_Area</vt:lpstr>
      <vt:lpstr>'S8 - Depreciation'!Print_Area</vt:lpstr>
      <vt:lpstr>'S8A - Amortization'!Print_Area</vt:lpstr>
      <vt:lpstr>'S9 - Interest Exp'!Print_Area</vt:lpstr>
      <vt:lpstr>'Trial Balance'!Print_Area</vt:lpstr>
      <vt:lpstr>'S18 Return on Rate Base'!Print_Titles</vt:lpstr>
      <vt:lpstr>'S6-B Payroll Distribution'!Print_Titles</vt:lpstr>
      <vt:lpstr>'Trial Balance'!Print_Titles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Clerk TGRS</cp:lastModifiedBy>
  <cp:lastPrinted>2022-09-13T15:13:27Z</cp:lastPrinted>
  <dcterms:created xsi:type="dcterms:W3CDTF">1999-10-13T15:07:20Z</dcterms:created>
  <dcterms:modified xsi:type="dcterms:W3CDTF">2022-12-30T17:38:30Z</dcterms:modified>
</cp:coreProperties>
</file>