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aese\Documents\SEB\PUC\20-0203-INV State-Wide Low Income Rate\"/>
    </mc:Choice>
  </mc:AlternateContent>
  <xr:revisionPtr revIDLastSave="0" documentId="13_ncr:1_{7BC44219-3F2D-4ACF-8767-A96D5A88DFC8}" xr6:coauthVersionLast="47" xr6:coauthVersionMax="47" xr10:uidLastSave="{00000000-0000-0000-0000-000000000000}"/>
  <bookViews>
    <workbookView xWindow="-27465" yWindow="-405" windowWidth="25005" windowHeight="14280" activeTab="1" xr2:uid="{57BC8F5B-A2CD-46E3-A59B-69350E5EE4D7}"/>
  </bookViews>
  <sheets>
    <sheet name="Instructions" sheetId="8" r:id="rId1"/>
    <sheet name="VPPSA Data Model" sheetId="4" r:id="rId2"/>
    <sheet name="VPPSA Data Analysis" sheetId="12" r:id="rId3"/>
    <sheet name="Raw data" sheetId="3" r:id="rId4"/>
    <sheet name="VPPSA data" sheetId="5" r:id="rId5"/>
    <sheet name="PUC Data Model" sheetId="9" r:id="rId6"/>
    <sheet name="Outputs" sheetId="2" r:id="rId7"/>
    <sheet name="RANKINGS" sheetId="11" r:id="rId8"/>
  </sheets>
  <externalReferences>
    <externalReference r:id="rId9"/>
    <externalReference r:id="rId10"/>
  </externalReferences>
  <definedNames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P">#REF!</definedName>
    <definedName name="\S">#REF!</definedName>
    <definedName name="\W">#REF!</definedName>
    <definedName name="\Z">#REF!</definedName>
    <definedName name="_1000">[1]Determinants!#REF!</definedName>
    <definedName name="_1000S">[1]Determinants!#REF!</definedName>
    <definedName name="_1500">#REF!</definedName>
    <definedName name="_1500S">#REF!</definedName>
    <definedName name="_200">[1]Determinants!#REF!</definedName>
    <definedName name="_200S">[1]Determinants!#REF!</definedName>
    <definedName name="_30000">#REF!</definedName>
    <definedName name="_30000S">#REF!</definedName>
    <definedName name="_600">[1]Determinants!#REF!</definedName>
    <definedName name="_6000">#REF!</definedName>
    <definedName name="_60000">#REF!</definedName>
    <definedName name="_60000S">#REF!</definedName>
    <definedName name="_6000S">#REF!</definedName>
    <definedName name="_600S">[1]Determinants!#REF!</definedName>
    <definedName name="_Key1" hidden="1">[1]Determinants!#REF!</definedName>
    <definedName name="_Order1" hidden="1">0</definedName>
    <definedName name="BLOCK">#REF!</definedName>
    <definedName name="COMPARE">[1]Determinants!#REF!</definedName>
    <definedName name="CUSCHG">#REF!</definedName>
    <definedName name="FLATRATE">#REF!</definedName>
    <definedName name="NYPARATE">#REF!</definedName>
    <definedName name="PAGEC1">#REF!</definedName>
    <definedName name="PAGEC2">#REF!</definedName>
    <definedName name="PAGEC3">#REF!</definedName>
    <definedName name="PAGEC4">#REF!</definedName>
    <definedName name="PAGEC5">#REF!</definedName>
    <definedName name="PAGEC6">#REF!</definedName>
    <definedName name="PAGEI1">#REF!</definedName>
    <definedName name="PAGEI2">#REF!</definedName>
    <definedName name="PAGEI3">#REF!</definedName>
    <definedName name="PAGEI4">#REF!</definedName>
    <definedName name="PAGER1">[1]Determinants!#REF!</definedName>
    <definedName name="PAGER2">[1]Determinants!#REF!</definedName>
    <definedName name="PAGER4">[1]Determinants!#REF!</definedName>
    <definedName name="PAGER5">[1]Determinants!#REF!</definedName>
    <definedName name="PAGER6">[1]Determinants!#REF!</definedName>
    <definedName name="_xlnm.Print_Area" localSheetId="7">RANKINGS!$A$1:$K$22</definedName>
    <definedName name="SUMMONTHS">#REF!</definedName>
    <definedName name="SUMRATE">#REF!</definedName>
    <definedName name="SURCHG">#REF!</definedName>
    <definedName name="SYS">[1]Determinants!#REF!</definedName>
    <definedName name="SYSC">#REF!</definedName>
    <definedName name="SYSI">#REF!</definedName>
    <definedName name="TEMP">'[1]Determinants:DATA input'!$A$12:$J$174</definedName>
    <definedName name="WINRATE">#REF!</definedName>
    <definedName name="WKSHTC_I">'[1]DATA input'!#REF!</definedName>
    <definedName name="WKSHTC_I2">'[1]DATA input'!#REF!</definedName>
    <definedName name="WKSHTIND">'[1]DATA input'!#REF!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4" i="12" l="1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F60" i="12"/>
  <c r="G60" i="12" s="1"/>
  <c r="E60" i="12"/>
  <c r="G59" i="12"/>
  <c r="G58" i="12"/>
  <c r="G57" i="12"/>
  <c r="G56" i="12"/>
  <c r="G55" i="12"/>
  <c r="H18" i="12"/>
  <c r="G18" i="12"/>
  <c r="F18" i="12"/>
  <c r="D18" i="12"/>
  <c r="C18" i="12"/>
  <c r="H17" i="12"/>
  <c r="E17" i="12"/>
  <c r="H16" i="12"/>
  <c r="E16" i="12"/>
  <c r="H15" i="12"/>
  <c r="E15" i="12"/>
  <c r="H14" i="12"/>
  <c r="E14" i="12"/>
  <c r="H13" i="12"/>
  <c r="D13" i="12"/>
  <c r="H12" i="12"/>
  <c r="E12" i="12"/>
  <c r="H11" i="12"/>
  <c r="E11" i="12"/>
  <c r="H10" i="12"/>
  <c r="E10" i="12"/>
  <c r="H9" i="12"/>
  <c r="E9" i="12"/>
  <c r="H8" i="12"/>
  <c r="E8" i="12"/>
  <c r="E18" i="12" s="1"/>
  <c r="H7" i="12"/>
  <c r="D7" i="12"/>
  <c r="E14" i="4"/>
  <c r="E13" i="4"/>
  <c r="E12" i="4"/>
  <c r="E11" i="4"/>
  <c r="E10" i="4"/>
  <c r="E9" i="4"/>
  <c r="F17" i="4"/>
  <c r="D14" i="4" l="1"/>
  <c r="C14" i="4"/>
  <c r="D13" i="4"/>
  <c r="C13" i="4"/>
  <c r="D12" i="4"/>
  <c r="C12" i="4"/>
  <c r="D11" i="4"/>
  <c r="C11" i="4"/>
  <c r="D10" i="4"/>
  <c r="C10" i="4"/>
  <c r="D9" i="4"/>
  <c r="C9" i="4"/>
  <c r="I25" i="4"/>
  <c r="K22" i="11"/>
  <c r="I22" i="11"/>
  <c r="G22" i="11"/>
  <c r="I11" i="4" s="1"/>
  <c r="E22" i="11"/>
  <c r="C22" i="11"/>
  <c r="A22" i="11"/>
  <c r="K10" i="11"/>
  <c r="I10" i="11"/>
  <c r="G10" i="11"/>
  <c r="I9" i="4" s="1"/>
  <c r="N9" i="4" s="1"/>
  <c r="E10" i="11"/>
  <c r="C10" i="11"/>
  <c r="A10" i="11"/>
  <c r="K21" i="11"/>
  <c r="I21" i="11"/>
  <c r="G21" i="11"/>
  <c r="I10" i="4" s="1"/>
  <c r="E21" i="11"/>
  <c r="C21" i="11"/>
  <c r="A21" i="11"/>
  <c r="K7" i="11"/>
  <c r="I7" i="11"/>
  <c r="G7" i="11"/>
  <c r="I15" i="4" s="1"/>
  <c r="N15" i="4" s="1"/>
  <c r="E7" i="11"/>
  <c r="C7" i="11"/>
  <c r="A7" i="11"/>
  <c r="K19" i="11"/>
  <c r="I19" i="11"/>
  <c r="G19" i="11"/>
  <c r="I13" i="4" s="1"/>
  <c r="E19" i="11"/>
  <c r="C19" i="11"/>
  <c r="A19" i="11"/>
  <c r="K11" i="11"/>
  <c r="I11" i="11"/>
  <c r="G11" i="11"/>
  <c r="I17" i="4" s="1"/>
  <c r="N17" i="4" s="1"/>
  <c r="E11" i="11"/>
  <c r="C11" i="11"/>
  <c r="A11" i="11"/>
  <c r="K13" i="11"/>
  <c r="I13" i="11"/>
  <c r="G13" i="11"/>
  <c r="I19" i="4" s="1"/>
  <c r="E13" i="11"/>
  <c r="C13" i="11"/>
  <c r="A13" i="11"/>
  <c r="K9" i="11"/>
  <c r="I9" i="11"/>
  <c r="G9" i="11"/>
  <c r="I16" i="4" s="1"/>
  <c r="E9" i="11"/>
  <c r="C9" i="11"/>
  <c r="A9" i="11"/>
  <c r="K12" i="11"/>
  <c r="I12" i="11"/>
  <c r="G12" i="11"/>
  <c r="I18" i="4" s="1"/>
  <c r="E12" i="11"/>
  <c r="C12" i="11"/>
  <c r="A12" i="11"/>
  <c r="K8" i="11"/>
  <c r="I8" i="11"/>
  <c r="G8" i="11"/>
  <c r="I12" i="4" s="1"/>
  <c r="E8" i="11"/>
  <c r="C8" i="11"/>
  <c r="A8" i="11"/>
  <c r="K16" i="11"/>
  <c r="I16" i="11"/>
  <c r="G16" i="11"/>
  <c r="I22" i="4" s="1"/>
  <c r="E16" i="11"/>
  <c r="C16" i="11"/>
  <c r="A16" i="11"/>
  <c r="K15" i="11"/>
  <c r="I15" i="11"/>
  <c r="G15" i="11"/>
  <c r="I21" i="4" s="1"/>
  <c r="E15" i="11"/>
  <c r="C15" i="11"/>
  <c r="A15" i="11"/>
  <c r="K17" i="11"/>
  <c r="I17" i="11"/>
  <c r="G17" i="11"/>
  <c r="I23" i="4" s="1"/>
  <c r="E17" i="11"/>
  <c r="C17" i="11"/>
  <c r="A17" i="11"/>
  <c r="K20" i="11"/>
  <c r="I20" i="11"/>
  <c r="G20" i="11"/>
  <c r="E20" i="11"/>
  <c r="C20" i="11"/>
  <c r="A20" i="11"/>
  <c r="K18" i="11"/>
  <c r="I18" i="11"/>
  <c r="G18" i="11"/>
  <c r="I24" i="4" s="1"/>
  <c r="E18" i="11"/>
  <c r="C18" i="11"/>
  <c r="A18" i="11"/>
  <c r="K14" i="11"/>
  <c r="I14" i="11"/>
  <c r="G14" i="11"/>
  <c r="I20" i="4" s="1"/>
  <c r="E14" i="11"/>
  <c r="C14" i="11"/>
  <c r="A14" i="11"/>
  <c r="H16" i="4"/>
  <c r="H25" i="4"/>
  <c r="H24" i="4"/>
  <c r="H23" i="4"/>
  <c r="H22" i="4"/>
  <c r="H21" i="4"/>
  <c r="H20" i="4"/>
  <c r="H19" i="4"/>
  <c r="H18" i="4"/>
  <c r="H17" i="4"/>
  <c r="H15" i="4"/>
  <c r="D25" i="4"/>
  <c r="F25" i="4" s="1"/>
  <c r="D16" i="4"/>
  <c r="F16" i="4" s="1"/>
  <c r="D24" i="4"/>
  <c r="F24" i="4" s="1"/>
  <c r="D23" i="4"/>
  <c r="F23" i="4" s="1"/>
  <c r="D22" i="4"/>
  <c r="F22" i="4" s="1"/>
  <c r="D21" i="4"/>
  <c r="D20" i="4"/>
  <c r="F20" i="4" s="1"/>
  <c r="D19" i="4"/>
  <c r="F19" i="4" s="1"/>
  <c r="D18" i="4"/>
  <c r="F18" i="4" s="1"/>
  <c r="D15" i="4"/>
  <c r="F15" i="4" s="1"/>
  <c r="C25" i="4"/>
  <c r="G25" i="4" s="1"/>
  <c r="C24" i="4"/>
  <c r="G24" i="4" s="1"/>
  <c r="C23" i="4"/>
  <c r="G23" i="4" s="1"/>
  <c r="C22" i="4"/>
  <c r="G22" i="4" s="1"/>
  <c r="C21" i="4"/>
  <c r="G21" i="4" s="1"/>
  <c r="C20" i="4"/>
  <c r="G20" i="4" s="1"/>
  <c r="C19" i="4"/>
  <c r="G19" i="4" s="1"/>
  <c r="C18" i="4"/>
  <c r="G18" i="4" s="1"/>
  <c r="C17" i="4"/>
  <c r="G17" i="4" s="1"/>
  <c r="C16" i="4"/>
  <c r="G16" i="4" s="1"/>
  <c r="C15" i="4"/>
  <c r="K9" i="9"/>
  <c r="L9" i="9"/>
  <c r="H15" i="9"/>
  <c r="G9" i="9"/>
  <c r="W20" i="4" l="1"/>
  <c r="N20" i="4"/>
  <c r="W21" i="4"/>
  <c r="N21" i="4"/>
  <c r="W12" i="4"/>
  <c r="N12" i="4"/>
  <c r="W16" i="4"/>
  <c r="N16" i="4"/>
  <c r="W24" i="4"/>
  <c r="N24" i="4"/>
  <c r="W23" i="4"/>
  <c r="N23" i="4"/>
  <c r="W22" i="4"/>
  <c r="N22" i="4"/>
  <c r="W18" i="4"/>
  <c r="N18" i="4"/>
  <c r="N19" i="4"/>
  <c r="N13" i="4"/>
  <c r="N10" i="4"/>
  <c r="N11" i="4"/>
  <c r="W25" i="4"/>
  <c r="N25" i="4"/>
  <c r="W17" i="4"/>
  <c r="W15" i="4"/>
  <c r="W9" i="4"/>
  <c r="W19" i="4"/>
  <c r="W13" i="4"/>
  <c r="W10" i="4"/>
  <c r="W11" i="4"/>
  <c r="J9" i="4"/>
  <c r="S12" i="4"/>
  <c r="T12" i="4" s="1"/>
  <c r="U12" i="4" s="1"/>
  <c r="S15" i="4"/>
  <c r="S20" i="4"/>
  <c r="T20" i="4" s="1"/>
  <c r="U20" i="4" s="1"/>
  <c r="S24" i="4"/>
  <c r="T24" i="4" s="1"/>
  <c r="U24" i="4" s="1"/>
  <c r="S23" i="4"/>
  <c r="T23" i="4" s="1"/>
  <c r="U23" i="4" s="1"/>
  <c r="S22" i="4"/>
  <c r="T22" i="4" s="1"/>
  <c r="U22" i="4" s="1"/>
  <c r="S18" i="4"/>
  <c r="T18" i="4" s="1"/>
  <c r="U18" i="4" s="1"/>
  <c r="S19" i="4"/>
  <c r="T19" i="4" s="1"/>
  <c r="U19" i="4" s="1"/>
  <c r="S13" i="4"/>
  <c r="T13" i="4" s="1"/>
  <c r="U13" i="4" s="1"/>
  <c r="S10" i="4"/>
  <c r="S11" i="4"/>
  <c r="T11" i="4" s="1"/>
  <c r="U11" i="4" s="1"/>
  <c r="S9" i="4"/>
  <c r="S21" i="4"/>
  <c r="T21" i="4" s="1"/>
  <c r="U21" i="4" s="1"/>
  <c r="S17" i="4"/>
  <c r="T17" i="4" s="1"/>
  <c r="U17" i="4" s="1"/>
  <c r="S25" i="4"/>
  <c r="T25" i="4" s="1"/>
  <c r="U25" i="4" s="1"/>
  <c r="S16" i="4"/>
  <c r="T16" i="4" s="1"/>
  <c r="U16" i="4" s="1"/>
  <c r="C27" i="4"/>
  <c r="G15" i="4"/>
  <c r="D26" i="4"/>
  <c r="I26" i="4"/>
  <c r="I27" i="4"/>
  <c r="C26" i="4"/>
  <c r="D27" i="4"/>
  <c r="I28" i="4"/>
  <c r="H28" i="4"/>
  <c r="D28" i="4"/>
  <c r="C28" i="4"/>
  <c r="W28" i="4" l="1"/>
  <c r="N28" i="4"/>
  <c r="W27" i="4"/>
  <c r="N27" i="4"/>
  <c r="W26" i="4"/>
  <c r="N26" i="4"/>
  <c r="K9" i="4"/>
  <c r="M9" i="4" s="1"/>
  <c r="P9" i="4" s="1"/>
  <c r="V11" i="4"/>
  <c r="Y11" i="4" s="1"/>
  <c r="X18" i="4"/>
  <c r="V18" i="4"/>
  <c r="Y18" i="4" s="1"/>
  <c r="X21" i="4"/>
  <c r="X16" i="4"/>
  <c r="V16" i="4"/>
  <c r="Y16" i="4" s="1"/>
  <c r="X17" i="4"/>
  <c r="V19" i="4"/>
  <c r="Y19" i="4" s="1"/>
  <c r="V24" i="4"/>
  <c r="Y24" i="4" s="1"/>
  <c r="X24" i="4"/>
  <c r="V17" i="4"/>
  <c r="Y17" i="4" s="1"/>
  <c r="X11" i="4"/>
  <c r="X20" i="4"/>
  <c r="X19" i="4"/>
  <c r="V20" i="4"/>
  <c r="Y20" i="4" s="1"/>
  <c r="V22" i="4"/>
  <c r="Y22" i="4" s="1"/>
  <c r="T10" i="4"/>
  <c r="S27" i="4"/>
  <c r="T27" i="4" s="1"/>
  <c r="U27" i="4" s="1"/>
  <c r="X22" i="4"/>
  <c r="S28" i="4"/>
  <c r="T15" i="4"/>
  <c r="V25" i="4"/>
  <c r="Y25" i="4" s="1"/>
  <c r="V21" i="4"/>
  <c r="Y21" i="4" s="1"/>
  <c r="V13" i="4"/>
  <c r="Y13" i="4" s="1"/>
  <c r="V23" i="4"/>
  <c r="Y23" i="4" s="1"/>
  <c r="X12" i="4"/>
  <c r="X25" i="4"/>
  <c r="T9" i="4"/>
  <c r="S26" i="4"/>
  <c r="T26" i="4" s="1"/>
  <c r="U26" i="4" s="1"/>
  <c r="X13" i="4"/>
  <c r="X23" i="4"/>
  <c r="V12" i="4"/>
  <c r="Y12" i="4" s="1"/>
  <c r="X27" i="4" l="1"/>
  <c r="X26" i="4"/>
  <c r="V26" i="4"/>
  <c r="T28" i="4"/>
  <c r="V27" i="4"/>
  <c r="U10" i="4"/>
  <c r="X10" i="4"/>
  <c r="V10" i="4"/>
  <c r="Y10" i="4" s="1"/>
  <c r="U15" i="4"/>
  <c r="X15" i="4"/>
  <c r="V15" i="4"/>
  <c r="Y15" i="4" s="1"/>
  <c r="Y28" i="4" s="1"/>
  <c r="U9" i="4"/>
  <c r="X9" i="4"/>
  <c r="V9" i="4"/>
  <c r="Y9" i="4" s="1"/>
  <c r="Z28" i="4" l="1"/>
  <c r="V28" i="4"/>
  <c r="X28" i="4"/>
  <c r="Z9" i="4"/>
  <c r="Y26" i="4"/>
  <c r="Y27" i="4"/>
  <c r="U28" i="4"/>
  <c r="N101" i="5" l="1"/>
  <c r="R107" i="5"/>
  <c r="S107" i="5"/>
  <c r="T107" i="5"/>
  <c r="U107" i="5"/>
  <c r="V107" i="5"/>
  <c r="W107" i="5"/>
  <c r="W91" i="5"/>
  <c r="K96" i="5"/>
  <c r="D96" i="5"/>
  <c r="E25" i="9"/>
  <c r="D25" i="9"/>
  <c r="C25" i="9"/>
  <c r="E24" i="9"/>
  <c r="H24" i="9" s="1"/>
  <c r="D24" i="9"/>
  <c r="G24" i="9" s="1"/>
  <c r="C24" i="9"/>
  <c r="E23" i="9"/>
  <c r="D23" i="9"/>
  <c r="G23" i="9" s="1"/>
  <c r="C23" i="9"/>
  <c r="E22" i="9"/>
  <c r="D22" i="9"/>
  <c r="C22" i="9"/>
  <c r="E21" i="9"/>
  <c r="D21" i="9"/>
  <c r="C21" i="9"/>
  <c r="H20" i="9"/>
  <c r="G20" i="9"/>
  <c r="E20" i="9"/>
  <c r="D20" i="9"/>
  <c r="C20" i="9"/>
  <c r="E19" i="9"/>
  <c r="H19" i="9" s="1"/>
  <c r="D19" i="9"/>
  <c r="G19" i="9" s="1"/>
  <c r="C19" i="9"/>
  <c r="E18" i="9"/>
  <c r="D18" i="9"/>
  <c r="G18" i="9" s="1"/>
  <c r="C18" i="9"/>
  <c r="E17" i="9"/>
  <c r="D17" i="9"/>
  <c r="G17" i="9" s="1"/>
  <c r="C17" i="9"/>
  <c r="E16" i="9"/>
  <c r="D16" i="9"/>
  <c r="G16" i="9" s="1"/>
  <c r="C16" i="9"/>
  <c r="E15" i="9"/>
  <c r="D15" i="9"/>
  <c r="G15" i="9" s="1"/>
  <c r="I15" i="9" s="1"/>
  <c r="J15" i="9" s="1"/>
  <c r="C15" i="9"/>
  <c r="H14" i="9"/>
  <c r="G14" i="9"/>
  <c r="I14" i="9" s="1"/>
  <c r="J14" i="9" s="1"/>
  <c r="K14" i="9" s="1"/>
  <c r="E14" i="9"/>
  <c r="D14" i="9"/>
  <c r="C14" i="9"/>
  <c r="E13" i="9"/>
  <c r="H13" i="9" s="1"/>
  <c r="D13" i="9"/>
  <c r="G13" i="9" s="1"/>
  <c r="C13" i="9"/>
  <c r="E12" i="9"/>
  <c r="H12" i="9" s="1"/>
  <c r="D12" i="9"/>
  <c r="G12" i="9" s="1"/>
  <c r="I12" i="9" s="1"/>
  <c r="J12" i="9" s="1"/>
  <c r="K12" i="9" s="1"/>
  <c r="C12" i="9"/>
  <c r="I11" i="9"/>
  <c r="J11" i="9" s="1"/>
  <c r="K11" i="9" s="1"/>
  <c r="H11" i="9"/>
  <c r="G11" i="9"/>
  <c r="E11" i="9"/>
  <c r="D11" i="9"/>
  <c r="C11" i="9"/>
  <c r="H10" i="9"/>
  <c r="G10" i="9"/>
  <c r="E10" i="9"/>
  <c r="D10" i="9"/>
  <c r="C10" i="9"/>
  <c r="E9" i="9"/>
  <c r="D9" i="9"/>
  <c r="C9" i="9"/>
  <c r="L11" i="9" l="1"/>
  <c r="H23" i="9"/>
  <c r="H21" i="9"/>
  <c r="H22" i="9"/>
  <c r="H16" i="9"/>
  <c r="I16" i="9" s="1"/>
  <c r="J16" i="9" s="1"/>
  <c r="H17" i="9"/>
  <c r="H25" i="9"/>
  <c r="D27" i="9"/>
  <c r="E28" i="9"/>
  <c r="I19" i="9"/>
  <c r="J19" i="9" s="1"/>
  <c r="K19" i="9" s="1"/>
  <c r="D26" i="9"/>
  <c r="E26" i="9"/>
  <c r="E27" i="9"/>
  <c r="H27" i="9" s="1"/>
  <c r="K15" i="9"/>
  <c r="C28" i="9"/>
  <c r="H18" i="9"/>
  <c r="C27" i="9"/>
  <c r="I23" i="9"/>
  <c r="J23" i="9" s="1"/>
  <c r="K23" i="9" s="1"/>
  <c r="C26" i="9"/>
  <c r="I20" i="9"/>
  <c r="J20" i="9" s="1"/>
  <c r="K20" i="9" s="1"/>
  <c r="I17" i="9"/>
  <c r="J17" i="9" s="1"/>
  <c r="K17" i="9" s="1"/>
  <c r="I24" i="9"/>
  <c r="J24" i="9" s="1"/>
  <c r="K24" i="9" s="1"/>
  <c r="G25" i="9"/>
  <c r="I25" i="9" s="1"/>
  <c r="J25" i="9" s="1"/>
  <c r="K25" i="9" s="1"/>
  <c r="G22" i="9"/>
  <c r="I22" i="9" s="1"/>
  <c r="J22" i="9" s="1"/>
  <c r="K22" i="9" s="1"/>
  <c r="G21" i="9"/>
  <c r="I21" i="9" s="1"/>
  <c r="J21" i="9" s="1"/>
  <c r="K21" i="9" s="1"/>
  <c r="L12" i="9"/>
  <c r="I13" i="9"/>
  <c r="J13" i="9" s="1"/>
  <c r="K13" i="9" s="1"/>
  <c r="L14" i="9"/>
  <c r="I10" i="9"/>
  <c r="J10" i="9" s="1"/>
  <c r="K10" i="9" s="1"/>
  <c r="D28" i="9"/>
  <c r="H9" i="9"/>
  <c r="H26" i="9" l="1"/>
  <c r="L20" i="9"/>
  <c r="K16" i="9"/>
  <c r="L16" i="9"/>
  <c r="L17" i="9"/>
  <c r="L23" i="9"/>
  <c r="L19" i="9"/>
  <c r="L21" i="9"/>
  <c r="L24" i="9"/>
  <c r="H28" i="9"/>
  <c r="I18" i="9"/>
  <c r="J18" i="9" s="1"/>
  <c r="K18" i="9" s="1"/>
  <c r="L25" i="9"/>
  <c r="G28" i="9"/>
  <c r="G27" i="9"/>
  <c r="I27" i="9" s="1"/>
  <c r="J27" i="9" s="1"/>
  <c r="K27" i="9" s="1"/>
  <c r="L22" i="9"/>
  <c r="I9" i="9"/>
  <c r="J9" i="9" s="1"/>
  <c r="G26" i="9"/>
  <c r="I26" i="9" s="1"/>
  <c r="J26" i="9" s="1"/>
  <c r="L15" i="9"/>
  <c r="L13" i="9"/>
  <c r="L10" i="9"/>
  <c r="I28" i="9" l="1"/>
  <c r="J28" i="9" s="1"/>
  <c r="K28" i="9" s="1"/>
  <c r="L18" i="9"/>
  <c r="L27" i="9"/>
  <c r="K26" i="9"/>
  <c r="L26" i="9"/>
  <c r="L28" i="9" l="1"/>
  <c r="H26" i="3" l="1"/>
  <c r="H22" i="3"/>
  <c r="H18" i="3"/>
  <c r="H14" i="3"/>
  <c r="H10" i="3"/>
  <c r="H6" i="3"/>
  <c r="K101" i="5"/>
  <c r="K106" i="5"/>
  <c r="L106" i="5"/>
  <c r="M106" i="5"/>
  <c r="N106" i="5"/>
  <c r="O106" i="5"/>
  <c r="P106" i="5"/>
  <c r="R106" i="5"/>
  <c r="S106" i="5"/>
  <c r="T106" i="5"/>
  <c r="U106" i="5"/>
  <c r="V106" i="5"/>
  <c r="W106" i="5"/>
  <c r="K105" i="5"/>
  <c r="L105" i="5"/>
  <c r="M105" i="5"/>
  <c r="N105" i="5"/>
  <c r="O105" i="5"/>
  <c r="P105" i="5"/>
  <c r="R105" i="5"/>
  <c r="S105" i="5"/>
  <c r="T105" i="5"/>
  <c r="U105" i="5"/>
  <c r="V105" i="5"/>
  <c r="W105" i="5"/>
  <c r="K104" i="5"/>
  <c r="L104" i="5"/>
  <c r="M104" i="5"/>
  <c r="N104" i="5"/>
  <c r="O104" i="5"/>
  <c r="P104" i="5"/>
  <c r="R104" i="5"/>
  <c r="S104" i="5"/>
  <c r="T104" i="5"/>
  <c r="U104" i="5"/>
  <c r="V104" i="5"/>
  <c r="W104" i="5"/>
  <c r="K103" i="5"/>
  <c r="L103" i="5"/>
  <c r="M103" i="5"/>
  <c r="N103" i="5"/>
  <c r="O103" i="5"/>
  <c r="P103" i="5"/>
  <c r="R103" i="5"/>
  <c r="S103" i="5"/>
  <c r="T103" i="5"/>
  <c r="U103" i="5"/>
  <c r="V103" i="5"/>
  <c r="W103" i="5"/>
  <c r="K102" i="5"/>
  <c r="L102" i="5"/>
  <c r="M102" i="5"/>
  <c r="N102" i="5"/>
  <c r="O102" i="5"/>
  <c r="P102" i="5"/>
  <c r="R102" i="5"/>
  <c r="S102" i="5"/>
  <c r="T102" i="5"/>
  <c r="U102" i="5"/>
  <c r="V102" i="5"/>
  <c r="W102" i="5"/>
  <c r="L101" i="5"/>
  <c r="M101" i="5"/>
  <c r="O101" i="5"/>
  <c r="P101" i="5"/>
  <c r="R101" i="5"/>
  <c r="S101" i="5"/>
  <c r="T101" i="5"/>
  <c r="U101" i="5"/>
  <c r="V101" i="5"/>
  <c r="W101" i="5"/>
  <c r="K100" i="5"/>
  <c r="L100" i="5"/>
  <c r="M100" i="5"/>
  <c r="N100" i="5"/>
  <c r="O100" i="5"/>
  <c r="P100" i="5"/>
  <c r="R100" i="5"/>
  <c r="S100" i="5"/>
  <c r="T100" i="5"/>
  <c r="U100" i="5"/>
  <c r="V100" i="5"/>
  <c r="W100" i="5"/>
  <c r="K99" i="5"/>
  <c r="L99" i="5"/>
  <c r="M99" i="5"/>
  <c r="N99" i="5"/>
  <c r="O99" i="5"/>
  <c r="P99" i="5"/>
  <c r="R99" i="5"/>
  <c r="S99" i="5"/>
  <c r="T99" i="5"/>
  <c r="U99" i="5"/>
  <c r="V99" i="5"/>
  <c r="W99" i="5"/>
  <c r="K98" i="5"/>
  <c r="L98" i="5"/>
  <c r="M98" i="5"/>
  <c r="N98" i="5"/>
  <c r="O98" i="5"/>
  <c r="P98" i="5"/>
  <c r="R98" i="5"/>
  <c r="S98" i="5"/>
  <c r="T98" i="5"/>
  <c r="U98" i="5"/>
  <c r="V98" i="5"/>
  <c r="W98" i="5"/>
  <c r="K97" i="5"/>
  <c r="L97" i="5"/>
  <c r="M97" i="5"/>
  <c r="N97" i="5"/>
  <c r="O97" i="5"/>
  <c r="P97" i="5"/>
  <c r="R97" i="5"/>
  <c r="S97" i="5"/>
  <c r="T97" i="5"/>
  <c r="U97" i="5"/>
  <c r="V97" i="5"/>
  <c r="W97" i="5"/>
  <c r="L96" i="5"/>
  <c r="M96" i="5"/>
  <c r="N96" i="5"/>
  <c r="O96" i="5"/>
  <c r="P96" i="5"/>
  <c r="R96" i="5"/>
  <c r="S96" i="5"/>
  <c r="T96" i="5"/>
  <c r="U96" i="5"/>
  <c r="V96" i="5"/>
  <c r="W96" i="5"/>
  <c r="I96" i="5"/>
  <c r="E106" i="5"/>
  <c r="F106" i="5"/>
  <c r="G106" i="5"/>
  <c r="H106" i="5"/>
  <c r="I106" i="5"/>
  <c r="E105" i="5"/>
  <c r="F105" i="5"/>
  <c r="G105" i="5"/>
  <c r="H105" i="5"/>
  <c r="I105" i="5"/>
  <c r="E104" i="5"/>
  <c r="F104" i="5"/>
  <c r="G104" i="5"/>
  <c r="H104" i="5"/>
  <c r="I104" i="5"/>
  <c r="E103" i="5"/>
  <c r="F103" i="5"/>
  <c r="G103" i="5"/>
  <c r="H103" i="5"/>
  <c r="I103" i="5"/>
  <c r="E102" i="5"/>
  <c r="F102" i="5"/>
  <c r="G102" i="5"/>
  <c r="H102" i="5"/>
  <c r="I102" i="5"/>
  <c r="E101" i="5"/>
  <c r="F101" i="5"/>
  <c r="G101" i="5"/>
  <c r="H101" i="5"/>
  <c r="I101" i="5"/>
  <c r="E100" i="5"/>
  <c r="F100" i="5"/>
  <c r="G100" i="5"/>
  <c r="H100" i="5"/>
  <c r="I100" i="5"/>
  <c r="E99" i="5"/>
  <c r="F99" i="5"/>
  <c r="G99" i="5"/>
  <c r="H99" i="5"/>
  <c r="I99" i="5"/>
  <c r="E98" i="5"/>
  <c r="F98" i="5"/>
  <c r="G98" i="5"/>
  <c r="H98" i="5"/>
  <c r="I98" i="5"/>
  <c r="E97" i="5"/>
  <c r="F97" i="5"/>
  <c r="G97" i="5"/>
  <c r="H97" i="5"/>
  <c r="I97" i="5"/>
  <c r="E96" i="5"/>
  <c r="F96" i="5"/>
  <c r="G96" i="5"/>
  <c r="H96" i="5"/>
  <c r="D98" i="5"/>
  <c r="D97" i="5"/>
  <c r="D99" i="5"/>
  <c r="D100" i="5"/>
  <c r="D101" i="5"/>
  <c r="D102" i="5"/>
  <c r="D103" i="5"/>
  <c r="D104" i="5"/>
  <c r="D105" i="5"/>
  <c r="D106" i="5"/>
  <c r="V91" i="5"/>
  <c r="U91" i="5"/>
  <c r="T91" i="5"/>
  <c r="S91" i="5"/>
  <c r="R91" i="5"/>
  <c r="O91" i="5"/>
  <c r="N91" i="5"/>
  <c r="M91" i="5"/>
  <c r="L91" i="5"/>
  <c r="K91" i="5"/>
  <c r="H91" i="5"/>
  <c r="G91" i="5"/>
  <c r="F91" i="5"/>
  <c r="E91" i="5"/>
  <c r="D91" i="5"/>
  <c r="W90" i="5"/>
  <c r="P90" i="5"/>
  <c r="I90" i="5"/>
  <c r="W89" i="5"/>
  <c r="P89" i="5"/>
  <c r="I89" i="5"/>
  <c r="W88" i="5"/>
  <c r="P88" i="5"/>
  <c r="I88" i="5"/>
  <c r="W87" i="5"/>
  <c r="P87" i="5"/>
  <c r="I87" i="5"/>
  <c r="W86" i="5"/>
  <c r="P86" i="5"/>
  <c r="I86" i="5"/>
  <c r="W85" i="5"/>
  <c r="P85" i="5"/>
  <c r="I85" i="5"/>
  <c r="W84" i="5"/>
  <c r="P84" i="5"/>
  <c r="I84" i="5"/>
  <c r="W83" i="5"/>
  <c r="P83" i="5"/>
  <c r="I83" i="5"/>
  <c r="W82" i="5"/>
  <c r="P82" i="5"/>
  <c r="I82" i="5"/>
  <c r="W81" i="5"/>
  <c r="P81" i="5"/>
  <c r="I81" i="5"/>
  <c r="W80" i="5"/>
  <c r="P80" i="5"/>
  <c r="P91" i="5" s="1"/>
  <c r="I80" i="5"/>
  <c r="I91" i="5" s="1"/>
  <c r="V73" i="5"/>
  <c r="U73" i="5"/>
  <c r="T73" i="5"/>
  <c r="S73" i="5"/>
  <c r="R73" i="5"/>
  <c r="N73" i="5"/>
  <c r="M73" i="5"/>
  <c r="L73" i="5"/>
  <c r="K73" i="5"/>
  <c r="H73" i="5"/>
  <c r="G73" i="5"/>
  <c r="F73" i="5"/>
  <c r="E73" i="5"/>
  <c r="D73" i="5"/>
  <c r="W72" i="5"/>
  <c r="P72" i="5"/>
  <c r="I72" i="5"/>
  <c r="W71" i="5"/>
  <c r="P71" i="5"/>
  <c r="I71" i="5"/>
  <c r="W70" i="5"/>
  <c r="P70" i="5"/>
  <c r="I70" i="5"/>
  <c r="W69" i="5"/>
  <c r="P69" i="5"/>
  <c r="I69" i="5"/>
  <c r="W68" i="5"/>
  <c r="P68" i="5"/>
  <c r="I68" i="5"/>
  <c r="W67" i="5"/>
  <c r="O67" i="5"/>
  <c r="P67" i="5" s="1"/>
  <c r="I67" i="5"/>
  <c r="W66" i="5"/>
  <c r="P66" i="5"/>
  <c r="I66" i="5"/>
  <c r="W65" i="5"/>
  <c r="P65" i="5"/>
  <c r="I65" i="5"/>
  <c r="W64" i="5"/>
  <c r="P64" i="5"/>
  <c r="I64" i="5"/>
  <c r="W63" i="5"/>
  <c r="P63" i="5"/>
  <c r="I63" i="5"/>
  <c r="W62" i="5"/>
  <c r="W73" i="5" s="1"/>
  <c r="P62" i="5"/>
  <c r="P73" i="5" s="1"/>
  <c r="I62" i="5"/>
  <c r="I73" i="5" s="1"/>
  <c r="V55" i="5"/>
  <c r="U55" i="5"/>
  <c r="T55" i="5"/>
  <c r="R55" i="5"/>
  <c r="N55" i="5"/>
  <c r="M55" i="5"/>
  <c r="K55" i="5"/>
  <c r="H55" i="5"/>
  <c r="G55" i="5"/>
  <c r="F55" i="5"/>
  <c r="E55" i="5"/>
  <c r="D55" i="5"/>
  <c r="W54" i="5"/>
  <c r="P54" i="5"/>
  <c r="I54" i="5"/>
  <c r="W53" i="5"/>
  <c r="P53" i="5"/>
  <c r="I53" i="5"/>
  <c r="W52" i="5"/>
  <c r="P52" i="5"/>
  <c r="I52" i="5"/>
  <c r="W51" i="5"/>
  <c r="P51" i="5"/>
  <c r="I51" i="5"/>
  <c r="W50" i="5"/>
  <c r="P50" i="5"/>
  <c r="I50" i="5"/>
  <c r="W49" i="5"/>
  <c r="P49" i="5"/>
  <c r="I49" i="5"/>
  <c r="F49" i="5"/>
  <c r="W48" i="5"/>
  <c r="P48" i="5"/>
  <c r="I48" i="5"/>
  <c r="W47" i="5"/>
  <c r="P47" i="5"/>
  <c r="I47" i="5"/>
  <c r="V46" i="5"/>
  <c r="S46" i="5"/>
  <c r="W46" i="5" s="1"/>
  <c r="O46" i="5"/>
  <c r="O55" i="5" s="1"/>
  <c r="L46" i="5"/>
  <c r="L55" i="5" s="1"/>
  <c r="I46" i="5"/>
  <c r="W45" i="5"/>
  <c r="P45" i="5"/>
  <c r="I45" i="5"/>
  <c r="W44" i="5"/>
  <c r="P44" i="5"/>
  <c r="I44" i="5"/>
  <c r="I55" i="5" s="1"/>
  <c r="U37" i="5"/>
  <c r="T37" i="5"/>
  <c r="R37" i="5"/>
  <c r="N37" i="5"/>
  <c r="M37" i="5"/>
  <c r="K37" i="5"/>
  <c r="H37" i="5"/>
  <c r="G37" i="5"/>
  <c r="F37" i="5"/>
  <c r="E37" i="5"/>
  <c r="D37" i="5"/>
  <c r="W36" i="5"/>
  <c r="P36" i="5"/>
  <c r="I36" i="5"/>
  <c r="W35" i="5"/>
  <c r="P35" i="5"/>
  <c r="I35" i="5"/>
  <c r="W34" i="5"/>
  <c r="P34" i="5"/>
  <c r="I34" i="5"/>
  <c r="W33" i="5"/>
  <c r="P33" i="5"/>
  <c r="I33" i="5"/>
  <c r="W32" i="5"/>
  <c r="P32" i="5"/>
  <c r="I32" i="5"/>
  <c r="W31" i="5"/>
  <c r="O31" i="5"/>
  <c r="P31" i="5" s="1"/>
  <c r="I31" i="5"/>
  <c r="W30" i="5"/>
  <c r="P30" i="5"/>
  <c r="I30" i="5"/>
  <c r="W29" i="5"/>
  <c r="P29" i="5"/>
  <c r="I29" i="5"/>
  <c r="V28" i="5"/>
  <c r="V37" i="5" s="1"/>
  <c r="S28" i="5"/>
  <c r="W28" i="5" s="1"/>
  <c r="O28" i="5"/>
  <c r="O37" i="5" s="1"/>
  <c r="L28" i="5"/>
  <c r="L37" i="5" s="1"/>
  <c r="I28" i="5"/>
  <c r="W27" i="5"/>
  <c r="P27" i="5"/>
  <c r="I27" i="5"/>
  <c r="W26" i="5"/>
  <c r="W37" i="5" s="1"/>
  <c r="P26" i="5"/>
  <c r="I26" i="5"/>
  <c r="I37" i="5" s="1"/>
  <c r="V19" i="5"/>
  <c r="U19" i="5"/>
  <c r="T19" i="5"/>
  <c r="S19" i="5"/>
  <c r="R19" i="5"/>
  <c r="O19" i="5"/>
  <c r="N19" i="5"/>
  <c r="M19" i="5"/>
  <c r="L19" i="5"/>
  <c r="K19" i="5"/>
  <c r="H19" i="5"/>
  <c r="G19" i="5"/>
  <c r="F19" i="5"/>
  <c r="E19" i="5"/>
  <c r="D19" i="5"/>
  <c r="W18" i="5"/>
  <c r="P18" i="5"/>
  <c r="I18" i="5"/>
  <c r="W17" i="5"/>
  <c r="P17" i="5"/>
  <c r="I17" i="5"/>
  <c r="W16" i="5"/>
  <c r="P16" i="5"/>
  <c r="I16" i="5"/>
  <c r="W15" i="5"/>
  <c r="P15" i="5"/>
  <c r="I15" i="5"/>
  <c r="W14" i="5"/>
  <c r="P14" i="5"/>
  <c r="W13" i="5"/>
  <c r="P13" i="5"/>
  <c r="O13" i="5"/>
  <c r="I13" i="5"/>
  <c r="W12" i="5"/>
  <c r="P12" i="5"/>
  <c r="I12" i="5"/>
  <c r="W11" i="5"/>
  <c r="P11" i="5"/>
  <c r="I11" i="5"/>
  <c r="P10" i="5"/>
  <c r="I10" i="5"/>
  <c r="W9" i="5"/>
  <c r="P9" i="5"/>
  <c r="I9" i="5"/>
  <c r="W8" i="5"/>
  <c r="W19" i="5" s="1"/>
  <c r="P8" i="5"/>
  <c r="P19" i="5" s="1"/>
  <c r="I8" i="5"/>
  <c r="I19" i="5" s="1"/>
  <c r="J20" i="4" l="1"/>
  <c r="K20" i="4" s="1"/>
  <c r="O20" i="4" s="1"/>
  <c r="Z20" i="4" s="1"/>
  <c r="J19" i="4"/>
  <c r="K19" i="4" s="1"/>
  <c r="O19" i="4" s="1"/>
  <c r="Z19" i="4" s="1"/>
  <c r="J18" i="4"/>
  <c r="K18" i="4" s="1"/>
  <c r="J17" i="4"/>
  <c r="J25" i="4"/>
  <c r="J24" i="4"/>
  <c r="J23" i="4"/>
  <c r="J22" i="4"/>
  <c r="K22" i="4" s="1"/>
  <c r="O22" i="4" s="1"/>
  <c r="Z22" i="4" s="1"/>
  <c r="J16" i="4"/>
  <c r="K16" i="4" s="1"/>
  <c r="O16" i="4" s="1"/>
  <c r="Z16" i="4" s="1"/>
  <c r="J15" i="4"/>
  <c r="P37" i="5"/>
  <c r="P55" i="5"/>
  <c r="W55" i="5"/>
  <c r="S37" i="5"/>
  <c r="S55" i="5"/>
  <c r="O73" i="5"/>
  <c r="P28" i="5"/>
  <c r="P46" i="5"/>
  <c r="L18" i="4" l="1"/>
  <c r="O18" i="4"/>
  <c r="Z18" i="4" s="1"/>
  <c r="K23" i="4"/>
  <c r="O23" i="4" s="1"/>
  <c r="Z23" i="4" s="1"/>
  <c r="K17" i="4"/>
  <c r="O17" i="4" s="1"/>
  <c r="Z17" i="4" s="1"/>
  <c r="K24" i="4"/>
  <c r="M24" i="4" s="1"/>
  <c r="P24" i="4" s="1"/>
  <c r="Q24" i="4" s="1"/>
  <c r="K25" i="4"/>
  <c r="O25" i="4" s="1"/>
  <c r="Z25" i="4" s="1"/>
  <c r="M22" i="4"/>
  <c r="P22" i="4" s="1"/>
  <c r="Q22" i="4" s="1"/>
  <c r="L22" i="4"/>
  <c r="M18" i="4"/>
  <c r="P18" i="4" s="1"/>
  <c r="Q18" i="4" s="1"/>
  <c r="L20" i="4"/>
  <c r="M20" i="4"/>
  <c r="P20" i="4" s="1"/>
  <c r="Q20" i="4" s="1"/>
  <c r="L19" i="4"/>
  <c r="M19" i="4"/>
  <c r="P19" i="4" s="1"/>
  <c r="Q19" i="4" s="1"/>
  <c r="M16" i="4"/>
  <c r="P16" i="4" s="1"/>
  <c r="Q16" i="4" s="1"/>
  <c r="L16" i="4"/>
  <c r="K15" i="4"/>
  <c r="O15" i="4" s="1"/>
  <c r="Z15" i="4" l="1"/>
  <c r="M25" i="4"/>
  <c r="P25" i="4" s="1"/>
  <c r="Q25" i="4" s="1"/>
  <c r="L25" i="4"/>
  <c r="L17" i="4"/>
  <c r="L23" i="4"/>
  <c r="M17" i="4"/>
  <c r="P17" i="4" s="1"/>
  <c r="Q17" i="4" s="1"/>
  <c r="M23" i="4"/>
  <c r="P23" i="4" s="1"/>
  <c r="Q23" i="4" s="1"/>
  <c r="O24" i="4"/>
  <c r="Z24" i="4" s="1"/>
  <c r="L24" i="4"/>
  <c r="L15" i="4"/>
  <c r="M15" i="4"/>
  <c r="P15" i="4" s="1"/>
  <c r="C23" i="3"/>
  <c r="H15" i="3"/>
  <c r="H11" i="3"/>
  <c r="H12" i="3"/>
  <c r="H13" i="3"/>
  <c r="H16" i="3"/>
  <c r="H17" i="3"/>
  <c r="H9" i="3"/>
  <c r="H19" i="3"/>
  <c r="H20" i="3"/>
  <c r="H21" i="3"/>
  <c r="H23" i="3"/>
  <c r="H24" i="3"/>
  <c r="H25" i="3"/>
  <c r="G8" i="3"/>
  <c r="F8" i="3"/>
  <c r="E8" i="3"/>
  <c r="D8" i="3"/>
  <c r="C8" i="3"/>
  <c r="G7" i="3"/>
  <c r="F7" i="3"/>
  <c r="E7" i="3"/>
  <c r="D7" i="3"/>
  <c r="C7" i="3"/>
  <c r="H5" i="3"/>
  <c r="H4" i="3"/>
  <c r="H3" i="3"/>
  <c r="Q15" i="4" l="1"/>
  <c r="H8" i="3"/>
  <c r="G14" i="4"/>
  <c r="G11" i="4"/>
  <c r="G12" i="4"/>
  <c r="G13" i="4"/>
  <c r="H7" i="3"/>
  <c r="E26" i="4" l="1"/>
  <c r="G9" i="4"/>
  <c r="J13" i="4"/>
  <c r="K13" i="4" s="1"/>
  <c r="J12" i="4"/>
  <c r="K12" i="4" s="1"/>
  <c r="J11" i="4"/>
  <c r="K11" i="4" s="1"/>
  <c r="G10" i="4"/>
  <c r="O11" i="4" l="1"/>
  <c r="Z11" i="4" s="1"/>
  <c r="L11" i="4"/>
  <c r="M11" i="4"/>
  <c r="P11" i="4" s="1"/>
  <c r="Q11" i="4" s="1"/>
  <c r="L12" i="4"/>
  <c r="O12" i="4"/>
  <c r="Z12" i="4" s="1"/>
  <c r="M12" i="4"/>
  <c r="P12" i="4" s="1"/>
  <c r="Q12" i="4" s="1"/>
  <c r="L13" i="4"/>
  <c r="M13" i="4"/>
  <c r="P13" i="4" s="1"/>
  <c r="Q13" i="4" s="1"/>
  <c r="O13" i="4"/>
  <c r="Z13" i="4" s="1"/>
  <c r="J10" i="4"/>
  <c r="Q9" i="4" l="1"/>
  <c r="L9" i="4"/>
  <c r="O9" i="4"/>
  <c r="K10" i="4"/>
  <c r="M10" i="4" l="1"/>
  <c r="P10" i="4" s="1"/>
  <c r="Q10" i="4" s="1"/>
  <c r="O10" i="4"/>
  <c r="L10" i="4"/>
  <c r="E27" i="4"/>
  <c r="G26" i="4"/>
  <c r="E28" i="4"/>
  <c r="J21" i="4"/>
  <c r="F21" i="4"/>
  <c r="J26" i="4" l="1"/>
  <c r="K26" i="4" s="1"/>
  <c r="Z27" i="4"/>
  <c r="Z10" i="4"/>
  <c r="Z26" i="4"/>
  <c r="F27" i="4"/>
  <c r="F26" i="4"/>
  <c r="G27" i="4"/>
  <c r="G28" i="4"/>
  <c r="K21" i="4"/>
  <c r="J27" i="4"/>
  <c r="J28" i="4"/>
  <c r="O26" i="4" l="1"/>
  <c r="M26" i="4"/>
  <c r="L26" i="4"/>
  <c r="F28" i="4"/>
  <c r="K27" i="4"/>
  <c r="K28" i="4"/>
  <c r="L28" i="4" s="1"/>
  <c r="O21" i="4"/>
  <c r="M21" i="4"/>
  <c r="P21" i="4" s="1"/>
  <c r="L21" i="4"/>
  <c r="Z21" i="4" l="1"/>
  <c r="P28" i="4"/>
  <c r="P26" i="4"/>
  <c r="P27" i="4"/>
  <c r="Q21" i="4"/>
  <c r="O28" i="4"/>
  <c r="M28" i="4"/>
  <c r="O27" i="4"/>
  <c r="M27" i="4"/>
  <c r="L27" i="4"/>
  <c r="Q26" i="4" l="1"/>
  <c r="Q27" i="4"/>
  <c r="Q2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tc={5325EEB9-C41A-4F46-9247-5F44BF57352F}</author>
  </authors>
  <commentList>
    <comment ref="C5" authorId="0" shapeId="0" xr:uid="{5325EEB9-C41A-4F46-9247-5F44BF57352F}">
      <text>
        <t>[Threaded comment]
Your version of Excel allows you to read this threaded comment; however, any edits to it will get removed if the file is opened in a newer version of Excel. Learn more: https://go.microsoft.com/fwlink/?linkid=870924
Comment:
    Sensitivity factor is different for each of VPPSA's member utilities.  Column F adjusted accordingly for each member utility.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tc={404E7326-19DA-48DD-9139-FBED0C125194}</author>
  </authors>
  <commentList>
    <comment ref="C5" authorId="0" shapeId="0" xr:uid="{404E7326-19DA-48DD-9139-FBED0C125194}">
      <text>
        <t>[Threaded comment]
Your version of Excel allows you to read this threaded comment; however, any edits to it will get removed if the file is opened in a newer version of Excel. Learn more: https://go.microsoft.com/fwlink/?linkid=870924
Comment:
    Sensitivity factor is different for each of VPPSA's member utilities.  Column F adjusted accordingly for each member utility.</t>
      </text>
    </comment>
  </commentList>
</comments>
</file>

<file path=xl/sharedStrings.xml><?xml version="1.0" encoding="utf-8"?>
<sst xmlns="http://schemas.openxmlformats.org/spreadsheetml/2006/main" count="513" uniqueCount="136">
  <si>
    <t>Variables</t>
  </si>
  <si>
    <t>Raw Data</t>
  </si>
  <si>
    <t>Utility</t>
  </si>
  <si>
    <t>GMP</t>
  </si>
  <si>
    <t>VEC</t>
  </si>
  <si>
    <t>WEC</t>
  </si>
  <si>
    <t>BED</t>
  </si>
  <si>
    <t>Stowe</t>
  </si>
  <si>
    <t>Hyde Park</t>
  </si>
  <si>
    <t>Qualifying customers</t>
  </si>
  <si>
    <t>Field name</t>
  </si>
  <si>
    <t>Customer count</t>
  </si>
  <si>
    <t>Average</t>
  </si>
  <si>
    <t>Res. Customers (5 yr)</t>
  </si>
  <si>
    <t>Res customers</t>
  </si>
  <si>
    <t>Ave. Res. Bill</t>
  </si>
  <si>
    <t>Res. Revenue (5 yr)</t>
  </si>
  <si>
    <t>Res. Revenue</t>
  </si>
  <si>
    <t>Bill impact (participating)</t>
  </si>
  <si>
    <t>Total customers (5 yr)</t>
  </si>
  <si>
    <t>Statewide minus GMP</t>
  </si>
  <si>
    <t>annual revenue needed</t>
  </si>
  <si>
    <t>Customer Count</t>
  </si>
  <si>
    <t>Annual Retail Sales (kWh)</t>
  </si>
  <si>
    <t>Annual Retail Revenue ($)</t>
  </si>
  <si>
    <t>VPPSA
 MEMBER</t>
  </si>
  <si>
    <t xml:space="preserve">Residential </t>
  </si>
  <si>
    <t>Small Commercial</t>
  </si>
  <si>
    <t xml:space="preserve">Large Commercial </t>
  </si>
  <si>
    <t xml:space="preserve">Industrial </t>
  </si>
  <si>
    <t>SL/Other</t>
  </si>
  <si>
    <t xml:space="preserve">Total Customer Count </t>
  </si>
  <si>
    <t>Residential  (kWh)</t>
  </si>
  <si>
    <t>Small Commercial  (kWh)</t>
  </si>
  <si>
    <t xml:space="preserve">Large Commercial (kWh)  </t>
  </si>
  <si>
    <t>Industrial (kWh)</t>
  </si>
  <si>
    <t>SL/Other (kWh)</t>
  </si>
  <si>
    <t>Total Retail Sales (kWh)</t>
  </si>
  <si>
    <t>Residential  ($)</t>
  </si>
  <si>
    <t>Small Commercial  ($)</t>
  </si>
  <si>
    <t xml:space="preserve">Large Commercial ($)  </t>
  </si>
  <si>
    <t>Industrial ($)</t>
  </si>
  <si>
    <t>SL/Other ($)</t>
  </si>
  <si>
    <t>Total Annual Revenue ($)</t>
  </si>
  <si>
    <t>Barton</t>
  </si>
  <si>
    <t>Enosburg</t>
  </si>
  <si>
    <t>Hardwick</t>
  </si>
  <si>
    <t>Jacksonville</t>
  </si>
  <si>
    <t>Johnson</t>
  </si>
  <si>
    <t>Ludlow</t>
  </si>
  <si>
    <t>na</t>
  </si>
  <si>
    <t>Lyndonville</t>
  </si>
  <si>
    <t>Morrisville</t>
  </si>
  <si>
    <t>Northfield</t>
  </si>
  <si>
    <t>Orleans</t>
  </si>
  <si>
    <t>Swanton</t>
  </si>
  <si>
    <t>Total</t>
  </si>
  <si>
    <t xml:space="preserve">Annual Retail Revenue ($)* </t>
  </si>
  <si>
    <t>*2021 Revenue data pending final audit results</t>
  </si>
  <si>
    <t>Percentage at 185% FPL</t>
  </si>
  <si>
    <t>Statewide pooling</t>
  </si>
  <si>
    <t>High %</t>
  </si>
  <si>
    <t>Total Revenue</t>
  </si>
  <si>
    <t>$ bill impact</t>
  </si>
  <si>
    <t>% bill impact</t>
  </si>
  <si>
    <t>5 yr average</t>
  </si>
  <si>
    <t>Scenario: 25% discount, 30% participation rate, +/- 10% qualifying households</t>
  </si>
  <si>
    <t xml:space="preserve">This model was prepared by Commission staff in connection with case number 20-0203-INV, the Investigation into the establishment of reduced rates for low-income residential ratepayers of Vermont electric utilities </t>
  </si>
  <si>
    <t>Participation rate*</t>
  </si>
  <si>
    <t>Percentage bill covered+</t>
  </si>
  <si>
    <t>Qualifying customers sensitivity factor^</t>
  </si>
  <si>
    <t>Low $</t>
  </si>
  <si>
    <t>High $</t>
  </si>
  <si>
    <t>Low %</t>
  </si>
  <si>
    <t xml:space="preserve">There are several factors users may adjust to test the results for sensitivity to changes in relevant variables. </t>
  </si>
  <si>
    <r>
      <t xml:space="preserve">+Model tab, c4 cell: </t>
    </r>
    <r>
      <rPr>
        <b/>
        <sz val="11"/>
        <color theme="1"/>
        <rFont val="Calibri"/>
        <family val="2"/>
        <scheme val="minor"/>
      </rPr>
      <t>Percentage bill covered</t>
    </r>
    <r>
      <rPr>
        <sz val="11"/>
        <color theme="1"/>
        <rFont val="Calibri"/>
        <family val="2"/>
        <scheme val="minor"/>
      </rPr>
      <t xml:space="preserve"> refers to the percentage of a given low-income customer's bill that would be  offset in the program.  GMP's program currently covers 25% of participating customers' bill.  You can adjust this amount by entering a decimal in this cell. </t>
    </r>
  </si>
  <si>
    <r>
      <rPr>
        <b/>
        <sz val="11"/>
        <color theme="1"/>
        <rFont val="Calibri"/>
        <family val="2"/>
        <scheme val="minor"/>
      </rPr>
      <t>Data sources</t>
    </r>
    <r>
      <rPr>
        <sz val="11"/>
        <color theme="1"/>
        <rFont val="Calibri"/>
        <family val="2"/>
        <scheme val="minor"/>
      </rPr>
      <t>: data for this model were entered from utility filings submitted on June 10, 2022 in Case No. 20-0203-INV.  The "Percentage at 185% FPL" column was taken from a filing by GMP on that date which estimated the percentage of low-income customers in each utility service territory. We applied this percentage to the number of residential customers as provided by each utility.</t>
    </r>
  </si>
  <si>
    <r>
      <t xml:space="preserve">^Model tab, c5 cell: </t>
    </r>
    <r>
      <rPr>
        <b/>
        <sz val="11"/>
        <color theme="1"/>
        <rFont val="Calibri"/>
        <family val="2"/>
        <scheme val="minor"/>
      </rPr>
      <t>Qualifying customers sensitivity factor</t>
    </r>
    <r>
      <rPr>
        <sz val="11"/>
        <color theme="1"/>
        <rFont val="Calibri"/>
        <family val="2"/>
        <scheme val="minor"/>
      </rPr>
      <t xml:space="preserve"> is an adjustment factor which can be applied to the number of qualifying customers.  This factor adjusts the number upward or downward by a given decimal entered by the user. For example, if you think that there may be 10% more qualifying customers than the model assumes, enter +0.10 into this cell.  If you think there may be 10% fewer qualifying customers than we have estimated here, enter the number -0.10 into this cell. This cell was used to produce the ranges presented in the "Outputs" tab. We adjusted the number of qualifying customers 10% upward to arrive at the higher range, and 10% downward to arrive at the lower range. </t>
    </r>
  </si>
  <si>
    <r>
      <t xml:space="preserve">*Model tab, c3 cell: </t>
    </r>
    <r>
      <rPr>
        <b/>
        <sz val="11"/>
        <color theme="1"/>
        <rFont val="Calibri"/>
        <family val="2"/>
        <scheme val="minor"/>
      </rPr>
      <t>Participation rate</t>
    </r>
    <r>
      <rPr>
        <sz val="11"/>
        <color theme="1"/>
        <rFont val="Calibri"/>
        <family val="2"/>
        <scheme val="minor"/>
      </rPr>
      <t xml:space="preserve"> refers to the percentage of eligible customers who enroll in a program.  Currently, GMP's program receives about 30% enrollment. Industry-best for enrollment is around 45%. It generally takes several years for enrollment to reach this peak. You can adjust the participation rate by entering a decimal in this cell.</t>
    </r>
  </si>
  <si>
    <t>VPPSA Members</t>
  </si>
  <si>
    <t>2021 Residential Customers**</t>
  </si>
  <si>
    <t>2021 Total Customers*</t>
  </si>
  <si>
    <t>*** SOURCE: ACS 185 % FPL Data as reported and geospatially allocated based on member service territories</t>
  </si>
  <si>
    <t>Ave. Res. Monthly kWh Usage ****</t>
  </si>
  <si>
    <t>Vermont Public Power Supply Authority</t>
  </si>
  <si>
    <t>Effective January 2022</t>
  </si>
  <si>
    <t>kWh</t>
  </si>
  <si>
    <t>$ bill impact/month</t>
  </si>
  <si>
    <t>Annual Res Bill (non-participating)</t>
  </si>
  <si>
    <t>Difference between "Annual Revenue Needed" and Bill Reduction * # of Participants (at 30%)</t>
  </si>
  <si>
    <t>annual revenue needed (kWh Avg. Res Bill)</t>
  </si>
  <si>
    <t>UNKNOWN</t>
  </si>
  <si>
    <t>Residential Percentage at 185% FPL ***</t>
  </si>
  <si>
    <t>Percentage at 185% FPL Total Cust.</t>
  </si>
  <si>
    <t>* SOURCE: VPPSA DPS 2022 Annual Resource Survey (2021 Data)</t>
  </si>
  <si>
    <t>** SOURCE: VPPSA DPS 2022 Annual Resource Survey (2021 Data); Swanton Residential Customers does NOT include "Rural" classification.</t>
  </si>
  <si>
    <t>**** SOURCE: VPPSA DPS 2022 Annual Resource Survey (2021 Data); Delivered Residential kWh Sales/Residential Customers</t>
  </si>
  <si>
    <t>BED Pilot Program:
12.5% Bill Reduction (30% Participation)</t>
  </si>
  <si>
    <t>GMP Current Energy Assistance Program (EAP)
25% Bill Reduction (30% Participation)</t>
  </si>
  <si>
    <t>Typical 600 kWh Bill (compared to GMP)</t>
  </si>
  <si>
    <t>Typical 600 kWh Bill (Compared to BED)</t>
  </si>
  <si>
    <t>N/A</t>
  </si>
  <si>
    <t>-</t>
  </si>
  <si>
    <t>Typical 600 kWh Res Bill 
(600 kWh/2021 Rates)</t>
  </si>
  <si>
    <t>annual revenue needed (kWh Typical Res Bill)</t>
  </si>
  <si>
    <t>Vermont Utility Rankings------- Based on Typical Monthly Residential Bills</t>
  </si>
  <si>
    <t>Estimated of Number of Low-income Customers (185% of Federal Poverty Level) in 
VPPSA Member Utility's Service Territory</t>
  </si>
  <si>
    <t>VPPSA GIS Analysis
(Actual Cust. Counts, Service Territory Boundaries &amp; ZCTA Data)</t>
  </si>
  <si>
    <t>GMP Analysis 
(Census Population &amp; Zip Code Data)</t>
  </si>
  <si>
    <t>VPPSA
 Member Utility</t>
  </si>
  <si>
    <t>2021 Residential Customers</t>
  </si>
  <si>
    <r>
      <t>Estimated Number of Customers at or below 185% using Residential Customer Count within ZCTA</t>
    </r>
    <r>
      <rPr>
        <b/>
        <vertAlign val="superscript"/>
        <sz val="11"/>
        <color theme="1"/>
        <rFont val="Avenir Next LT Pro"/>
        <family val="2"/>
      </rPr>
      <t>1</t>
    </r>
  </si>
  <si>
    <t>% Of 2021 Residential Customers</t>
  </si>
  <si>
    <t>Census Data Population</t>
  </si>
  <si>
    <t>FPL
&lt;185%</t>
  </si>
  <si>
    <t>% of Population</t>
  </si>
  <si>
    <r>
      <rPr>
        <i/>
        <vertAlign val="superscript"/>
        <sz val="9"/>
        <color theme="1"/>
        <rFont val="Avenir Next LT Pro"/>
        <family val="2"/>
      </rPr>
      <t>1</t>
    </r>
    <r>
      <rPr>
        <i/>
        <sz val="9"/>
        <color theme="1"/>
        <rFont val="Avenir Next LT Pro"/>
        <family val="2"/>
      </rPr>
      <t xml:space="preserve"> Data Source: United States Census Bureau, American Community Survey, S1701 | Poverty Status in the Past 12 Months in Vermont</t>
    </r>
  </si>
  <si>
    <t>VPPSA Analysis: Qualifying Customers Percentage at 
185% FPL of Residential and Total Customers</t>
  </si>
  <si>
    <t>Distribution Utility</t>
  </si>
  <si>
    <t>Percentage at 185% FPL Residential ***</t>
  </si>
  <si>
    <r>
      <t xml:space="preserve">* </t>
    </r>
    <r>
      <rPr>
        <b/>
        <i/>
        <sz val="9"/>
        <color theme="1"/>
        <rFont val="Avenir Next LT Pro"/>
        <family val="2"/>
      </rPr>
      <t>Sources</t>
    </r>
    <r>
      <rPr>
        <i/>
        <sz val="9"/>
        <color theme="1"/>
        <rFont val="Avenir Next LT Pro"/>
        <family val="2"/>
      </rPr>
      <t xml:space="preserve"> - </t>
    </r>
    <r>
      <rPr>
        <b/>
        <i/>
        <sz val="9"/>
        <color theme="1"/>
        <rFont val="Avenir Next LT Pro"/>
        <family val="2"/>
      </rPr>
      <t>VPPSA Members:</t>
    </r>
    <r>
      <rPr>
        <i/>
        <sz val="9"/>
        <color theme="1"/>
        <rFont val="Avenir Next LT Pro"/>
        <family val="2"/>
      </rPr>
      <t xml:space="preserve"> DPS 2022 Annual Resource Survey (2021 Data); </t>
    </r>
    <r>
      <rPr>
        <b/>
        <i/>
        <sz val="9"/>
        <color theme="1"/>
        <rFont val="Avenir Next LT Pro"/>
        <family val="2"/>
      </rPr>
      <t>Non-VPPSA Members:</t>
    </r>
    <r>
      <rPr>
        <i/>
        <sz val="9"/>
        <color theme="1"/>
        <rFont val="Avenir Next LT Pro"/>
        <family val="2"/>
      </rPr>
      <t xml:space="preserve"> PUC Model "Raw Data"</t>
    </r>
  </si>
  <si>
    <r>
      <t xml:space="preserve">** </t>
    </r>
    <r>
      <rPr>
        <b/>
        <i/>
        <sz val="9"/>
        <color theme="1"/>
        <rFont val="Avenir Next LT Pro"/>
        <family val="2"/>
      </rPr>
      <t>Sources -  VPPSA Members:</t>
    </r>
    <r>
      <rPr>
        <i/>
        <sz val="9"/>
        <color theme="1"/>
        <rFont val="Avenir Next LT Pro"/>
        <family val="2"/>
      </rPr>
      <t xml:space="preserve"> DPS 2022 Annual Resource Survey (2021 Data); Swanton Residential Customers does NOT include "Rural" classification; </t>
    </r>
    <r>
      <rPr>
        <b/>
        <i/>
        <sz val="9"/>
        <color theme="1"/>
        <rFont val="Avenir Next LT Pro"/>
        <family val="2"/>
      </rPr>
      <t xml:space="preserve"> Non-VPPSA Members:</t>
    </r>
    <r>
      <rPr>
        <i/>
        <sz val="9"/>
        <color theme="1"/>
        <rFont val="Avenir Next LT Pro"/>
        <family val="2"/>
      </rPr>
      <t xml:space="preserve"> PUC Model "Raw Data"</t>
    </r>
  </si>
  <si>
    <r>
      <t xml:space="preserve">*** </t>
    </r>
    <r>
      <rPr>
        <b/>
        <sz val="9"/>
        <color theme="1"/>
        <rFont val="Avenir Next LT Pro"/>
        <family val="2"/>
      </rPr>
      <t>Sources - VPPSA Members:</t>
    </r>
    <r>
      <rPr>
        <sz val="9"/>
        <color theme="1"/>
        <rFont val="Avenir Next LT Pro"/>
        <family val="2"/>
      </rPr>
      <t xml:space="preserve"> ACS 185 % FPL Data as reported and geospatially allocated based on member service territories; </t>
    </r>
    <r>
      <rPr>
        <b/>
        <sz val="9"/>
        <color theme="1"/>
        <rFont val="Avenir Next LT Pro"/>
        <family val="2"/>
      </rPr>
      <t>Non-VPPSA Members:</t>
    </r>
    <r>
      <rPr>
        <sz val="9"/>
        <color theme="1"/>
        <rFont val="Avenir Next LT Pro"/>
        <family val="2"/>
      </rPr>
      <t xml:space="preserve"> PUC Model Assumptions</t>
    </r>
  </si>
  <si>
    <t>VPPSA Analysis: Annual Revenue Needed
Average vs. Typical Residential Bill</t>
  </si>
  <si>
    <t>PUC Model: Revenue Impact</t>
  </si>
  <si>
    <t>VPPSA Model: Revenue Impact</t>
  </si>
  <si>
    <t>Comparison</t>
  </si>
  <si>
    <r>
      <t xml:space="preserve">Avg. Res. Bill </t>
    </r>
    <r>
      <rPr>
        <sz val="11"/>
        <color rgb="FF000000"/>
        <rFont val="Avenir Next LT Pro"/>
        <family val="2"/>
      </rPr>
      <t>(Residential Revenue/Total Res. Cust.)</t>
    </r>
  </si>
  <si>
    <r>
      <t xml:space="preserve">Annual Revenue Needed </t>
    </r>
    <r>
      <rPr>
        <sz val="11"/>
        <color rgb="FF000000"/>
        <rFont val="Avenir Next LT Pro"/>
        <family val="2"/>
      </rPr>
      <t>(Assuming 30% Participation; 25% Bill Discount)</t>
    </r>
  </si>
  <si>
    <r>
      <rPr>
        <b/>
        <sz val="11"/>
        <color rgb="FF000000"/>
        <rFont val="Avenir Next LT Pro"/>
        <family val="2"/>
      </rPr>
      <t>Typical 600 kWh Res. Bill</t>
    </r>
    <r>
      <rPr>
        <b/>
        <u/>
        <sz val="11"/>
        <color rgb="FF000000"/>
        <rFont val="Avenir Next LT Pro"/>
        <family val="2"/>
      </rPr>
      <t xml:space="preserve"> </t>
    </r>
    <r>
      <rPr>
        <sz val="11"/>
        <color rgb="FF000000"/>
        <rFont val="Avenir Next LT Pro"/>
        <family val="2"/>
      </rPr>
      <t>(Rates Effective 1/1/2022)</t>
    </r>
  </si>
  <si>
    <t>Model Forecasts
+ (-)</t>
  </si>
  <si>
    <t>VPPSA Analysis: Affordability Comparison</t>
  </si>
  <si>
    <t>Mnthly Bill Reduction (U) * # of Participation Rate (C3) of Qualifying Cust. (G) * 12 mos.</t>
  </si>
  <si>
    <t>Mnthly Bill Reduction (U) * # of Participation Rate (C3)  of Qualifying Cust. (G) * 12 mos.</t>
  </si>
  <si>
    <t>Typical 600 kWh Bill Impact 
(Using 25% Bill Reduction; 30% Participation)</t>
  </si>
  <si>
    <t>Typical 600 kWh Bill Impact
(Using 12.5% Bill Reduction; 30% Participation)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</si>
</sst>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%"/>
    <numFmt numFmtId="167" formatCode="0.00000%"/>
    <numFmt numFmtId="168" formatCode="&quot;$&quot;#,##0.0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Avenir Next LT Pro Demi"/>
      <family val="2"/>
    </font>
    <font>
      <b/>
      <sz val="11"/>
      <color theme="1"/>
      <name val="Avenir Next LT Pro Demi"/>
      <family val="2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SWISS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b/>
      <sz val="11"/>
      <color theme="1"/>
      <name val="Avenir Next LT Pro"/>
      <family val="2"/>
    </font>
    <font>
      <sz val="11"/>
      <color theme="1"/>
      <name val="Avenir Next LT Pro"/>
      <family val="2"/>
    </font>
    <font>
      <sz val="11"/>
      <color theme="0"/>
      <name val="Avenir Next LT Pro"/>
      <family val="2"/>
    </font>
    <font>
      <sz val="11"/>
      <color rgb="FFFF0000"/>
      <name val="Avenir Next LT Pro"/>
      <family val="2"/>
    </font>
    <font>
      <b/>
      <sz val="11"/>
      <name val="Avenir Next LT Pro"/>
      <family val="2"/>
    </font>
    <font>
      <i/>
      <sz val="11"/>
      <color theme="1"/>
      <name val="Avenir Next LT Pro"/>
      <family val="2"/>
    </font>
    <font>
      <b/>
      <sz val="11"/>
      <color theme="0"/>
      <name val="Avenir Next LT Pro"/>
      <family val="2"/>
    </font>
    <font>
      <b/>
      <sz val="16"/>
      <color theme="0"/>
      <name val="Avenir Next LT Pro"/>
      <family val="2"/>
    </font>
    <font>
      <b/>
      <vertAlign val="superscript"/>
      <sz val="11"/>
      <color theme="1"/>
      <name val="Avenir Next LT Pro"/>
      <family val="2"/>
    </font>
    <font>
      <sz val="11"/>
      <name val="Avenir Next LT Pro"/>
      <family val="2"/>
    </font>
    <font>
      <i/>
      <sz val="9"/>
      <color theme="1"/>
      <name val="Avenir Next LT Pro"/>
      <family val="2"/>
    </font>
    <font>
      <i/>
      <vertAlign val="superscript"/>
      <sz val="9"/>
      <color theme="1"/>
      <name val="Avenir Next LT Pro"/>
      <family val="2"/>
    </font>
    <font>
      <b/>
      <sz val="11"/>
      <color rgb="FF000000"/>
      <name val="Avenir Next LT Pro"/>
      <family val="2"/>
    </font>
    <font>
      <b/>
      <i/>
      <sz val="9"/>
      <color theme="1"/>
      <name val="Avenir Next LT Pro"/>
      <family val="2"/>
    </font>
    <font>
      <sz val="9"/>
      <color theme="1"/>
      <name val="Avenir Next LT Pro"/>
      <family val="2"/>
    </font>
    <font>
      <b/>
      <sz val="9"/>
      <color theme="1"/>
      <name val="Avenir Next LT Pro"/>
      <family val="2"/>
    </font>
    <font>
      <sz val="11"/>
      <color rgb="FF000000"/>
      <name val="Avenir Next LT Pro"/>
      <family val="2"/>
    </font>
    <font>
      <b/>
      <u/>
      <sz val="11"/>
      <color rgb="FF000000"/>
      <name val="Avenir Next LT Pro"/>
      <family val="2"/>
    </font>
    <font>
      <b/>
      <sz val="14"/>
      <color theme="0"/>
      <name val="Avenir Next LT Pro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5C9"/>
        <bgColor indexed="64"/>
      </patternFill>
    </fill>
    <fill>
      <patternFill patternType="solid">
        <fgColor rgb="FFFCBC00"/>
        <bgColor rgb="FF000000"/>
      </patternFill>
    </fill>
    <fill>
      <patternFill patternType="solid">
        <fgColor rgb="FFFCBC00"/>
        <bgColor indexed="64"/>
      </patternFill>
    </fill>
    <fill>
      <patternFill patternType="solid">
        <fgColor rgb="FF008D8E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rgb="FFFFC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/>
      <top/>
      <bottom style="thin">
        <color indexed="64"/>
      </bottom>
      <diagonal/>
    </border>
    <border>
      <left/>
      <right style="medium">
        <color rgb="FFFFC000"/>
      </right>
      <top/>
      <bottom style="thin">
        <color indexed="64"/>
      </bottom>
      <diagonal/>
    </border>
    <border>
      <left style="medium">
        <color rgb="FFFFC000"/>
      </left>
      <right/>
      <top/>
      <bottom/>
      <diagonal/>
    </border>
    <border>
      <left/>
      <right style="medium">
        <color rgb="FFFFC000"/>
      </right>
      <top/>
      <bottom/>
      <diagonal/>
    </border>
    <border>
      <left style="medium">
        <color rgb="FFFFC000"/>
      </left>
      <right/>
      <top style="thin">
        <color indexed="64"/>
      </top>
      <bottom/>
      <diagonal/>
    </border>
    <border>
      <left/>
      <right style="medium">
        <color rgb="FFFFC000"/>
      </right>
      <top style="thin">
        <color indexed="64"/>
      </top>
      <bottom/>
      <diagonal/>
    </border>
    <border>
      <left style="medium">
        <color rgb="FFFFC000"/>
      </left>
      <right/>
      <top/>
      <bottom style="medium">
        <color rgb="FFFFC000"/>
      </bottom>
      <diagonal/>
    </border>
    <border>
      <left/>
      <right/>
      <top/>
      <bottom style="medium">
        <color rgb="FFFFC000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rgb="FF0075C9"/>
      </left>
      <right/>
      <top style="medium">
        <color rgb="FF0075C9"/>
      </top>
      <bottom style="thin">
        <color indexed="64"/>
      </bottom>
      <diagonal/>
    </border>
    <border>
      <left/>
      <right/>
      <top style="medium">
        <color rgb="FF0075C9"/>
      </top>
      <bottom style="thin">
        <color indexed="64"/>
      </bottom>
      <diagonal/>
    </border>
    <border>
      <left/>
      <right style="medium">
        <color rgb="FF0075C9"/>
      </right>
      <top style="medium">
        <color rgb="FF0075C9"/>
      </top>
      <bottom style="thin">
        <color indexed="64"/>
      </bottom>
      <diagonal/>
    </border>
    <border>
      <left style="medium">
        <color rgb="FF0075C9"/>
      </left>
      <right/>
      <top/>
      <bottom style="thin">
        <color indexed="64"/>
      </bottom>
      <diagonal/>
    </border>
    <border>
      <left/>
      <right style="medium">
        <color rgb="FF0075C9"/>
      </right>
      <top/>
      <bottom style="thin">
        <color indexed="64"/>
      </bottom>
      <diagonal/>
    </border>
    <border>
      <left style="medium">
        <color rgb="FF0075C9"/>
      </left>
      <right/>
      <top/>
      <bottom/>
      <diagonal/>
    </border>
    <border>
      <left/>
      <right style="medium">
        <color rgb="FF0075C9"/>
      </right>
      <top/>
      <bottom/>
      <diagonal/>
    </border>
    <border>
      <left style="medium">
        <color rgb="FF0075C9"/>
      </left>
      <right style="thin">
        <color indexed="64"/>
      </right>
      <top/>
      <bottom/>
      <diagonal/>
    </border>
    <border>
      <left style="medium">
        <color rgb="FF0075C9"/>
      </left>
      <right/>
      <top style="thin">
        <color indexed="64"/>
      </top>
      <bottom/>
      <diagonal/>
    </border>
    <border>
      <left style="medium">
        <color rgb="FF0075C9"/>
      </left>
      <right/>
      <top/>
      <bottom style="medium">
        <color rgb="FF0075C9"/>
      </bottom>
      <diagonal/>
    </border>
    <border>
      <left/>
      <right/>
      <top/>
      <bottom style="medium">
        <color rgb="FF0075C9"/>
      </bottom>
      <diagonal/>
    </border>
    <border>
      <left/>
      <right style="medium">
        <color rgb="FF0075C9"/>
      </right>
      <top/>
      <bottom style="medium">
        <color rgb="FF0075C9"/>
      </bottom>
      <diagonal/>
    </border>
    <border>
      <left style="medium">
        <color rgb="FF008D8E"/>
      </left>
      <right/>
      <top style="medium">
        <color rgb="FF008D8E"/>
      </top>
      <bottom/>
      <diagonal/>
    </border>
    <border>
      <left/>
      <right/>
      <top style="medium">
        <color rgb="FF008D8E"/>
      </top>
      <bottom/>
      <diagonal/>
    </border>
    <border>
      <left/>
      <right style="medium">
        <color rgb="FF008D8E"/>
      </right>
      <top style="medium">
        <color rgb="FF008D8E"/>
      </top>
      <bottom/>
      <diagonal/>
    </border>
    <border>
      <left style="medium">
        <color rgb="FF008D8E"/>
      </left>
      <right/>
      <top/>
      <bottom style="thin">
        <color indexed="64"/>
      </bottom>
      <diagonal/>
    </border>
    <border>
      <left/>
      <right style="medium">
        <color rgb="FF008D8E"/>
      </right>
      <top/>
      <bottom style="thin">
        <color indexed="64"/>
      </bottom>
      <diagonal/>
    </border>
    <border>
      <left style="medium">
        <color rgb="FF008D8E"/>
      </left>
      <right/>
      <top/>
      <bottom/>
      <diagonal/>
    </border>
    <border>
      <left/>
      <right style="medium">
        <color rgb="FF008D8E"/>
      </right>
      <top/>
      <bottom/>
      <diagonal/>
    </border>
    <border>
      <left style="medium">
        <color rgb="FF008D8E"/>
      </left>
      <right/>
      <top style="thin">
        <color indexed="64"/>
      </top>
      <bottom/>
      <diagonal/>
    </border>
    <border>
      <left/>
      <right style="medium">
        <color rgb="FF008D8E"/>
      </right>
      <top style="thin">
        <color indexed="64"/>
      </top>
      <bottom/>
      <diagonal/>
    </border>
    <border>
      <left style="medium">
        <color rgb="FF008D8E"/>
      </left>
      <right/>
      <top/>
      <bottom style="medium">
        <color rgb="FF008D8E"/>
      </bottom>
      <diagonal/>
    </border>
    <border>
      <left/>
      <right/>
      <top/>
      <bottom style="medium">
        <color rgb="FF008D8E"/>
      </bottom>
      <diagonal/>
    </border>
    <border>
      <left/>
      <right style="medium">
        <color rgb="FF008D8E"/>
      </right>
      <top/>
      <bottom style="medium">
        <color rgb="FF008D8E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3" fontId="12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390">
    <xf numFmtId="0" fontId="0" fillId="0" borderId="0" xfId="0"/>
    <xf numFmtId="0" fontId="2" fillId="0" borderId="0" xfId="0" applyFont="1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2" applyNumberFormat="1" applyFont="1"/>
    <xf numFmtId="44" fontId="0" fillId="0" borderId="0" xfId="3" applyFont="1"/>
    <xf numFmtId="165" fontId="0" fillId="0" borderId="0" xfId="3" applyNumberFormat="1" applyFont="1"/>
    <xf numFmtId="164" fontId="0" fillId="0" borderId="0" xfId="0" applyNumberFormat="1"/>
    <xf numFmtId="164" fontId="2" fillId="0" borderId="0" xfId="2" applyNumberFormat="1" applyFont="1"/>
    <xf numFmtId="44" fontId="0" fillId="0" borderId="0" xfId="0" applyNumberFormat="1"/>
    <xf numFmtId="10" fontId="0" fillId="0" borderId="0" xfId="1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/>
    <xf numFmtId="0" fontId="5" fillId="0" borderId="11" xfId="0" applyFont="1" applyBorder="1"/>
    <xf numFmtId="164" fontId="4" fillId="0" borderId="12" xfId="2" applyNumberFormat="1" applyFont="1" applyFill="1" applyBorder="1"/>
    <xf numFmtId="164" fontId="4" fillId="0" borderId="0" xfId="2" applyNumberFormat="1" applyFont="1" applyFill="1" applyBorder="1"/>
    <xf numFmtId="164" fontId="4" fillId="0" borderId="11" xfId="2" applyNumberFormat="1" applyFont="1" applyBorder="1"/>
    <xf numFmtId="164" fontId="4" fillId="0" borderId="12" xfId="2" applyNumberFormat="1" applyFont="1" applyBorder="1"/>
    <xf numFmtId="164" fontId="4" fillId="0" borderId="0" xfId="2" applyNumberFormat="1" applyFont="1" applyBorder="1"/>
    <xf numFmtId="164" fontId="4" fillId="0" borderId="11" xfId="2" applyNumberFormat="1" applyFont="1" applyFill="1" applyBorder="1"/>
    <xf numFmtId="165" fontId="4" fillId="0" borderId="12" xfId="3" applyNumberFormat="1" applyFont="1" applyFill="1" applyBorder="1"/>
    <xf numFmtId="165" fontId="4" fillId="0" borderId="0" xfId="3" applyNumberFormat="1" applyFont="1" applyFill="1" applyBorder="1"/>
    <xf numFmtId="165" fontId="4" fillId="0" borderId="11" xfId="3" applyNumberFormat="1" applyFont="1" applyFill="1" applyBorder="1"/>
    <xf numFmtId="164" fontId="4" fillId="0" borderId="0" xfId="2" applyNumberFormat="1" applyFont="1" applyFill="1" applyBorder="1" applyAlignment="1">
      <alignment horizontal="right"/>
    </xf>
    <xf numFmtId="164" fontId="4" fillId="0" borderId="0" xfId="2" applyNumberFormat="1" applyFont="1" applyFill="1" applyBorder="1" applyAlignment="1">
      <alignment horizontal="right" vertical="center"/>
    </xf>
    <xf numFmtId="165" fontId="4" fillId="0" borderId="0" xfId="3" applyNumberFormat="1" applyFont="1" applyFill="1" applyBorder="1" applyAlignment="1">
      <alignment horizontal="right"/>
    </xf>
    <xf numFmtId="0" fontId="5" fillId="0" borderId="13" xfId="0" applyFont="1" applyBorder="1"/>
    <xf numFmtId="164" fontId="4" fillId="0" borderId="14" xfId="2" applyNumberFormat="1" applyFont="1" applyBorder="1"/>
    <xf numFmtId="164" fontId="4" fillId="0" borderId="15" xfId="2" applyNumberFormat="1" applyFont="1" applyBorder="1"/>
    <xf numFmtId="164" fontId="4" fillId="0" borderId="15" xfId="2" applyNumberFormat="1" applyFont="1" applyFill="1" applyBorder="1"/>
    <xf numFmtId="164" fontId="4" fillId="0" borderId="13" xfId="2" applyNumberFormat="1" applyFont="1" applyBorder="1"/>
    <xf numFmtId="164" fontId="4" fillId="0" borderId="13" xfId="2" applyNumberFormat="1" applyFont="1" applyFill="1" applyBorder="1"/>
    <xf numFmtId="165" fontId="4" fillId="0" borderId="14" xfId="3" applyNumberFormat="1" applyFont="1" applyFill="1" applyBorder="1"/>
    <xf numFmtId="165" fontId="4" fillId="0" borderId="15" xfId="3" applyNumberFormat="1" applyFont="1" applyFill="1" applyBorder="1"/>
    <xf numFmtId="165" fontId="4" fillId="0" borderId="13" xfId="3" applyNumberFormat="1" applyFont="1" applyFill="1" applyBorder="1"/>
    <xf numFmtId="164" fontId="5" fillId="0" borderId="14" xfId="2" applyNumberFormat="1" applyFont="1" applyBorder="1"/>
    <xf numFmtId="164" fontId="5" fillId="0" borderId="15" xfId="2" applyNumberFormat="1" applyFont="1" applyBorder="1"/>
    <xf numFmtId="164" fontId="5" fillId="0" borderId="13" xfId="2" applyNumberFormat="1" applyFont="1" applyBorder="1"/>
    <xf numFmtId="0" fontId="5" fillId="0" borderId="0" xfId="0" applyFont="1"/>
    <xf numFmtId="164" fontId="5" fillId="0" borderId="15" xfId="2" applyNumberFormat="1" applyFont="1" applyFill="1" applyBorder="1"/>
    <xf numFmtId="164" fontId="5" fillId="0" borderId="13" xfId="2" applyNumberFormat="1" applyFont="1" applyFill="1" applyBorder="1"/>
    <xf numFmtId="165" fontId="5" fillId="0" borderId="14" xfId="3" applyNumberFormat="1" applyFont="1" applyFill="1" applyBorder="1"/>
    <xf numFmtId="165" fontId="5" fillId="0" borderId="15" xfId="3" applyNumberFormat="1" applyFont="1" applyFill="1" applyBorder="1"/>
    <xf numFmtId="165" fontId="5" fillId="0" borderId="13" xfId="3" applyNumberFormat="1" applyFont="1" applyFill="1" applyBorder="1"/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/>
    <xf numFmtId="164" fontId="4" fillId="0" borderId="19" xfId="2" applyNumberFormat="1" applyFont="1" applyFill="1" applyBorder="1"/>
    <xf numFmtId="164" fontId="4" fillId="0" borderId="20" xfId="2" applyNumberFormat="1" applyFont="1" applyFill="1" applyBorder="1"/>
    <xf numFmtId="164" fontId="4" fillId="0" borderId="6" xfId="2" applyNumberFormat="1" applyFont="1" applyFill="1" applyBorder="1"/>
    <xf numFmtId="165" fontId="4" fillId="0" borderId="0" xfId="3" applyNumberFormat="1" applyFont="1" applyBorder="1"/>
    <xf numFmtId="165" fontId="4" fillId="0" borderId="11" xfId="3" applyNumberFormat="1" applyFont="1" applyBorder="1"/>
    <xf numFmtId="0" fontId="5" fillId="0" borderId="21" xfId="0" applyFont="1" applyBorder="1"/>
    <xf numFmtId="164" fontId="4" fillId="0" borderId="14" xfId="2" applyNumberFormat="1" applyFont="1" applyFill="1" applyBorder="1"/>
    <xf numFmtId="0" fontId="5" fillId="0" borderId="16" xfId="0" applyFont="1" applyBorder="1"/>
    <xf numFmtId="165" fontId="5" fillId="0" borderId="8" xfId="3" applyNumberFormat="1" applyFont="1" applyBorder="1"/>
    <xf numFmtId="165" fontId="5" fillId="0" borderId="9" xfId="3" applyNumberFormat="1" applyFont="1" applyBorder="1"/>
    <xf numFmtId="165" fontId="5" fillId="0" borderId="10" xfId="3" applyNumberFormat="1" applyFont="1" applyBorder="1"/>
    <xf numFmtId="165" fontId="4" fillId="0" borderId="19" xfId="3" applyNumberFormat="1" applyFont="1" applyFill="1" applyBorder="1"/>
    <xf numFmtId="165" fontId="4" fillId="0" borderId="20" xfId="3" applyNumberFormat="1" applyFont="1" applyFill="1" applyBorder="1"/>
    <xf numFmtId="165" fontId="4" fillId="0" borderId="20" xfId="3" applyNumberFormat="1" applyFont="1" applyBorder="1"/>
    <xf numFmtId="165" fontId="4" fillId="0" borderId="6" xfId="3" applyNumberFormat="1" applyFont="1" applyBorder="1"/>
    <xf numFmtId="0" fontId="5" fillId="0" borderId="12" xfId="0" applyFont="1" applyBorder="1"/>
    <xf numFmtId="0" fontId="5" fillId="0" borderId="7" xfId="0" applyFont="1" applyBorder="1"/>
    <xf numFmtId="164" fontId="5" fillId="0" borderId="8" xfId="2" applyNumberFormat="1" applyFont="1" applyBorder="1"/>
    <xf numFmtId="164" fontId="5" fillId="0" borderId="9" xfId="2" applyNumberFormat="1" applyFont="1" applyBorder="1"/>
    <xf numFmtId="164" fontId="5" fillId="0" borderId="10" xfId="2" applyNumberFormat="1" applyFont="1" applyBorder="1"/>
    <xf numFmtId="164" fontId="4" fillId="0" borderId="0" xfId="2" applyNumberFormat="1" applyFont="1" applyFill="1"/>
    <xf numFmtId="164" fontId="4" fillId="0" borderId="0" xfId="2" applyNumberFormat="1" applyFont="1" applyFill="1" applyAlignment="1">
      <alignment horizontal="right"/>
    </xf>
    <xf numFmtId="165" fontId="4" fillId="0" borderId="0" xfId="3" applyNumberFormat="1" applyFont="1" applyFill="1"/>
    <xf numFmtId="0" fontId="5" fillId="0" borderId="10" xfId="0" applyFont="1" applyBorder="1"/>
    <xf numFmtId="0" fontId="4" fillId="0" borderId="0" xfId="0" quotePrefix="1" applyFont="1"/>
    <xf numFmtId="164" fontId="4" fillId="0" borderId="0" xfId="0" applyNumberFormat="1" applyFont="1"/>
    <xf numFmtId="0" fontId="0" fillId="0" borderId="0" xfId="0" applyFont="1"/>
    <xf numFmtId="0" fontId="0" fillId="0" borderId="11" xfId="0" applyFont="1" applyBorder="1"/>
    <xf numFmtId="0" fontId="0" fillId="0" borderId="13" xfId="0" applyFont="1" applyBorder="1"/>
    <xf numFmtId="166" fontId="0" fillId="0" borderId="0" xfId="1" applyNumberFormat="1" applyFont="1"/>
    <xf numFmtId="0" fontId="6" fillId="0" borderId="0" xfId="0" applyFont="1"/>
    <xf numFmtId="0" fontId="0" fillId="0" borderId="15" xfId="0" applyFont="1" applyBorder="1"/>
    <xf numFmtId="164" fontId="0" fillId="0" borderId="15" xfId="2" applyNumberFormat="1" applyFont="1" applyBorder="1"/>
    <xf numFmtId="0" fontId="2" fillId="0" borderId="15" xfId="0" applyFont="1" applyBorder="1"/>
    <xf numFmtId="164" fontId="2" fillId="0" borderId="15" xfId="2" applyNumberFormat="1" applyFont="1" applyBorder="1"/>
    <xf numFmtId="165" fontId="2" fillId="0" borderId="15" xfId="3" applyNumberFormat="1" applyFont="1" applyBorder="1"/>
    <xf numFmtId="0" fontId="3" fillId="0" borderId="15" xfId="0" applyFont="1" applyBorder="1" applyAlignment="1">
      <alignment horizontal="center"/>
    </xf>
    <xf numFmtId="0" fontId="3" fillId="0" borderId="15" xfId="0" applyFont="1" applyBorder="1"/>
    <xf numFmtId="0" fontId="0" fillId="0" borderId="0" xfId="0" applyAlignment="1">
      <alignment wrapText="1"/>
    </xf>
    <xf numFmtId="167" fontId="0" fillId="0" borderId="0" xfId="0" applyNumberFormat="1"/>
    <xf numFmtId="10" fontId="0" fillId="0" borderId="0" xfId="1" applyNumberFormat="1" applyFont="1"/>
    <xf numFmtId="7" fontId="0" fillId="0" borderId="0" xfId="3" applyNumberFormat="1" applyFont="1"/>
    <xf numFmtId="168" fontId="0" fillId="0" borderId="0" xfId="3" applyNumberFormat="1" applyFont="1" applyAlignment="1">
      <alignment horizontal="center"/>
    </xf>
    <xf numFmtId="168" fontId="0" fillId="0" borderId="15" xfId="3" applyNumberFormat="1" applyFont="1" applyBorder="1" applyAlignment="1">
      <alignment horizontal="center"/>
    </xf>
    <xf numFmtId="168" fontId="0" fillId="0" borderId="0" xfId="0" applyNumberFormat="1"/>
    <xf numFmtId="10" fontId="0" fillId="0" borderId="0" xfId="0" applyNumberFormat="1"/>
    <xf numFmtId="9" fontId="0" fillId="0" borderId="0" xfId="0" applyNumberFormat="1"/>
    <xf numFmtId="0" fontId="2" fillId="0" borderId="15" xfId="0" applyFont="1" applyFill="1" applyBorder="1"/>
    <xf numFmtId="3" fontId="0" fillId="0" borderId="0" xfId="0" applyNumberFormat="1" applyFill="1"/>
    <xf numFmtId="164" fontId="0" fillId="0" borderId="0" xfId="2" applyNumberFormat="1" applyFont="1" applyFill="1"/>
    <xf numFmtId="0" fontId="0" fillId="0" borderId="0" xfId="0" quotePrefix="1" applyAlignment="1">
      <alignment wrapText="1"/>
    </xf>
    <xf numFmtId="0" fontId="0" fillId="0" borderId="15" xfId="0" applyBorder="1"/>
    <xf numFmtId="0" fontId="0" fillId="0" borderId="6" xfId="0" applyBorder="1"/>
    <xf numFmtId="0" fontId="0" fillId="0" borderId="11" xfId="0" applyBorder="1"/>
    <xf numFmtId="0" fontId="2" fillId="0" borderId="11" xfId="0" applyFont="1" applyBorder="1"/>
    <xf numFmtId="10" fontId="0" fillId="0" borderId="15" xfId="1" applyNumberFormat="1" applyFont="1" applyBorder="1"/>
    <xf numFmtId="166" fontId="0" fillId="2" borderId="0" xfId="1" applyNumberFormat="1" applyFont="1" applyFill="1"/>
    <xf numFmtId="166" fontId="2" fillId="0" borderId="15" xfId="1" applyNumberFormat="1" applyFont="1" applyBorder="1"/>
    <xf numFmtId="3" fontId="0" fillId="2" borderId="0" xfId="0" applyNumberFormat="1" applyFill="1"/>
    <xf numFmtId="165" fontId="0" fillId="2" borderId="0" xfId="3" applyNumberFormat="1" applyFont="1" applyFill="1"/>
    <xf numFmtId="168" fontId="0" fillId="2" borderId="0" xfId="3" applyNumberFormat="1" applyFont="1" applyFill="1" applyAlignment="1">
      <alignment horizontal="center"/>
    </xf>
    <xf numFmtId="10" fontId="0" fillId="2" borderId="0" xfId="1" applyNumberFormat="1" applyFont="1" applyFill="1" applyAlignment="1">
      <alignment horizontal="center"/>
    </xf>
    <xf numFmtId="44" fontId="0" fillId="2" borderId="0" xfId="0" applyNumberFormat="1" applyFill="1"/>
    <xf numFmtId="9" fontId="7" fillId="2" borderId="0" xfId="1" applyFont="1" applyFill="1" applyAlignment="1">
      <alignment horizontal="center"/>
    </xf>
    <xf numFmtId="0" fontId="2" fillId="2" borderId="0" xfId="0" applyFont="1" applyFill="1" applyBorder="1"/>
    <xf numFmtId="164" fontId="0" fillId="2" borderId="0" xfId="2" applyNumberFormat="1" applyFont="1" applyFill="1"/>
    <xf numFmtId="164" fontId="0" fillId="0" borderId="0" xfId="2" applyNumberFormat="1" applyFont="1" applyBorder="1"/>
    <xf numFmtId="164" fontId="4" fillId="0" borderId="8" xfId="0" applyNumberFormat="1" applyFont="1" applyBorder="1"/>
    <xf numFmtId="164" fontId="4" fillId="0" borderId="9" xfId="0" applyNumberFormat="1" applyFont="1" applyBorder="1"/>
    <xf numFmtId="164" fontId="4" fillId="0" borderId="10" xfId="0" applyNumberFormat="1" applyFont="1" applyBorder="1"/>
    <xf numFmtId="0" fontId="0" fillId="0" borderId="0" xfId="0" applyBorder="1"/>
    <xf numFmtId="9" fontId="0" fillId="0" borderId="0" xfId="1" applyFont="1"/>
    <xf numFmtId="44" fontId="0" fillId="0" borderId="0" xfId="0" applyNumberFormat="1" applyFill="1"/>
    <xf numFmtId="165" fontId="0" fillId="0" borderId="0" xfId="0" applyNumberFormat="1"/>
    <xf numFmtId="165" fontId="0" fillId="0" borderId="0" xfId="3" applyNumberFormat="1" applyFont="1" applyFill="1"/>
    <xf numFmtId="165" fontId="0" fillId="0" borderId="0" xfId="3" applyNumberFormat="1" applyFont="1" applyFill="1" applyBorder="1"/>
    <xf numFmtId="0" fontId="8" fillId="0" borderId="0" xfId="4"/>
    <xf numFmtId="0" fontId="9" fillId="0" borderId="0" xfId="4" applyFont="1" applyAlignment="1">
      <alignment horizontal="left"/>
    </xf>
    <xf numFmtId="0" fontId="10" fillId="0" borderId="0" xfId="4" applyFont="1"/>
    <xf numFmtId="0" fontId="8" fillId="0" borderId="0" xfId="4" applyAlignment="1">
      <alignment horizontal="center"/>
    </xf>
    <xf numFmtId="0" fontId="11" fillId="0" borderId="0" xfId="4" applyFont="1" applyAlignment="1">
      <alignment horizontal="center"/>
    </xf>
    <xf numFmtId="164" fontId="13" fillId="0" borderId="0" xfId="5" applyNumberFormat="1" applyFont="1" applyBorder="1" applyAlignment="1" applyProtection="1">
      <alignment horizontal="center"/>
    </xf>
    <xf numFmtId="0" fontId="14" fillId="0" borderId="0" xfId="4" applyFont="1"/>
    <xf numFmtId="0" fontId="8" fillId="0" borderId="15" xfId="4" applyBorder="1" applyAlignment="1">
      <alignment horizontal="center"/>
    </xf>
    <xf numFmtId="0" fontId="11" fillId="0" borderId="15" xfId="4" applyFont="1" applyBorder="1" applyAlignment="1">
      <alignment horizontal="center"/>
    </xf>
    <xf numFmtId="0" fontId="11" fillId="0" borderId="0" xfId="4" applyFont="1"/>
    <xf numFmtId="7" fontId="0" fillId="0" borderId="0" xfId="6" applyNumberFormat="1" applyFont="1"/>
    <xf numFmtId="7" fontId="11" fillId="0" borderId="0" xfId="4" applyNumberFormat="1" applyFont="1"/>
    <xf numFmtId="168" fontId="0" fillId="0" borderId="0" xfId="3" applyNumberFormat="1" applyFont="1" applyFill="1" applyAlignment="1">
      <alignment horizontal="center"/>
    </xf>
    <xf numFmtId="10" fontId="0" fillId="0" borderId="0" xfId="1" applyNumberFormat="1" applyFont="1" applyFill="1" applyAlignment="1">
      <alignment horizontal="center"/>
    </xf>
    <xf numFmtId="168" fontId="0" fillId="0" borderId="0" xfId="3" applyNumberFormat="1" applyFont="1" applyFill="1" applyBorder="1" applyAlignment="1">
      <alignment horizontal="center"/>
    </xf>
    <xf numFmtId="10" fontId="0" fillId="0" borderId="0" xfId="1" applyNumberFormat="1" applyFont="1" applyFill="1" applyBorder="1" applyAlignment="1">
      <alignment horizontal="center"/>
    </xf>
    <xf numFmtId="44" fontId="0" fillId="0" borderId="0" xfId="0" applyNumberFormat="1" applyFill="1" applyBorder="1"/>
    <xf numFmtId="0" fontId="15" fillId="0" borderId="0" xfId="0" applyFont="1"/>
    <xf numFmtId="0" fontId="16" fillId="0" borderId="0" xfId="0" applyFont="1"/>
    <xf numFmtId="0" fontId="16" fillId="0" borderId="0" xfId="0" quotePrefix="1" applyFont="1"/>
    <xf numFmtId="167" fontId="16" fillId="0" borderId="0" xfId="0" applyNumberFormat="1" applyFont="1"/>
    <xf numFmtId="166" fontId="16" fillId="0" borderId="0" xfId="1" applyNumberFormat="1" applyFont="1"/>
    <xf numFmtId="0" fontId="16" fillId="0" borderId="0" xfId="0" applyFont="1" applyAlignment="1">
      <alignment horizontal="center"/>
    </xf>
    <xf numFmtId="165" fontId="16" fillId="0" borderId="0" xfId="3" applyNumberFormat="1" applyFont="1"/>
    <xf numFmtId="0" fontId="16" fillId="0" borderId="0" xfId="0" applyFont="1" applyFill="1" applyBorder="1"/>
    <xf numFmtId="9" fontId="16" fillId="0" borderId="0" xfId="1" applyFont="1" applyAlignment="1">
      <alignment horizontal="center"/>
    </xf>
    <xf numFmtId="9" fontId="16" fillId="0" borderId="0" xfId="0" applyNumberFormat="1" applyFont="1"/>
    <xf numFmtId="166" fontId="15" fillId="3" borderId="0" xfId="1" applyNumberFormat="1" applyFont="1" applyFill="1"/>
    <xf numFmtId="0" fontId="15" fillId="0" borderId="0" xfId="0" applyFont="1" applyFill="1"/>
    <xf numFmtId="0" fontId="16" fillId="0" borderId="0" xfId="0" applyFont="1" applyAlignment="1">
      <alignment wrapText="1"/>
    </xf>
    <xf numFmtId="9" fontId="18" fillId="2" borderId="0" xfId="1" applyFont="1" applyFill="1" applyAlignment="1">
      <alignment horizontal="center"/>
    </xf>
    <xf numFmtId="0" fontId="17" fillId="0" borderId="0" xfId="0" applyFont="1" applyFill="1" applyBorder="1" applyAlignment="1">
      <alignment horizontal="center"/>
    </xf>
    <xf numFmtId="166" fontId="19" fillId="3" borderId="29" xfId="0" applyNumberFormat="1" applyFont="1" applyFill="1" applyBorder="1" applyAlignment="1">
      <alignment horizontal="center"/>
    </xf>
    <xf numFmtId="0" fontId="15" fillId="0" borderId="15" xfId="0" applyFont="1" applyBorder="1" applyAlignment="1">
      <alignment wrapText="1"/>
    </xf>
    <xf numFmtId="0" fontId="15" fillId="0" borderId="15" xfId="0" applyFont="1" applyFill="1" applyBorder="1" applyAlignment="1">
      <alignment wrapText="1"/>
    </xf>
    <xf numFmtId="166" fontId="15" fillId="0" borderId="15" xfId="1" applyNumberFormat="1" applyFont="1" applyBorder="1" applyAlignment="1">
      <alignment wrapText="1"/>
    </xf>
    <xf numFmtId="165" fontId="15" fillId="0" borderId="15" xfId="3" applyNumberFormat="1" applyFont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30" xfId="0" applyFont="1" applyBorder="1" applyAlignment="1">
      <alignment wrapText="1"/>
    </xf>
    <xf numFmtId="0" fontId="15" fillId="0" borderId="31" xfId="0" applyFont="1" applyBorder="1" applyAlignment="1">
      <alignment wrapText="1"/>
    </xf>
    <xf numFmtId="164" fontId="16" fillId="0" borderId="0" xfId="2" applyNumberFormat="1" applyFont="1"/>
    <xf numFmtId="3" fontId="16" fillId="0" borderId="0" xfId="0" applyNumberFormat="1" applyFont="1" applyFill="1"/>
    <xf numFmtId="7" fontId="16" fillId="0" borderId="0" xfId="0" applyNumberFormat="1" applyFont="1"/>
    <xf numFmtId="168" fontId="16" fillId="0" borderId="0" xfId="3" applyNumberFormat="1" applyFont="1" applyFill="1" applyBorder="1" applyAlignment="1">
      <alignment horizontal="center"/>
    </xf>
    <xf numFmtId="10" fontId="16" fillId="0" borderId="0" xfId="1" applyNumberFormat="1" applyFont="1" applyFill="1" applyBorder="1" applyAlignment="1">
      <alignment horizontal="center"/>
    </xf>
    <xf numFmtId="44" fontId="16" fillId="0" borderId="0" xfId="0" applyNumberFormat="1" applyFont="1" applyFill="1" applyBorder="1"/>
    <xf numFmtId="9" fontId="16" fillId="0" borderId="0" xfId="1" applyFont="1" applyBorder="1"/>
    <xf numFmtId="44" fontId="16" fillId="0" borderId="0" xfId="0" applyNumberFormat="1" applyFont="1" applyBorder="1"/>
    <xf numFmtId="165" fontId="16" fillId="0" borderId="32" xfId="3" applyNumberFormat="1" applyFont="1" applyFill="1" applyBorder="1"/>
    <xf numFmtId="9" fontId="16" fillId="0" borderId="0" xfId="1" applyFont="1"/>
    <xf numFmtId="44" fontId="16" fillId="0" borderId="33" xfId="0" applyNumberFormat="1" applyFont="1" applyBorder="1"/>
    <xf numFmtId="0" fontId="16" fillId="0" borderId="11" xfId="0" applyFont="1" applyBorder="1"/>
    <xf numFmtId="0" fontId="16" fillId="0" borderId="0" xfId="0" applyFont="1" applyBorder="1"/>
    <xf numFmtId="164" fontId="16" fillId="0" borderId="0" xfId="2" applyNumberFormat="1" applyFont="1" applyBorder="1"/>
    <xf numFmtId="0" fontId="16" fillId="0" borderId="20" xfId="0" applyFont="1" applyBorder="1"/>
    <xf numFmtId="0" fontId="15" fillId="0" borderId="20" xfId="0" applyFont="1" applyBorder="1"/>
    <xf numFmtId="164" fontId="16" fillId="0" borderId="20" xfId="2" applyNumberFormat="1" applyFont="1" applyBorder="1"/>
    <xf numFmtId="164" fontId="16" fillId="0" borderId="20" xfId="2" applyNumberFormat="1" applyFont="1" applyFill="1" applyBorder="1"/>
    <xf numFmtId="166" fontId="16" fillId="0" borderId="20" xfId="1" applyNumberFormat="1" applyFont="1" applyBorder="1"/>
    <xf numFmtId="9" fontId="16" fillId="0" borderId="20" xfId="1" applyFont="1" applyBorder="1"/>
    <xf numFmtId="165" fontId="16" fillId="0" borderId="20" xfId="3" applyNumberFormat="1" applyFont="1" applyBorder="1"/>
    <xf numFmtId="168" fontId="16" fillId="0" borderId="20" xfId="3" applyNumberFormat="1" applyFont="1" applyBorder="1" applyAlignment="1">
      <alignment horizontal="center"/>
    </xf>
    <xf numFmtId="44" fontId="16" fillId="0" borderId="20" xfId="0" applyNumberFormat="1" applyFont="1" applyBorder="1"/>
    <xf numFmtId="165" fontId="16" fillId="0" borderId="34" xfId="3" applyNumberFormat="1" applyFont="1" applyBorder="1"/>
    <xf numFmtId="10" fontId="16" fillId="0" borderId="0" xfId="1" applyNumberFormat="1" applyFont="1" applyBorder="1" applyAlignment="1">
      <alignment horizontal="center"/>
    </xf>
    <xf numFmtId="44" fontId="16" fillId="0" borderId="35" xfId="0" applyNumberFormat="1" applyFont="1" applyBorder="1"/>
    <xf numFmtId="164" fontId="16" fillId="0" borderId="0" xfId="2" applyNumberFormat="1" applyFont="1" applyFill="1"/>
    <xf numFmtId="168" fontId="16" fillId="0" borderId="0" xfId="3" applyNumberFormat="1" applyFont="1" applyBorder="1" applyAlignment="1">
      <alignment horizontal="center"/>
    </xf>
    <xf numFmtId="165" fontId="16" fillId="0" borderId="32" xfId="3" applyNumberFormat="1" applyFont="1" applyBorder="1"/>
    <xf numFmtId="164" fontId="16" fillId="0" borderId="0" xfId="0" applyNumberFormat="1" applyFont="1"/>
    <xf numFmtId="168" fontId="16" fillId="0" borderId="0" xfId="0" applyNumberFormat="1" applyFont="1"/>
    <xf numFmtId="44" fontId="16" fillId="0" borderId="0" xfId="0" applyNumberFormat="1" applyFont="1"/>
    <xf numFmtId="166" fontId="16" fillId="0" borderId="0" xfId="1" applyNumberFormat="1" applyFont="1" applyFill="1"/>
    <xf numFmtId="9" fontId="16" fillId="0" borderId="0" xfId="1" applyFont="1" applyFill="1"/>
    <xf numFmtId="165" fontId="20" fillId="0" borderId="0" xfId="3" applyNumberFormat="1" applyFont="1" applyFill="1"/>
    <xf numFmtId="2" fontId="16" fillId="0" borderId="0" xfId="3" applyNumberFormat="1" applyFont="1" applyFill="1"/>
    <xf numFmtId="164" fontId="16" fillId="0" borderId="0" xfId="2" applyNumberFormat="1" applyFont="1" applyFill="1" applyBorder="1"/>
    <xf numFmtId="2" fontId="16" fillId="0" borderId="0" xfId="3" applyNumberFormat="1" applyFont="1" applyFill="1" applyBorder="1"/>
    <xf numFmtId="7" fontId="16" fillId="0" borderId="0" xfId="0" applyNumberFormat="1" applyFont="1" applyFill="1"/>
    <xf numFmtId="0" fontId="16" fillId="0" borderId="0" xfId="0" applyFont="1" applyFill="1"/>
    <xf numFmtId="7" fontId="16" fillId="0" borderId="0" xfId="0" applyNumberFormat="1" applyFont="1" applyFill="1" applyBorder="1"/>
    <xf numFmtId="7" fontId="16" fillId="0" borderId="20" xfId="0" applyNumberFormat="1" applyFont="1" applyFill="1" applyBorder="1"/>
    <xf numFmtId="9" fontId="16" fillId="0" borderId="0" xfId="1" applyFont="1" applyFill="1" applyBorder="1"/>
    <xf numFmtId="10" fontId="16" fillId="0" borderId="20" xfId="1" applyNumberFormat="1" applyFont="1" applyFill="1" applyBorder="1" applyAlignment="1">
      <alignment horizontal="center"/>
    </xf>
    <xf numFmtId="44" fontId="16" fillId="0" borderId="20" xfId="0" applyNumberFormat="1" applyFont="1" applyFill="1" applyBorder="1"/>
    <xf numFmtId="9" fontId="16" fillId="0" borderId="20" xfId="1" applyFont="1" applyFill="1" applyBorder="1"/>
    <xf numFmtId="0" fontId="21" fillId="4" borderId="0" xfId="0" applyFont="1" applyFill="1" applyBorder="1"/>
    <xf numFmtId="164" fontId="21" fillId="4" borderId="0" xfId="2" applyNumberFormat="1" applyFont="1" applyFill="1"/>
    <xf numFmtId="3" fontId="21" fillId="4" borderId="0" xfId="0" applyNumberFormat="1" applyFont="1" applyFill="1"/>
    <xf numFmtId="166" fontId="21" fillId="4" borderId="0" xfId="1" applyNumberFormat="1" applyFont="1" applyFill="1"/>
    <xf numFmtId="9" fontId="21" fillId="4" borderId="0" xfId="1" applyFont="1" applyFill="1" applyBorder="1"/>
    <xf numFmtId="2" fontId="21" fillId="4" borderId="0" xfId="3" applyNumberFormat="1" applyFont="1" applyFill="1"/>
    <xf numFmtId="7" fontId="21" fillId="4" borderId="0" xfId="0" applyNumberFormat="1" applyFont="1" applyFill="1"/>
    <xf numFmtId="165" fontId="21" fillId="4" borderId="36" xfId="3" applyNumberFormat="1" applyFont="1" applyFill="1" applyBorder="1"/>
    <xf numFmtId="168" fontId="21" fillId="4" borderId="37" xfId="3" applyNumberFormat="1" applyFont="1" applyFill="1" applyBorder="1" applyAlignment="1">
      <alignment horizontal="center"/>
    </xf>
    <xf numFmtId="10" fontId="21" fillId="4" borderId="37" xfId="1" applyNumberFormat="1" applyFont="1" applyFill="1" applyBorder="1" applyAlignment="1">
      <alignment horizontal="center"/>
    </xf>
    <xf numFmtId="44" fontId="21" fillId="4" borderId="37" xfId="0" applyNumberFormat="1" applyFont="1" applyFill="1" applyBorder="1"/>
    <xf numFmtId="9" fontId="21" fillId="4" borderId="25" xfId="1" applyFont="1" applyFill="1" applyBorder="1"/>
    <xf numFmtId="44" fontId="21" fillId="4" borderId="38" xfId="0" applyNumberFormat="1" applyFont="1" applyFill="1" applyBorder="1"/>
    <xf numFmtId="0" fontId="15" fillId="0" borderId="15" xfId="0" applyFont="1" applyBorder="1" applyAlignment="1">
      <alignment horizontal="center" wrapText="1"/>
    </xf>
    <xf numFmtId="164" fontId="0" fillId="0" borderId="0" xfId="2" applyNumberFormat="1" applyFont="1" applyFill="1" applyBorder="1"/>
    <xf numFmtId="3" fontId="0" fillId="0" borderId="0" xfId="0" applyNumberFormat="1" applyFill="1" applyBorder="1"/>
    <xf numFmtId="164" fontId="0" fillId="0" borderId="15" xfId="2" applyNumberFormat="1" applyFont="1" applyFill="1" applyBorder="1"/>
    <xf numFmtId="3" fontId="0" fillId="0" borderId="15" xfId="0" applyNumberFormat="1" applyFill="1" applyBorder="1"/>
    <xf numFmtId="165" fontId="0" fillId="0" borderId="15" xfId="3" applyNumberFormat="1" applyFont="1" applyFill="1" applyBorder="1"/>
    <xf numFmtId="168" fontId="0" fillId="0" borderId="15" xfId="3" applyNumberFormat="1" applyFont="1" applyFill="1" applyBorder="1" applyAlignment="1">
      <alignment horizontal="center"/>
    </xf>
    <xf numFmtId="10" fontId="0" fillId="0" borderId="15" xfId="1" applyNumberFormat="1" applyFont="1" applyFill="1" applyBorder="1" applyAlignment="1">
      <alignment horizontal="center"/>
    </xf>
    <xf numFmtId="44" fontId="0" fillId="0" borderId="15" xfId="0" applyNumberFormat="1" applyFont="1" applyFill="1" applyBorder="1"/>
    <xf numFmtId="44" fontId="16" fillId="0" borderId="15" xfId="0" applyNumberFormat="1" applyFont="1" applyFill="1" applyBorder="1"/>
    <xf numFmtId="9" fontId="16" fillId="0" borderId="15" xfId="1" applyFont="1" applyFill="1" applyBorder="1"/>
    <xf numFmtId="0" fontId="16" fillId="0" borderId="42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6" fillId="0" borderId="42" xfId="0" applyFont="1" applyBorder="1"/>
    <xf numFmtId="164" fontId="16" fillId="0" borderId="7" xfId="2" applyNumberFormat="1" applyFont="1" applyFill="1" applyBorder="1"/>
    <xf numFmtId="164" fontId="24" fillId="0" borderId="7" xfId="2" applyNumberFormat="1" applyFont="1" applyFill="1" applyBorder="1"/>
    <xf numFmtId="166" fontId="24" fillId="0" borderId="7" xfId="1" applyNumberFormat="1" applyFont="1" applyFill="1" applyBorder="1"/>
    <xf numFmtId="166" fontId="24" fillId="0" borderId="43" xfId="1" applyNumberFormat="1" applyFont="1" applyFill="1" applyBorder="1"/>
    <xf numFmtId="166" fontId="16" fillId="0" borderId="7" xfId="1" applyNumberFormat="1" applyFont="1" applyFill="1" applyBorder="1"/>
    <xf numFmtId="0" fontId="15" fillId="0" borderId="44" xfId="0" applyFont="1" applyBorder="1"/>
    <xf numFmtId="164" fontId="15" fillId="0" borderId="45" xfId="0" applyNumberFormat="1" applyFont="1" applyBorder="1"/>
    <xf numFmtId="10" fontId="15" fillId="0" borderId="45" xfId="1" applyNumberFormat="1" applyFont="1" applyFill="1" applyBorder="1"/>
    <xf numFmtId="10" fontId="15" fillId="0" borderId="46" xfId="1" applyNumberFormat="1" applyFont="1" applyFill="1" applyBorder="1"/>
    <xf numFmtId="0" fontId="25" fillId="0" borderId="0" xfId="0" applyFont="1"/>
    <xf numFmtId="10" fontId="16" fillId="0" borderId="0" xfId="1" applyNumberFormat="1" applyFont="1" applyFill="1" applyBorder="1"/>
    <xf numFmtId="0" fontId="27" fillId="0" borderId="14" xfId="0" applyFont="1" applyBorder="1" applyAlignment="1">
      <alignment vertical="center" wrapText="1"/>
    </xf>
    <xf numFmtId="0" fontId="27" fillId="0" borderId="15" xfId="0" applyFont="1" applyBorder="1" applyAlignment="1">
      <alignment vertical="center" wrapText="1"/>
    </xf>
    <xf numFmtId="166" fontId="27" fillId="0" borderId="15" xfId="1" applyNumberFormat="1" applyFont="1" applyFill="1" applyBorder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0" fontId="15" fillId="0" borderId="1" xfId="0" applyFont="1" applyBorder="1"/>
    <xf numFmtId="3" fontId="16" fillId="0" borderId="0" xfId="0" applyNumberFormat="1" applyFont="1"/>
    <xf numFmtId="166" fontId="16" fillId="0" borderId="0" xfId="1" applyNumberFormat="1" applyFont="1" applyFill="1" applyBorder="1"/>
    <xf numFmtId="9" fontId="16" fillId="5" borderId="11" xfId="1" applyFont="1" applyFill="1" applyBorder="1"/>
    <xf numFmtId="0" fontId="15" fillId="0" borderId="5" xfId="0" applyFont="1" applyBorder="1"/>
    <xf numFmtId="3" fontId="16" fillId="5" borderId="0" xfId="0" applyNumberFormat="1" applyFont="1" applyFill="1"/>
    <xf numFmtId="166" fontId="16" fillId="5" borderId="0" xfId="1" applyNumberFormat="1" applyFont="1" applyFill="1" applyBorder="1"/>
    <xf numFmtId="0" fontId="15" fillId="0" borderId="47" xfId="0" applyFont="1" applyBorder="1"/>
    <xf numFmtId="164" fontId="16" fillId="0" borderId="48" xfId="2" applyNumberFormat="1" applyFont="1" applyFill="1" applyBorder="1"/>
    <xf numFmtId="3" fontId="16" fillId="5" borderId="48" xfId="0" applyNumberFormat="1" applyFont="1" applyFill="1" applyBorder="1"/>
    <xf numFmtId="166" fontId="16" fillId="5" borderId="48" xfId="1" applyNumberFormat="1" applyFont="1" applyFill="1" applyBorder="1"/>
    <xf numFmtId="9" fontId="16" fillId="5" borderId="49" xfId="1" applyFont="1" applyFill="1" applyBorder="1"/>
    <xf numFmtId="0" fontId="27" fillId="0" borderId="12" xfId="0" applyFont="1" applyBorder="1"/>
    <xf numFmtId="9" fontId="16" fillId="0" borderId="11" xfId="1" applyFont="1" applyFill="1" applyBorder="1"/>
    <xf numFmtId="0" fontId="27" fillId="5" borderId="14" xfId="0" applyFont="1" applyFill="1" applyBorder="1"/>
    <xf numFmtId="164" fontId="16" fillId="5" borderId="15" xfId="2" applyNumberFormat="1" applyFont="1" applyFill="1" applyBorder="1"/>
    <xf numFmtId="3" fontId="16" fillId="5" borderId="15" xfId="0" applyNumberFormat="1" applyFont="1" applyFill="1" applyBorder="1"/>
    <xf numFmtId="166" fontId="16" fillId="5" borderId="15" xfId="1" applyNumberFormat="1" applyFont="1" applyFill="1" applyBorder="1"/>
    <xf numFmtId="9" fontId="16" fillId="5" borderId="13" xfId="1" applyFont="1" applyFill="1" applyBorder="1"/>
    <xf numFmtId="44" fontId="16" fillId="0" borderId="0" xfId="3" applyFont="1" applyFill="1" applyBorder="1"/>
    <xf numFmtId="0" fontId="16" fillId="0" borderId="0" xfId="0" quotePrefix="1" applyFont="1" applyAlignment="1">
      <alignment wrapText="1"/>
    </xf>
    <xf numFmtId="0" fontId="27" fillId="0" borderId="51" xfId="0" applyFont="1" applyBorder="1" applyAlignment="1">
      <alignment vertical="center" wrapText="1"/>
    </xf>
    <xf numFmtId="0" fontId="32" fillId="0" borderId="15" xfId="0" applyFont="1" applyBorder="1" applyAlignment="1">
      <alignment vertical="center" wrapText="1"/>
    </xf>
    <xf numFmtId="0" fontId="27" fillId="0" borderId="52" xfId="0" applyFont="1" applyBorder="1" applyAlignment="1">
      <alignment vertical="center" wrapText="1"/>
    </xf>
    <xf numFmtId="0" fontId="15" fillId="0" borderId="27" xfId="0" applyFont="1" applyBorder="1"/>
    <xf numFmtId="165" fontId="16" fillId="0" borderId="12" xfId="3" applyNumberFormat="1" applyFont="1" applyFill="1" applyBorder="1"/>
    <xf numFmtId="165" fontId="16" fillId="0" borderId="11" xfId="3" applyNumberFormat="1" applyFont="1" applyFill="1" applyBorder="1"/>
    <xf numFmtId="165" fontId="16" fillId="0" borderId="0" xfId="3" applyNumberFormat="1" applyFont="1" applyFill="1" applyBorder="1"/>
    <xf numFmtId="8" fontId="16" fillId="0" borderId="18" xfId="0" applyNumberFormat="1" applyFont="1" applyBorder="1"/>
    <xf numFmtId="0" fontId="15" fillId="0" borderId="23" xfId="0" applyFont="1" applyBorder="1"/>
    <xf numFmtId="165" fontId="16" fillId="6" borderId="11" xfId="3" applyNumberFormat="1" applyFont="1" applyFill="1" applyBorder="1"/>
    <xf numFmtId="165" fontId="16" fillId="6" borderId="0" xfId="3" applyNumberFormat="1" applyFont="1" applyFill="1" applyBorder="1"/>
    <xf numFmtId="8" fontId="16" fillId="6" borderId="18" xfId="0" applyNumberFormat="1" applyFont="1" applyFill="1" applyBorder="1"/>
    <xf numFmtId="0" fontId="15" fillId="0" borderId="53" xfId="0" applyFont="1" applyBorder="1"/>
    <xf numFmtId="165" fontId="16" fillId="0" borderId="54" xfId="3" applyNumberFormat="1" applyFont="1" applyFill="1" applyBorder="1"/>
    <xf numFmtId="165" fontId="16" fillId="0" borderId="49" xfId="3" applyNumberFormat="1" applyFont="1" applyFill="1" applyBorder="1"/>
    <xf numFmtId="165" fontId="16" fillId="6" borderId="49" xfId="3" applyNumberFormat="1" applyFont="1" applyFill="1" applyBorder="1"/>
    <xf numFmtId="165" fontId="16" fillId="6" borderId="48" xfId="3" applyNumberFormat="1" applyFont="1" applyFill="1" applyBorder="1"/>
    <xf numFmtId="8" fontId="16" fillId="6" borderId="55" xfId="0" applyNumberFormat="1" applyFont="1" applyFill="1" applyBorder="1"/>
    <xf numFmtId="0" fontId="27" fillId="0" borderId="23" xfId="0" applyFont="1" applyBorder="1"/>
    <xf numFmtId="0" fontId="27" fillId="5" borderId="24" xfId="0" applyFont="1" applyFill="1" applyBorder="1"/>
    <xf numFmtId="165" fontId="16" fillId="6" borderId="56" xfId="3" applyNumberFormat="1" applyFont="1" applyFill="1" applyBorder="1"/>
    <xf numFmtId="165" fontId="16" fillId="6" borderId="57" xfId="3" applyNumberFormat="1" applyFont="1" applyFill="1" applyBorder="1"/>
    <xf numFmtId="165" fontId="16" fillId="5" borderId="28" xfId="3" applyNumberFormat="1" applyFont="1" applyFill="1" applyBorder="1"/>
    <xf numFmtId="8" fontId="16" fillId="6" borderId="22" xfId="0" applyNumberFormat="1" applyFont="1" applyFill="1" applyBorder="1"/>
    <xf numFmtId="0" fontId="15" fillId="0" borderId="61" xfId="0" applyFont="1" applyBorder="1" applyAlignment="1">
      <alignment wrapText="1"/>
    </xf>
    <xf numFmtId="0" fontId="15" fillId="6" borderId="62" xfId="0" applyFont="1" applyFill="1" applyBorder="1" applyAlignment="1">
      <alignment wrapText="1"/>
    </xf>
    <xf numFmtId="165" fontId="2" fillId="0" borderId="0" xfId="0" applyNumberFormat="1" applyFont="1" applyAlignment="1">
      <alignment wrapText="1"/>
    </xf>
    <xf numFmtId="0" fontId="15" fillId="0" borderId="0" xfId="0" applyFont="1" applyAlignment="1">
      <alignment wrapText="1"/>
    </xf>
    <xf numFmtId="0" fontId="16" fillId="0" borderId="63" xfId="0" applyFont="1" applyBorder="1"/>
    <xf numFmtId="0" fontId="16" fillId="0" borderId="65" xfId="0" applyFont="1" applyBorder="1"/>
    <xf numFmtId="0" fontId="15" fillId="0" borderId="66" xfId="0" applyFont="1" applyBorder="1"/>
    <xf numFmtId="7" fontId="16" fillId="0" borderId="20" xfId="0" applyNumberFormat="1" applyFont="1" applyBorder="1"/>
    <xf numFmtId="0" fontId="15" fillId="0" borderId="63" xfId="0" applyFont="1" applyBorder="1"/>
    <xf numFmtId="0" fontId="21" fillId="4" borderId="67" xfId="0" applyFont="1" applyFill="1" applyBorder="1"/>
    <xf numFmtId="7" fontId="21" fillId="4" borderId="68" xfId="0" applyNumberFormat="1" applyFont="1" applyFill="1" applyBorder="1"/>
    <xf numFmtId="10" fontId="16" fillId="0" borderId="20" xfId="1" applyNumberFormat="1" applyFont="1" applyBorder="1" applyAlignment="1">
      <alignment horizontal="center"/>
    </xf>
    <xf numFmtId="0" fontId="15" fillId="0" borderId="73" xfId="0" applyFont="1" applyBorder="1" applyAlignment="1">
      <alignment wrapText="1"/>
    </xf>
    <xf numFmtId="0" fontId="15" fillId="0" borderId="74" xfId="0" applyFont="1" applyBorder="1" applyAlignment="1">
      <alignment wrapText="1"/>
    </xf>
    <xf numFmtId="165" fontId="16" fillId="0" borderId="75" xfId="3" applyNumberFormat="1" applyFont="1" applyFill="1" applyBorder="1"/>
    <xf numFmtId="44" fontId="16" fillId="0" borderId="76" xfId="0" applyNumberFormat="1" applyFont="1" applyBorder="1"/>
    <xf numFmtId="165" fontId="16" fillId="0" borderId="77" xfId="3" applyNumberFormat="1" applyFont="1" applyBorder="1"/>
    <xf numFmtId="44" fontId="16" fillId="0" borderId="78" xfId="0" applyNumberFormat="1" applyFont="1" applyBorder="1"/>
    <xf numFmtId="165" fontId="16" fillId="0" borderId="75" xfId="3" applyNumberFormat="1" applyFont="1" applyBorder="1"/>
    <xf numFmtId="165" fontId="21" fillId="4" borderId="79" xfId="3" applyNumberFormat="1" applyFont="1" applyFill="1" applyBorder="1"/>
    <xf numFmtId="168" fontId="21" fillId="4" borderId="80" xfId="3" applyNumberFormat="1" applyFont="1" applyFill="1" applyBorder="1" applyAlignment="1">
      <alignment horizontal="center"/>
    </xf>
    <xf numFmtId="10" fontId="21" fillId="4" borderId="80" xfId="1" applyNumberFormat="1" applyFont="1" applyFill="1" applyBorder="1" applyAlignment="1">
      <alignment horizontal="center"/>
    </xf>
    <xf numFmtId="44" fontId="21" fillId="4" borderId="80" xfId="0" applyNumberFormat="1" applyFont="1" applyFill="1" applyBorder="1"/>
    <xf numFmtId="9" fontId="21" fillId="4" borderId="80" xfId="1" applyFont="1" applyFill="1" applyBorder="1"/>
    <xf numFmtId="44" fontId="21" fillId="4" borderId="81" xfId="0" applyNumberFormat="1" applyFont="1" applyFill="1" applyBorder="1"/>
    <xf numFmtId="9" fontId="21" fillId="7" borderId="0" xfId="1" applyFont="1" applyFill="1" applyAlignment="1">
      <alignment horizontal="center"/>
    </xf>
    <xf numFmtId="0" fontId="21" fillId="7" borderId="15" xfId="0" applyFont="1" applyFill="1" applyBorder="1" applyAlignment="1">
      <alignment wrapText="1"/>
    </xf>
    <xf numFmtId="10" fontId="16" fillId="0" borderId="0" xfId="1" applyNumberFormat="1" applyFont="1" applyBorder="1"/>
    <xf numFmtId="10" fontId="16" fillId="0" borderId="64" xfId="1" applyNumberFormat="1" applyFont="1" applyBorder="1"/>
    <xf numFmtId="10" fontId="16" fillId="0" borderId="64" xfId="1" applyNumberFormat="1" applyFont="1" applyFill="1" applyBorder="1"/>
    <xf numFmtId="10" fontId="16" fillId="0" borderId="62" xfId="1" applyNumberFormat="1" applyFont="1" applyFill="1" applyBorder="1"/>
    <xf numFmtId="10" fontId="16" fillId="0" borderId="20" xfId="1" applyNumberFormat="1" applyFont="1" applyFill="1" applyBorder="1"/>
    <xf numFmtId="10" fontId="21" fillId="4" borderId="68" xfId="1" applyNumberFormat="1" applyFont="1" applyFill="1" applyBorder="1"/>
    <xf numFmtId="10" fontId="21" fillId="4" borderId="69" xfId="1" applyNumberFormat="1" applyFont="1" applyFill="1" applyBorder="1"/>
    <xf numFmtId="7" fontId="16" fillId="0" borderId="19" xfId="0" applyNumberFormat="1" applyFont="1" applyBorder="1"/>
    <xf numFmtId="7" fontId="16" fillId="0" borderId="12" xfId="0" applyNumberFormat="1" applyFont="1" applyBorder="1"/>
    <xf numFmtId="0" fontId="16" fillId="0" borderId="12" xfId="0" applyFont="1" applyBorder="1"/>
    <xf numFmtId="166" fontId="19" fillId="3" borderId="32" xfId="0" applyNumberFormat="1" applyFont="1" applyFill="1" applyBorder="1" applyAlignment="1">
      <alignment horizontal="center" wrapText="1"/>
    </xf>
    <xf numFmtId="166" fontId="19" fillId="3" borderId="0" xfId="0" applyNumberFormat="1" applyFont="1" applyFill="1" applyBorder="1" applyAlignment="1">
      <alignment horizontal="center" wrapText="1"/>
    </xf>
    <xf numFmtId="9" fontId="21" fillId="7" borderId="70" xfId="0" applyNumberFormat="1" applyFont="1" applyFill="1" applyBorder="1" applyAlignment="1">
      <alignment horizontal="center" wrapText="1"/>
    </xf>
    <xf numFmtId="9" fontId="21" fillId="7" borderId="71" xfId="0" applyNumberFormat="1" applyFont="1" applyFill="1" applyBorder="1" applyAlignment="1">
      <alignment horizontal="center" wrapText="1"/>
    </xf>
    <xf numFmtId="9" fontId="21" fillId="7" borderId="72" xfId="0" applyNumberFormat="1" applyFont="1" applyFill="1" applyBorder="1" applyAlignment="1">
      <alignment horizontal="center" wrapText="1"/>
    </xf>
    <xf numFmtId="0" fontId="33" fillId="4" borderId="58" xfId="0" applyFont="1" applyFill="1" applyBorder="1" applyAlignment="1">
      <alignment horizontal="center" vertical="center" wrapText="1"/>
    </xf>
    <xf numFmtId="0" fontId="33" fillId="4" borderId="59" xfId="0" applyFont="1" applyFill="1" applyBorder="1" applyAlignment="1">
      <alignment horizontal="center" vertical="center" wrapText="1"/>
    </xf>
    <xf numFmtId="0" fontId="33" fillId="4" borderId="60" xfId="0" applyFont="1" applyFill="1" applyBorder="1" applyAlignment="1">
      <alignment horizontal="center" vertical="center" wrapText="1"/>
    </xf>
    <xf numFmtId="0" fontId="22" fillId="4" borderId="39" xfId="0" applyFont="1" applyFill="1" applyBorder="1" applyAlignment="1">
      <alignment horizontal="center" vertical="center" wrapText="1"/>
    </xf>
    <xf numFmtId="0" fontId="22" fillId="4" borderId="40" xfId="0" applyFont="1" applyFill="1" applyBorder="1" applyAlignment="1">
      <alignment horizontal="center" vertical="center" wrapText="1"/>
    </xf>
    <xf numFmtId="0" fontId="22" fillId="4" borderId="41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22" fillId="4" borderId="19" xfId="0" applyFont="1" applyFill="1" applyBorder="1" applyAlignment="1">
      <alignment horizontal="center" wrapText="1"/>
    </xf>
    <xf numFmtId="0" fontId="22" fillId="4" borderId="20" xfId="0" applyFont="1" applyFill="1" applyBorder="1" applyAlignment="1">
      <alignment horizontal="center" wrapText="1"/>
    </xf>
    <xf numFmtId="0" fontId="22" fillId="4" borderId="6" xfId="0" applyFont="1" applyFill="1" applyBorder="1" applyAlignment="1">
      <alignment horizontal="center" wrapText="1"/>
    </xf>
    <xf numFmtId="0" fontId="25" fillId="0" borderId="0" xfId="0" quotePrefix="1" applyFont="1"/>
    <xf numFmtId="0" fontId="25" fillId="0" borderId="0" xfId="0" quotePrefix="1" applyFont="1" applyAlignment="1">
      <alignment wrapText="1"/>
    </xf>
    <xf numFmtId="0" fontId="29" fillId="0" borderId="0" xfId="0" quotePrefix="1" applyFont="1" applyAlignment="1">
      <alignment wrapText="1"/>
    </xf>
    <xf numFmtId="0" fontId="22" fillId="4" borderId="26" xfId="0" applyFont="1" applyFill="1" applyBorder="1" applyAlignment="1">
      <alignment horizontal="center" wrapText="1"/>
    </xf>
    <xf numFmtId="0" fontId="22" fillId="4" borderId="2" xfId="0" applyFont="1" applyFill="1" applyBorder="1" applyAlignment="1">
      <alignment horizontal="center" wrapText="1"/>
    </xf>
    <xf numFmtId="0" fontId="22" fillId="4" borderId="4" xfId="0" applyFont="1" applyFill="1" applyBorder="1" applyAlignment="1">
      <alignment horizontal="center" wrapText="1"/>
    </xf>
    <xf numFmtId="0" fontId="27" fillId="0" borderId="50" xfId="0" applyFont="1" applyBorder="1" applyAlignment="1">
      <alignment vertical="center" wrapText="1"/>
    </xf>
    <xf numFmtId="0" fontId="27" fillId="0" borderId="21" xfId="0" applyFont="1" applyBorder="1" applyAlignment="1">
      <alignment vertical="center" wrapText="1"/>
    </xf>
    <xf numFmtId="0" fontId="15" fillId="0" borderId="8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4" fillId="2" borderId="17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9" fillId="0" borderId="0" xfId="4" applyFont="1" applyAlignment="1">
      <alignment horizontal="center"/>
    </xf>
    <xf numFmtId="0" fontId="9" fillId="0" borderId="15" xfId="4" applyFont="1" applyBorder="1" applyAlignment="1">
      <alignment horizontal="center"/>
    </xf>
    <xf numFmtId="166" fontId="0" fillId="2" borderId="0" xfId="1" applyNumberFormat="1" applyFont="1" applyFill="1" applyBorder="1"/>
    <xf numFmtId="166" fontId="0" fillId="2" borderId="15" xfId="1" applyNumberFormat="1" applyFont="1" applyFill="1" applyBorder="1"/>
  </cellXfs>
  <cellStyles count="7">
    <cellStyle name="Comma" xfId="2" builtinId="3"/>
    <cellStyle name="Comma 2" xfId="5" xr:uid="{3C412BE8-777A-49EB-8EF8-64C4B03009DB}"/>
    <cellStyle name="Currency" xfId="3" builtinId="4"/>
    <cellStyle name="Currency 2" xfId="6" xr:uid="{1C577E38-DA91-4E2A-A389-A16DA9DE01DB}"/>
    <cellStyle name="Normal" xfId="0" builtinId="0"/>
    <cellStyle name="Normal 2" xfId="4" xr:uid="{F39AE0A9-6844-4BE3-91CF-0F5C846AFE95}"/>
    <cellStyle name="Percent" xfId="1" builtinId="5"/>
  </cellStyles>
  <dxfs count="0"/>
  <tableStyles count="0" defaultTableStyle="TableStyleMedium2" defaultPivotStyle="PivotStyleLight16"/>
  <colors>
    <mruColors>
      <color rgb="FF008D8E"/>
      <color rgb="FF0075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%20Analysis/RESIDENTIAL%20Rate%20Comparison_Q4_2021_v1_mathchec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ta%20Analysis/Copy%20of%20Aggregate%20(2021%20Data)%202022%20Annual%20Utility%20Resource%20Surve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erminants"/>
      <sheetName val="Typical bills"/>
      <sheetName val="200 rank"/>
      <sheetName val="400 RANK"/>
      <sheetName val="600 rank"/>
      <sheetName val="800 rank"/>
      <sheetName val="1000 rank"/>
      <sheetName val="1500 rank"/>
      <sheetName val="Cust Chg Rank"/>
      <sheetName val="Tailblock Rank"/>
      <sheetName val="NYPA Rank"/>
      <sheetName val="DATA input"/>
      <sheetName val="RANKINGS"/>
    </sheetNames>
    <sheetDataSet>
      <sheetData sheetId="0">
        <row r="12">
          <cell r="A12" t="str">
            <v>Green Mountain Power</v>
          </cell>
          <cell r="B12"/>
          <cell r="C12" t="str">
            <v>4/20</v>
          </cell>
          <cell r="D12"/>
          <cell r="E12">
            <v>15.664583333333333</v>
          </cell>
          <cell r="F12">
            <v>0</v>
          </cell>
          <cell r="G12">
            <v>0</v>
          </cell>
          <cell r="H12" t="str">
            <v/>
          </cell>
          <cell r="I12">
            <v>0.17649999999999999</v>
          </cell>
          <cell r="J12">
            <v>0</v>
          </cell>
        </row>
        <row r="13">
          <cell r="A13" t="str">
            <v>Hardwick</v>
          </cell>
          <cell r="B13"/>
          <cell r="C13" t="str">
            <v>04/09</v>
          </cell>
          <cell r="D13"/>
          <cell r="E13">
            <v>11.83</v>
          </cell>
          <cell r="F13">
            <v>100</v>
          </cell>
          <cell r="G13">
            <v>6.2850000000000003E-2</v>
          </cell>
          <cell r="H13" t="str">
            <v/>
          </cell>
          <cell r="I13">
            <v>0.17885000000000001</v>
          </cell>
          <cell r="J13">
            <v>0</v>
          </cell>
        </row>
        <row r="14">
          <cell r="A14" t="str">
            <v>Jacksonville</v>
          </cell>
          <cell r="B14"/>
          <cell r="C14" t="str">
            <v>12/08</v>
          </cell>
          <cell r="D14"/>
          <cell r="E14">
            <v>7.97</v>
          </cell>
          <cell r="F14">
            <v>175</v>
          </cell>
          <cell r="G14">
            <v>7.732E-2</v>
          </cell>
          <cell r="H14" t="str">
            <v/>
          </cell>
          <cell r="I14">
            <v>0.18589</v>
          </cell>
          <cell r="J14">
            <v>0</v>
          </cell>
        </row>
        <row r="15">
          <cell r="A15" t="str">
            <v>Johnson</v>
          </cell>
          <cell r="B15"/>
          <cell r="C15" t="str">
            <v>06/10</v>
          </cell>
          <cell r="D15"/>
          <cell r="E15">
            <v>12.14</v>
          </cell>
          <cell r="F15">
            <v>100</v>
          </cell>
          <cell r="G15">
            <v>0.1052</v>
          </cell>
          <cell r="H15" t="str">
            <v/>
          </cell>
          <cell r="I15">
            <v>0.16200000000000001</v>
          </cell>
          <cell r="J15">
            <v>0</v>
          </cell>
        </row>
        <row r="16">
          <cell r="A16" t="str">
            <v>Ludlow</v>
          </cell>
          <cell r="B16"/>
          <cell r="C16" t="str">
            <v>08/10</v>
          </cell>
          <cell r="D16"/>
          <cell r="E16">
            <v>8.56</v>
          </cell>
          <cell r="F16">
            <v>125</v>
          </cell>
          <cell r="G16">
            <v>5.2299999999999999E-2</v>
          </cell>
          <cell r="H16" t="str">
            <v/>
          </cell>
          <cell r="I16">
            <v>0.1179</v>
          </cell>
          <cell r="J16">
            <v>0</v>
          </cell>
        </row>
        <row r="17">
          <cell r="A17" t="str">
            <v>Lyndonville</v>
          </cell>
          <cell r="B17"/>
          <cell r="C17" t="str">
            <v>02/14</v>
          </cell>
          <cell r="D17"/>
          <cell r="E17">
            <v>9.25</v>
          </cell>
          <cell r="F17">
            <v>75</v>
          </cell>
          <cell r="G17">
            <v>7.399E-2</v>
          </cell>
          <cell r="H17" t="str">
            <v/>
          </cell>
          <cell r="I17">
            <v>0.14953</v>
          </cell>
          <cell r="J17">
            <v>0</v>
          </cell>
        </row>
        <row r="18">
          <cell r="A18" t="str">
            <v>Morrisville</v>
          </cell>
          <cell r="B18"/>
          <cell r="C18" t="str">
            <v>11/10</v>
          </cell>
          <cell r="D18"/>
          <cell r="E18">
            <v>8.67</v>
          </cell>
          <cell r="F18">
            <v>100</v>
          </cell>
          <cell r="G18">
            <v>8.3400000000000002E-2</v>
          </cell>
          <cell r="H18" t="str">
            <v/>
          </cell>
          <cell r="I18">
            <v>0.15357999999999999</v>
          </cell>
          <cell r="J18">
            <v>0</v>
          </cell>
        </row>
        <row r="19">
          <cell r="A19" t="str">
            <v>Northfield</v>
          </cell>
          <cell r="B19"/>
          <cell r="C19" t="str">
            <v>01/11</v>
          </cell>
          <cell r="D19"/>
          <cell r="E19">
            <v>8.01</v>
          </cell>
          <cell r="F19">
            <v>100</v>
          </cell>
          <cell r="G19">
            <v>6.3509999999999997E-2</v>
          </cell>
          <cell r="H19" t="str">
            <v/>
          </cell>
          <cell r="I19">
            <v>0.13705000000000001</v>
          </cell>
          <cell r="J19">
            <v>0</v>
          </cell>
        </row>
        <row r="20">
          <cell r="A20" t="str">
            <v>Orleans</v>
          </cell>
          <cell r="B20"/>
          <cell r="C20" t="str">
            <v>07/10</v>
          </cell>
          <cell r="D20"/>
          <cell r="E20">
            <v>9.89</v>
          </cell>
          <cell r="F20">
            <v>100</v>
          </cell>
          <cell r="G20">
            <v>7.5480000000000005E-2</v>
          </cell>
          <cell r="H20" t="str">
            <v/>
          </cell>
          <cell r="I20">
            <v>0.11933000000000001</v>
          </cell>
          <cell r="J20">
            <v>0</v>
          </cell>
        </row>
        <row r="21">
          <cell r="A21" t="str">
            <v>Stowe</v>
          </cell>
          <cell r="B21"/>
          <cell r="C21" t="str">
            <v>8/18</v>
          </cell>
          <cell r="D21"/>
          <cell r="E21">
            <v>14.71</v>
          </cell>
          <cell r="F21">
            <v>76</v>
          </cell>
          <cell r="G21">
            <v>8.2500000000000004E-2</v>
          </cell>
          <cell r="H21" t="str">
            <v/>
          </cell>
          <cell r="I21">
            <v>0.16980000000000001</v>
          </cell>
          <cell r="J21">
            <v>0</v>
          </cell>
        </row>
        <row r="22">
          <cell r="A22" t="str">
            <v>Swanton</v>
          </cell>
          <cell r="B22"/>
          <cell r="C22" t="str">
            <v>9/16</v>
          </cell>
          <cell r="D22"/>
          <cell r="E22">
            <v>6.85</v>
          </cell>
          <cell r="F22">
            <v>0</v>
          </cell>
          <cell r="G22">
            <v>0</v>
          </cell>
          <cell r="H22" t="str">
            <v/>
          </cell>
          <cell r="I22">
            <v>0.12132999999999999</v>
          </cell>
          <cell r="J22">
            <v>0</v>
          </cell>
        </row>
        <row r="23">
          <cell r="A23" t="str">
            <v>Vermont Electric Cooperative</v>
          </cell>
          <cell r="B23"/>
          <cell r="C23" t="str">
            <v>01/20</v>
          </cell>
          <cell r="D23"/>
          <cell r="E23">
            <v>17.79</v>
          </cell>
          <cell r="F23">
            <v>100</v>
          </cell>
          <cell r="G23">
            <v>9.0160000000000004E-2</v>
          </cell>
          <cell r="H23" t="str">
            <v/>
          </cell>
          <cell r="I23">
            <v>0.18199000000000001</v>
          </cell>
          <cell r="J23">
            <v>0</v>
          </cell>
        </row>
        <row r="24">
          <cell r="A24" t="str">
            <v>Washington Electric Cooperative</v>
          </cell>
          <cell r="B24"/>
          <cell r="C24" t="str">
            <v>7/20</v>
          </cell>
          <cell r="D24"/>
          <cell r="E24">
            <v>22.25</v>
          </cell>
          <cell r="F24">
            <v>100</v>
          </cell>
          <cell r="G24">
            <v>8.4760000000000002E-2</v>
          </cell>
          <cell r="H24" t="str">
            <v/>
          </cell>
          <cell r="I24">
            <v>0.22220000000000001</v>
          </cell>
          <cell r="J24">
            <v>0</v>
          </cell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</row>
        <row r="111">
          <cell r="A111"/>
          <cell r="B111"/>
          <cell r="C111"/>
          <cell r="D111"/>
          <cell r="E111"/>
          <cell r="F111"/>
          <cell r="G111"/>
          <cell r="H111"/>
          <cell r="I111"/>
          <cell r="J111"/>
        </row>
        <row r="112">
          <cell r="A112"/>
          <cell r="B112"/>
          <cell r="C112"/>
          <cell r="D112"/>
          <cell r="E112"/>
          <cell r="F112"/>
          <cell r="G112"/>
          <cell r="H112"/>
          <cell r="I112"/>
          <cell r="J112"/>
        </row>
        <row r="113">
          <cell r="A113"/>
          <cell r="B113"/>
          <cell r="C113"/>
          <cell r="D113"/>
          <cell r="E113"/>
          <cell r="F113"/>
          <cell r="G113"/>
          <cell r="H113"/>
          <cell r="I113"/>
          <cell r="J113"/>
        </row>
        <row r="114">
          <cell r="A114"/>
          <cell r="B114"/>
          <cell r="C114"/>
          <cell r="D114"/>
          <cell r="E114"/>
          <cell r="F114"/>
          <cell r="G114"/>
          <cell r="H114"/>
          <cell r="I114"/>
          <cell r="J114"/>
        </row>
        <row r="115">
          <cell r="A115"/>
          <cell r="B115"/>
          <cell r="C115"/>
          <cell r="D115"/>
          <cell r="E115"/>
          <cell r="F115"/>
          <cell r="G115"/>
          <cell r="H115"/>
          <cell r="I115"/>
          <cell r="J115"/>
        </row>
        <row r="116">
          <cell r="A116"/>
          <cell r="B116"/>
          <cell r="C116"/>
          <cell r="D116"/>
          <cell r="E116"/>
          <cell r="F116"/>
          <cell r="G116"/>
          <cell r="H116"/>
          <cell r="I116"/>
          <cell r="J116"/>
        </row>
      </sheetData>
      <sheetData sheetId="1"/>
      <sheetData sheetId="2">
        <row r="9">
          <cell r="A9" t="str">
            <v>Ludlow</v>
          </cell>
          <cell r="C9">
            <v>26.316000000000003</v>
          </cell>
        </row>
        <row r="10">
          <cell r="A10" t="str">
            <v>Jacksonville</v>
          </cell>
          <cell r="C10">
            <v>28.524250000000002</v>
          </cell>
        </row>
        <row r="11">
          <cell r="A11" t="str">
            <v>Northfield</v>
          </cell>
          <cell r="C11">
            <v>30.442000000000004</v>
          </cell>
        </row>
        <row r="12">
          <cell r="A12" t="str">
            <v>Orleans</v>
          </cell>
          <cell r="C12">
            <v>31.747000000000003</v>
          </cell>
        </row>
        <row r="13">
          <cell r="A13" t="str">
            <v>Swanton</v>
          </cell>
          <cell r="C13">
            <v>33.491999999999997</v>
          </cell>
        </row>
        <row r="14">
          <cell r="A14" t="str">
            <v>Morrisville</v>
          </cell>
          <cell r="C14">
            <v>34.743999999999993</v>
          </cell>
        </row>
        <row r="15">
          <cell r="A15" t="str">
            <v>Lyndonville</v>
          </cell>
          <cell r="C15">
            <v>35.866499999999995</v>
          </cell>
        </row>
        <row r="16">
          <cell r="A16" t="str">
            <v>Enosburg Falls</v>
          </cell>
          <cell r="C16">
            <v>35.917999999999999</v>
          </cell>
        </row>
        <row r="17">
          <cell r="A17" t="str">
            <v>Burlington Electric</v>
          </cell>
          <cell r="C17">
            <v>36.761477999999997</v>
          </cell>
        </row>
        <row r="18">
          <cell r="A18" t="str">
            <v>Hardwick</v>
          </cell>
          <cell r="C18">
            <v>38.375999999999998</v>
          </cell>
        </row>
        <row r="19">
          <cell r="A19" t="str">
            <v>Johnson</v>
          </cell>
          <cell r="C19">
            <v>41.235999999999997</v>
          </cell>
        </row>
        <row r="20">
          <cell r="A20" t="str">
            <v>Barton</v>
          </cell>
          <cell r="C20">
            <v>41.324999999999996</v>
          </cell>
        </row>
        <row r="21">
          <cell r="A21" t="str">
            <v>Stowe</v>
          </cell>
          <cell r="C21">
            <v>44.411200000000001</v>
          </cell>
        </row>
        <row r="22">
          <cell r="A22" t="str">
            <v>Vermont Electric Cooperative</v>
          </cell>
          <cell r="C22">
            <v>47.380999999999993</v>
          </cell>
        </row>
        <row r="23">
          <cell r="A23" t="str">
            <v>Green Mountain Power</v>
          </cell>
          <cell r="C23">
            <v>53.340583333333328</v>
          </cell>
        </row>
        <row r="24">
          <cell r="A24" t="str">
            <v>Washington Electric Cooperative</v>
          </cell>
          <cell r="C24">
            <v>55.321999999999996</v>
          </cell>
        </row>
      </sheetData>
      <sheetData sheetId="3">
        <row r="12">
          <cell r="A12" t="str">
            <v>Northfield</v>
          </cell>
          <cell r="B12"/>
          <cell r="C12">
            <v>60.228000000000002</v>
          </cell>
        </row>
        <row r="13">
          <cell r="A13" t="str">
            <v>Morrisville</v>
          </cell>
          <cell r="B13"/>
          <cell r="C13">
            <v>67.835999999999999</v>
          </cell>
        </row>
        <row r="14">
          <cell r="A14" t="str">
            <v>Jacksonville</v>
          </cell>
          <cell r="B14"/>
          <cell r="C14">
            <v>68.078249999999997</v>
          </cell>
        </row>
        <row r="15">
          <cell r="A15" t="str">
            <v>Lyndonville</v>
          </cell>
          <cell r="B15"/>
          <cell r="C15">
            <v>68.148499999999999</v>
          </cell>
        </row>
        <row r="16">
          <cell r="A16" t="str">
            <v>Burlington Electric</v>
          </cell>
          <cell r="B16"/>
          <cell r="C16">
            <v>69.131658000000002</v>
          </cell>
        </row>
        <row r="17">
          <cell r="A17" t="str">
            <v>Enosburg Falls</v>
          </cell>
          <cell r="B17"/>
          <cell r="C17">
            <v>71.805999999999997</v>
          </cell>
        </row>
        <row r="18">
          <cell r="A18" t="str">
            <v>Johnson</v>
          </cell>
          <cell r="B18"/>
          <cell r="C18">
            <v>76.012</v>
          </cell>
        </row>
        <row r="19">
          <cell r="A19" t="str">
            <v>Hardwick</v>
          </cell>
          <cell r="B19"/>
          <cell r="C19">
            <v>76.522000000000006</v>
          </cell>
        </row>
        <row r="20">
          <cell r="A20" t="str">
            <v>Stowe</v>
          </cell>
          <cell r="B20"/>
          <cell r="C20">
            <v>80.747199999999992</v>
          </cell>
        </row>
        <row r="21">
          <cell r="A21" t="str">
            <v>Barton</v>
          </cell>
          <cell r="B21"/>
          <cell r="C21">
            <v>82.486999999999995</v>
          </cell>
        </row>
        <row r="22">
          <cell r="A22" t="str">
            <v>Vermont Electric Cooperative</v>
          </cell>
          <cell r="B22"/>
          <cell r="C22">
            <v>86.154999999999987</v>
          </cell>
        </row>
        <row r="23">
          <cell r="A23" t="str">
            <v>Green Mountain Power</v>
          </cell>
          <cell r="B23"/>
          <cell r="C23">
            <v>91.016583333333315</v>
          </cell>
        </row>
        <row r="24">
          <cell r="A24" t="str">
            <v>Washington Electric Cooperative</v>
          </cell>
          <cell r="B24"/>
          <cell r="C24">
            <v>102.13799999999999</v>
          </cell>
        </row>
        <row r="25">
          <cell r="A25"/>
          <cell r="B25"/>
        </row>
        <row r="26">
          <cell r="A26"/>
          <cell r="B26"/>
        </row>
      </sheetData>
      <sheetData sheetId="4">
        <row r="9">
          <cell r="A9" t="str">
            <v>Ludlow</v>
          </cell>
          <cell r="C9">
            <v>78.228000000000009</v>
          </cell>
        </row>
        <row r="10">
          <cell r="A10" t="str">
            <v>Orleans</v>
          </cell>
          <cell r="C10">
            <v>84.231000000000009</v>
          </cell>
        </row>
        <row r="11">
          <cell r="A11" t="str">
            <v>Swanton</v>
          </cell>
          <cell r="C11">
            <v>86.775999999999996</v>
          </cell>
        </row>
        <row r="12">
          <cell r="A12" t="str">
            <v>Northfield</v>
          </cell>
          <cell r="C12">
            <v>90.01400000000001</v>
          </cell>
        </row>
        <row r="13">
          <cell r="A13" t="str">
            <v>Lyndonville</v>
          </cell>
          <cell r="C13">
            <v>100.43049999999999</v>
          </cell>
        </row>
        <row r="14">
          <cell r="A14" t="str">
            <v>Morrisville</v>
          </cell>
          <cell r="C14">
            <v>100.92799999999998</v>
          </cell>
        </row>
        <row r="15">
          <cell r="A15" t="str">
            <v>Burlington Electric</v>
          </cell>
          <cell r="C15">
            <v>101.50183800000001</v>
          </cell>
        </row>
        <row r="16">
          <cell r="A16" t="str">
            <v>Jacksonville</v>
          </cell>
          <cell r="C16">
            <v>107.63225</v>
          </cell>
        </row>
        <row r="17">
          <cell r="A17" t="str">
            <v>Enosburg Falls</v>
          </cell>
          <cell r="C17">
            <v>107.69399999999999</v>
          </cell>
        </row>
        <row r="18">
          <cell r="A18" t="str">
            <v>Johnson</v>
          </cell>
          <cell r="C18">
            <v>110.788</v>
          </cell>
        </row>
        <row r="19">
          <cell r="A19" t="str">
            <v>Hardwick</v>
          </cell>
          <cell r="C19">
            <v>114.66800000000002</v>
          </cell>
        </row>
        <row r="20">
          <cell r="A20" t="str">
            <v>Stowe</v>
          </cell>
          <cell r="C20">
            <v>117.08320000000001</v>
          </cell>
        </row>
        <row r="21">
          <cell r="A21" t="str">
            <v>Barton</v>
          </cell>
          <cell r="C21">
            <v>123.64899999999999</v>
          </cell>
        </row>
        <row r="22">
          <cell r="A22" t="str">
            <v>Vermont Electric Cooperative</v>
          </cell>
          <cell r="C22">
            <v>124.929</v>
          </cell>
        </row>
        <row r="23">
          <cell r="A23" t="str">
            <v>Green Mountain Power</v>
          </cell>
          <cell r="C23">
            <v>128.69258333333335</v>
          </cell>
        </row>
        <row r="24">
          <cell r="A24" t="str">
            <v>Washington Electric Cooperative</v>
          </cell>
          <cell r="C24">
            <v>148.95400000000001</v>
          </cell>
        </row>
      </sheetData>
      <sheetData sheetId="5">
        <row r="12">
          <cell r="A12" t="str">
            <v>Northfield</v>
          </cell>
          <cell r="B12"/>
          <cell r="C12">
            <v>119.80000000000001</v>
          </cell>
        </row>
        <row r="13">
          <cell r="A13" t="str">
            <v>Lyndonville</v>
          </cell>
          <cell r="B13"/>
          <cell r="C13">
            <v>132.71250000000001</v>
          </cell>
        </row>
        <row r="14">
          <cell r="A14" t="str">
            <v>Burlington Electric</v>
          </cell>
          <cell r="B14"/>
          <cell r="C14">
            <v>133.872018</v>
          </cell>
        </row>
        <row r="15">
          <cell r="A15" t="str">
            <v>Morrisville</v>
          </cell>
          <cell r="B15"/>
          <cell r="C15">
            <v>134.01999999999998</v>
          </cell>
        </row>
        <row r="16">
          <cell r="A16" t="str">
            <v>Enosburg Falls</v>
          </cell>
          <cell r="B16"/>
          <cell r="C16">
            <v>143.58199999999997</v>
          </cell>
        </row>
        <row r="17">
          <cell r="A17" t="str">
            <v>Johnson</v>
          </cell>
          <cell r="B17"/>
          <cell r="C17">
            <v>145.56399999999999</v>
          </cell>
        </row>
        <row r="18">
          <cell r="A18" t="str">
            <v>Jacksonville</v>
          </cell>
          <cell r="B18"/>
          <cell r="C18">
            <v>147.18625</v>
          </cell>
        </row>
        <row r="19">
          <cell r="A19" t="str">
            <v>Hardwick</v>
          </cell>
          <cell r="B19"/>
          <cell r="C19">
            <v>152.81399999999999</v>
          </cell>
        </row>
        <row r="20">
          <cell r="A20" t="str">
            <v>Stowe</v>
          </cell>
          <cell r="B20"/>
          <cell r="C20">
            <v>153.41919999999999</v>
          </cell>
        </row>
        <row r="21">
          <cell r="A21" t="str">
            <v>Vermont Electric Cooperative</v>
          </cell>
          <cell r="B21"/>
          <cell r="C21">
            <v>163.703</v>
          </cell>
        </row>
        <row r="22">
          <cell r="A22" t="str">
            <v>Barton</v>
          </cell>
          <cell r="B22"/>
          <cell r="C22">
            <v>164.81100000000001</v>
          </cell>
        </row>
        <row r="23">
          <cell r="A23" t="str">
            <v>Green Mountain Power</v>
          </cell>
          <cell r="B23"/>
          <cell r="C23">
            <v>166.36858333333331</v>
          </cell>
        </row>
        <row r="24">
          <cell r="A24" t="str">
            <v>Washington Electric Cooperative</v>
          </cell>
          <cell r="B24"/>
          <cell r="C24">
            <v>195.76999999999998</v>
          </cell>
        </row>
        <row r="25">
          <cell r="A25"/>
          <cell r="B25"/>
          <cell r="C25"/>
        </row>
        <row r="26">
          <cell r="A26"/>
          <cell r="B26"/>
          <cell r="C26"/>
        </row>
      </sheetData>
      <sheetData sheetId="6">
        <row r="9">
          <cell r="A9" t="str">
            <v>Ludlow</v>
          </cell>
          <cell r="C9">
            <v>130.14000000000001</v>
          </cell>
        </row>
        <row r="10">
          <cell r="A10" t="str">
            <v>Orleans</v>
          </cell>
          <cell r="C10">
            <v>136.715</v>
          </cell>
        </row>
        <row r="11">
          <cell r="A11" t="str">
            <v>Swanton</v>
          </cell>
          <cell r="C11">
            <v>140.06</v>
          </cell>
        </row>
        <row r="12">
          <cell r="A12" t="str">
            <v>Northfield</v>
          </cell>
          <cell r="C12">
            <v>149.58599999999998</v>
          </cell>
        </row>
        <row r="13">
          <cell r="A13" t="str">
            <v>Lyndonville</v>
          </cell>
          <cell r="C13">
            <v>164.99449999999999</v>
          </cell>
        </row>
        <row r="14">
          <cell r="A14" t="str">
            <v>Burlington Electric</v>
          </cell>
          <cell r="C14">
            <v>166.24219799999997</v>
          </cell>
        </row>
        <row r="15">
          <cell r="A15" t="str">
            <v>Morrisville</v>
          </cell>
          <cell r="C15">
            <v>167.11199999999999</v>
          </cell>
        </row>
        <row r="16">
          <cell r="A16" t="str">
            <v>Enosburg Falls</v>
          </cell>
          <cell r="C16">
            <v>179.47</v>
          </cell>
        </row>
        <row r="17">
          <cell r="A17" t="str">
            <v>Johnson</v>
          </cell>
          <cell r="C17">
            <v>180.34</v>
          </cell>
        </row>
        <row r="18">
          <cell r="A18" t="str">
            <v>Jacksonville</v>
          </cell>
          <cell r="C18">
            <v>186.74025</v>
          </cell>
        </row>
        <row r="19">
          <cell r="A19" t="str">
            <v>Stowe</v>
          </cell>
          <cell r="C19">
            <v>189.7552</v>
          </cell>
        </row>
        <row r="20">
          <cell r="A20" t="str">
            <v>Hardwick</v>
          </cell>
          <cell r="C20">
            <v>190.96</v>
          </cell>
        </row>
        <row r="21">
          <cell r="A21" t="str">
            <v>Vermont Electric Cooperative</v>
          </cell>
          <cell r="C21">
            <v>202.47700000000003</v>
          </cell>
        </row>
        <row r="22">
          <cell r="A22" t="str">
            <v>Green Mountain Power</v>
          </cell>
          <cell r="C22">
            <v>204.04458333333332</v>
          </cell>
        </row>
        <row r="23">
          <cell r="A23" t="str">
            <v>Barton</v>
          </cell>
          <cell r="C23">
            <v>205.97300000000001</v>
          </cell>
        </row>
        <row r="24">
          <cell r="A24" t="str">
            <v>Washington Electric Cooperative</v>
          </cell>
          <cell r="C24">
            <v>242.58600000000001</v>
          </cell>
        </row>
      </sheetData>
      <sheetData sheetId="7">
        <row r="12">
          <cell r="A12" t="str">
            <v>Northfield</v>
          </cell>
          <cell r="B12"/>
          <cell r="C12">
            <v>224.05099999999999</v>
          </cell>
        </row>
        <row r="13">
          <cell r="A13" t="str">
            <v>Lyndonville</v>
          </cell>
          <cell r="B13"/>
          <cell r="C13">
            <v>245.6995</v>
          </cell>
        </row>
        <row r="14">
          <cell r="A14" t="str">
            <v>Burlington Electric</v>
          </cell>
          <cell r="B14"/>
          <cell r="C14">
            <v>247.16764799999999</v>
          </cell>
        </row>
        <row r="15">
          <cell r="A15" t="str">
            <v>Morrisville</v>
          </cell>
          <cell r="B15"/>
          <cell r="C15">
            <v>249.84199999999998</v>
          </cell>
        </row>
        <row r="16">
          <cell r="A16" t="str">
            <v>Johnson</v>
          </cell>
          <cell r="B16"/>
          <cell r="C16">
            <v>267.28000000000003</v>
          </cell>
        </row>
        <row r="17">
          <cell r="A17" t="str">
            <v>Enosburg Falls</v>
          </cell>
          <cell r="B17"/>
          <cell r="C17">
            <v>269.19</v>
          </cell>
        </row>
        <row r="18">
          <cell r="A18" t="str">
            <v>Stowe</v>
          </cell>
          <cell r="B18"/>
          <cell r="C18">
            <v>280.59520000000003</v>
          </cell>
        </row>
        <row r="19">
          <cell r="A19" t="str">
            <v>Jacksonville</v>
          </cell>
          <cell r="B19"/>
          <cell r="C19">
            <v>285.62524999999999</v>
          </cell>
        </row>
        <row r="20">
          <cell r="A20" t="str">
            <v>Hardwick</v>
          </cell>
          <cell r="B20"/>
          <cell r="C20">
            <v>286.32499999999999</v>
          </cell>
        </row>
        <row r="21">
          <cell r="A21" t="str">
            <v>Green Mountain Power</v>
          </cell>
          <cell r="B21"/>
          <cell r="C21">
            <v>298.23458333333332</v>
          </cell>
        </row>
        <row r="22">
          <cell r="A22" t="str">
            <v>Vermont Electric Cooperative</v>
          </cell>
          <cell r="B22"/>
          <cell r="C22">
            <v>299.41200000000003</v>
          </cell>
        </row>
        <row r="23">
          <cell r="A23" t="str">
            <v>Barton</v>
          </cell>
          <cell r="B23"/>
          <cell r="C23">
            <v>308.87799999999999</v>
          </cell>
        </row>
        <row r="24">
          <cell r="A24" t="str">
            <v>Washington Electric Cooperative</v>
          </cell>
          <cell r="B24"/>
          <cell r="C24">
            <v>359.62599999999998</v>
          </cell>
        </row>
        <row r="25">
          <cell r="A25"/>
          <cell r="B25"/>
          <cell r="C25"/>
        </row>
        <row r="26">
          <cell r="A26"/>
          <cell r="B26"/>
          <cell r="C26"/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PPSA Aggregate"/>
      <sheetName val="No. of Customers"/>
      <sheetName val="Barton Retail Sales"/>
      <sheetName val="Enosburg Retail Sales"/>
      <sheetName val="Hardwick Retail Sales"/>
      <sheetName val="Jacksonville Retail Sales"/>
      <sheetName val="Johnson Retail Sales"/>
      <sheetName val="Ludlow Retail Sales"/>
      <sheetName val="Lyndonville Retail Sales"/>
      <sheetName val="Morrisville Retail Sales"/>
      <sheetName val="Northfield Retail Sales"/>
      <sheetName val="Orleans Retail Sales"/>
      <sheetName val="Swanton Retail Sales"/>
    </sheetNames>
    <sheetDataSet>
      <sheetData sheetId="0" refreshError="1"/>
      <sheetData sheetId="1" refreshError="1">
        <row r="5">
          <cell r="C5">
            <v>2191.083333333333</v>
          </cell>
        </row>
        <row r="6">
          <cell r="C6">
            <v>1789.666666666667</v>
          </cell>
        </row>
        <row r="7">
          <cell r="C7">
            <v>4794</v>
          </cell>
        </row>
        <row r="8">
          <cell r="C8">
            <v>728.58333333333326</v>
          </cell>
        </row>
        <row r="9">
          <cell r="C9">
            <v>996</v>
          </cell>
        </row>
        <row r="10">
          <cell r="C10">
            <v>3693</v>
          </cell>
        </row>
        <row r="11">
          <cell r="C11">
            <v>5884.083333333333</v>
          </cell>
        </row>
        <row r="12">
          <cell r="C12">
            <v>4313</v>
          </cell>
        </row>
        <row r="13">
          <cell r="C13">
            <v>1865</v>
          </cell>
        </row>
        <row r="14">
          <cell r="C14">
            <v>671.41666666666674</v>
          </cell>
        </row>
        <row r="15">
          <cell r="C15">
            <v>3911.81</v>
          </cell>
        </row>
      </sheetData>
      <sheetData sheetId="2" refreshError="1">
        <row r="15">
          <cell r="B15">
            <v>10936635</v>
          </cell>
          <cell r="N15">
            <v>1977.5</v>
          </cell>
        </row>
      </sheetData>
      <sheetData sheetId="3" refreshError="1">
        <row r="15">
          <cell r="B15">
            <v>3779846.457635676</v>
          </cell>
          <cell r="C15">
            <v>10585812.124688823</v>
          </cell>
          <cell r="N15">
            <v>580.5</v>
          </cell>
          <cell r="O15">
            <v>989.08333333333337</v>
          </cell>
        </row>
      </sheetData>
      <sheetData sheetId="4" refreshError="1">
        <row r="15">
          <cell r="B15">
            <v>24869917</v>
          </cell>
          <cell r="N15">
            <v>4309</v>
          </cell>
        </row>
      </sheetData>
      <sheetData sheetId="5" refreshError="1">
        <row r="15">
          <cell r="B15">
            <v>3793058</v>
          </cell>
          <cell r="N15">
            <v>670.16666666666663</v>
          </cell>
        </row>
      </sheetData>
      <sheetData sheetId="6" refreshError="1">
        <row r="15">
          <cell r="B15">
            <v>5396836</v>
          </cell>
          <cell r="N15">
            <v>821</v>
          </cell>
        </row>
      </sheetData>
      <sheetData sheetId="7" refreshError="1">
        <row r="15">
          <cell r="B15">
            <v>17413340.079999998</v>
          </cell>
          <cell r="N15">
            <v>2975</v>
          </cell>
        </row>
      </sheetData>
      <sheetData sheetId="8" refreshError="1">
        <row r="15">
          <cell r="B15">
            <v>32753090</v>
          </cell>
          <cell r="N15">
            <v>4905.6666666666661</v>
          </cell>
        </row>
      </sheetData>
      <sheetData sheetId="9" refreshError="1">
        <row r="15">
          <cell r="B15">
            <v>23099459</v>
          </cell>
          <cell r="N15">
            <v>3644</v>
          </cell>
        </row>
      </sheetData>
      <sheetData sheetId="10" refreshError="1">
        <row r="15">
          <cell r="B15">
            <v>10594021</v>
          </cell>
          <cell r="N15">
            <v>1622</v>
          </cell>
        </row>
      </sheetData>
      <sheetData sheetId="11" refreshError="1">
        <row r="15">
          <cell r="B15">
            <v>4065215</v>
          </cell>
          <cell r="N15">
            <v>579.58333333333337</v>
          </cell>
        </row>
      </sheetData>
      <sheetData sheetId="12" refreshError="1">
        <row r="15">
          <cell r="B15">
            <v>25432493</v>
          </cell>
          <cell r="N15">
            <v>3319.24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Sarah Braese" id="{5047B628-B775-4A5A-93C5-4974FA5B2B36}" userId="S::sbraese@vppsa.com::363c7fb3-fe96-463c-bb20-1b68c58e83d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5" dT="2022-10-06T13:33:05.19" personId="{5047B628-B775-4A5A-93C5-4974FA5B2B36}" id="{5325EEB9-C41A-4F46-9247-5F44BF57352F}">
    <text>Sensitivity factor is different for each of VPPSA's member utilities.  Column F adjusted accordingly for each member utility.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5" dT="2022-10-06T13:33:05.19" personId="{5047B628-B775-4A5A-93C5-4974FA5B2B36}" id="{404E7326-19DA-48DD-9139-FBED0C125194}">
    <text>Sensitivity factor is different for each of VPPSA's member utilities.  Column F adjusted accordingly for each member utility.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4" Type="http://schemas.microsoft.com/office/2017/10/relationships/threadedComment" Target="../threadedComments/threadedComment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7CC92-062C-4F99-BFA7-177AA549E14B}">
  <dimension ref="B3:B12"/>
  <sheetViews>
    <sheetView workbookViewId="0">
      <selection activeCell="A6" sqref="A6:XFD6"/>
    </sheetView>
  </sheetViews>
  <sheetFormatPr defaultRowHeight="14.5"/>
  <cols>
    <col min="2" max="2" width="97.7265625" customWidth="1"/>
  </cols>
  <sheetData>
    <row r="3" spans="2:2" ht="29">
      <c r="B3" s="92" t="s">
        <v>67</v>
      </c>
    </row>
    <row r="5" spans="2:2">
      <c r="B5" t="s">
        <v>74</v>
      </c>
    </row>
    <row r="6" spans="2:2" ht="63" customHeight="1">
      <c r="B6" s="92" t="s">
        <v>78</v>
      </c>
    </row>
    <row r="7" spans="2:2" ht="18.649999999999999" customHeight="1">
      <c r="B7" s="92"/>
    </row>
    <row r="8" spans="2:2" ht="43.25" customHeight="1">
      <c r="B8" s="104" t="s">
        <v>75</v>
      </c>
    </row>
    <row r="10" spans="2:2" ht="86.5" customHeight="1">
      <c r="B10" s="92" t="s">
        <v>77</v>
      </c>
    </row>
    <row r="12" spans="2:2" ht="58">
      <c r="B12" s="92" t="s">
        <v>76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AAD55-BD2D-48C7-95B3-D4815D4F8289}">
  <dimension ref="A2:Z36"/>
  <sheetViews>
    <sheetView tabSelected="1" zoomScale="90" zoomScaleNormal="90" workbookViewId="0">
      <pane xSplit="8" topLeftCell="I1" activePane="topRight" state="frozen"/>
      <selection pane="topRight" activeCell="I8" sqref="I8"/>
    </sheetView>
  </sheetViews>
  <sheetFormatPr defaultRowHeight="14"/>
  <cols>
    <col min="1" max="1" width="10.1796875" style="148" bestFit="1" customWidth="1"/>
    <col min="2" max="2" width="25.90625" style="148" customWidth="1"/>
    <col min="3" max="3" width="12.26953125" style="148" bestFit="1" customWidth="1"/>
    <col min="4" max="4" width="13.36328125" style="148" bestFit="1" customWidth="1"/>
    <col min="5" max="5" width="11.36328125" style="148" bestFit="1" customWidth="1"/>
    <col min="6" max="6" width="14.54296875" style="151" bestFit="1" customWidth="1"/>
    <col min="7" max="7" width="14.54296875" style="148" customWidth="1"/>
    <col min="8" max="8" width="14.36328125" style="148" customWidth="1"/>
    <col min="9" max="9" width="12.26953125" style="148" customWidth="1"/>
    <col min="10" max="10" width="14.26953125" style="148" bestFit="1" customWidth="1"/>
    <col min="11" max="11" width="14.36328125" style="152" customWidth="1"/>
    <col min="12" max="12" width="9" style="152" bestFit="1" customWidth="1"/>
    <col min="13" max="13" width="15.453125" style="153" customWidth="1"/>
    <col min="14" max="14" width="11.26953125" style="148" hidden="1" customWidth="1"/>
    <col min="15" max="15" width="14.1796875" style="153" customWidth="1"/>
    <col min="16" max="16" width="19.08984375" style="148" customWidth="1"/>
    <col min="17" max="17" width="17.7265625" style="148" customWidth="1"/>
    <col min="18" max="18" width="4.453125" style="154" customWidth="1"/>
    <col min="19" max="19" width="14.26953125" style="148" bestFit="1" customWidth="1"/>
    <col min="20" max="20" width="15.1796875" style="152" customWidth="1"/>
    <col min="21" max="21" width="9" style="152" bestFit="1" customWidth="1"/>
    <col min="22" max="22" width="15" style="153" customWidth="1"/>
    <col min="23" max="23" width="11.90625" style="148" hidden="1" customWidth="1"/>
    <col min="24" max="24" width="16.453125" style="153" bestFit="1" customWidth="1"/>
    <col min="25" max="25" width="16.90625" style="148" bestFit="1" customWidth="1"/>
    <col min="26" max="26" width="21.453125" style="148" customWidth="1"/>
    <col min="27" max="16384" width="8.7265625" style="148"/>
  </cols>
  <sheetData>
    <row r="2" spans="1:26">
      <c r="A2" s="147" t="s">
        <v>0</v>
      </c>
      <c r="D2" s="149"/>
      <c r="E2" s="150"/>
      <c r="G2" s="149"/>
    </row>
    <row r="3" spans="1:26">
      <c r="B3" s="148" t="s">
        <v>68</v>
      </c>
      <c r="C3" s="155">
        <v>0.3</v>
      </c>
      <c r="D3" s="156"/>
      <c r="E3" s="156"/>
      <c r="H3" s="153"/>
      <c r="J3" s="152"/>
      <c r="L3" s="148"/>
      <c r="M3" s="148"/>
      <c r="O3" s="148"/>
      <c r="S3" s="152"/>
      <c r="U3" s="148"/>
      <c r="V3" s="148"/>
      <c r="X3" s="148"/>
    </row>
    <row r="4" spans="1:26">
      <c r="B4" s="148" t="s">
        <v>69</v>
      </c>
      <c r="C4" s="330">
        <v>0.25</v>
      </c>
      <c r="D4" s="157">
        <v>0.125</v>
      </c>
      <c r="E4" s="158"/>
      <c r="H4" s="153"/>
      <c r="J4" s="152"/>
      <c r="L4" s="148"/>
      <c r="M4" s="148"/>
      <c r="O4" s="148"/>
      <c r="S4" s="152"/>
      <c r="U4" s="148"/>
      <c r="V4" s="148"/>
      <c r="X4" s="148"/>
    </row>
    <row r="5" spans="1:26" ht="28">
      <c r="B5" s="159" t="s">
        <v>70</v>
      </c>
      <c r="C5" s="160">
        <v>0</v>
      </c>
      <c r="H5" s="153"/>
      <c r="J5" s="152"/>
      <c r="L5" s="148"/>
      <c r="M5" s="148"/>
      <c r="O5" s="148"/>
      <c r="S5" s="152"/>
      <c r="U5" s="148"/>
      <c r="V5" s="148"/>
      <c r="X5" s="148"/>
    </row>
    <row r="6" spans="1:26" ht="14.5" thickBot="1">
      <c r="E6" s="152"/>
    </row>
    <row r="7" spans="1:26" ht="33.5" customHeight="1">
      <c r="A7" s="147" t="s">
        <v>1</v>
      </c>
      <c r="J7" s="344" t="s">
        <v>98</v>
      </c>
      <c r="K7" s="345"/>
      <c r="L7" s="345"/>
      <c r="M7" s="345"/>
      <c r="N7" s="345"/>
      <c r="O7" s="345"/>
      <c r="P7" s="345"/>
      <c r="Q7" s="346"/>
      <c r="R7" s="161"/>
      <c r="S7" s="342" t="s">
        <v>97</v>
      </c>
      <c r="T7" s="343"/>
      <c r="U7" s="343"/>
      <c r="V7" s="343"/>
      <c r="W7" s="343"/>
      <c r="X7" s="343"/>
      <c r="Y7" s="343"/>
      <c r="Z7" s="162"/>
    </row>
    <row r="8" spans="1:26" s="163" customFormat="1" ht="98">
      <c r="B8" s="163" t="s">
        <v>2</v>
      </c>
      <c r="C8" s="163" t="s">
        <v>81</v>
      </c>
      <c r="D8" s="163" t="s">
        <v>80</v>
      </c>
      <c r="E8" s="164" t="s">
        <v>9</v>
      </c>
      <c r="F8" s="165" t="s">
        <v>92</v>
      </c>
      <c r="G8" s="163" t="s">
        <v>93</v>
      </c>
      <c r="H8" s="166" t="s">
        <v>83</v>
      </c>
      <c r="I8" s="163" t="s">
        <v>103</v>
      </c>
      <c r="J8" s="317" t="s">
        <v>104</v>
      </c>
      <c r="K8" s="229" t="s">
        <v>87</v>
      </c>
      <c r="L8" s="229" t="s">
        <v>64</v>
      </c>
      <c r="M8" s="163" t="s">
        <v>18</v>
      </c>
      <c r="N8" s="163" t="s">
        <v>99</v>
      </c>
      <c r="O8" s="163" t="s">
        <v>88</v>
      </c>
      <c r="P8" s="163" t="s">
        <v>133</v>
      </c>
      <c r="Q8" s="318" t="s">
        <v>89</v>
      </c>
      <c r="R8" s="167"/>
      <c r="S8" s="168" t="s">
        <v>90</v>
      </c>
      <c r="T8" s="229" t="s">
        <v>87</v>
      </c>
      <c r="U8" s="229" t="s">
        <v>64</v>
      </c>
      <c r="V8" s="163" t="s">
        <v>18</v>
      </c>
      <c r="W8" s="163" t="s">
        <v>100</v>
      </c>
      <c r="X8" s="163" t="s">
        <v>88</v>
      </c>
      <c r="Y8" s="163" t="s">
        <v>132</v>
      </c>
      <c r="Z8" s="169" t="s">
        <v>89</v>
      </c>
    </row>
    <row r="9" spans="1:26" ht="14.5">
      <c r="B9" s="148" t="s">
        <v>3</v>
      </c>
      <c r="C9" s="170">
        <f>'Raw data'!G7</f>
        <v>269867</v>
      </c>
      <c r="D9" s="196">
        <f>'Raw data'!G8</f>
        <v>224519</v>
      </c>
      <c r="E9" s="171">
        <f>'PUC Data Model'!G9</f>
        <v>49211.838000000003</v>
      </c>
      <c r="F9" s="202">
        <v>0.221</v>
      </c>
      <c r="G9" s="203">
        <f>E9/C9</f>
        <v>0.18235589382918255</v>
      </c>
      <c r="H9" s="204" t="s">
        <v>91</v>
      </c>
      <c r="I9" s="172">
        <f>RANKINGS!G10</f>
        <v>128.69258333333335</v>
      </c>
      <c r="J9" s="319">
        <f>((I9*C4)*12)*(E9*C3)</f>
        <v>5699878.7065213509</v>
      </c>
      <c r="K9" s="173">
        <f>(J9/C9)/12</f>
        <v>1.7600888297202422</v>
      </c>
      <c r="L9" s="174">
        <f>K9/I9</f>
        <v>1.367669203718869E-2</v>
      </c>
      <c r="M9" s="175">
        <f>-(I9+K9)*0.25</f>
        <v>-32.613168040763398</v>
      </c>
      <c r="N9" s="176">
        <f>(I9-I9)/I9</f>
        <v>0</v>
      </c>
      <c r="O9" s="175">
        <f>(I9+K9)*12</f>
        <v>1565.4320659566431</v>
      </c>
      <c r="P9" s="177">
        <f>((-M9*(E9*$C$3))*12)</f>
        <v>5777834.1922397725</v>
      </c>
      <c r="Q9" s="320">
        <f>J9-P9</f>
        <v>-77955.485718421638</v>
      </c>
      <c r="R9" s="175"/>
      <c r="S9" s="178">
        <f>(E9*$C$3)*(I9*$D$4*12)</f>
        <v>2849939.3532606754</v>
      </c>
      <c r="T9" s="173">
        <f>(S9/C9)/12</f>
        <v>0.88004441486012108</v>
      </c>
      <c r="U9" s="174">
        <f>T9/I9</f>
        <v>6.8383460185943452E-3</v>
      </c>
      <c r="V9" s="175">
        <f>-(I9+T9)*D4</f>
        <v>-16.196578468524184</v>
      </c>
      <c r="W9" s="179">
        <f>(I9-I12)/I12</f>
        <v>0.2678842656359911</v>
      </c>
      <c r="X9" s="175">
        <f>(I9+T9)*12</f>
        <v>1554.8715329783217</v>
      </c>
      <c r="Y9" s="177">
        <f>((-V9*(E9*$C$3))*12)</f>
        <v>2869428.2246902809</v>
      </c>
      <c r="Z9" s="180">
        <f>S9-Y9</f>
        <v>-19488.87142960541</v>
      </c>
    </row>
    <row r="10" spans="1:26" ht="14.5">
      <c r="B10" s="148" t="s">
        <v>4</v>
      </c>
      <c r="C10" s="170">
        <f>'Raw data'!G11</f>
        <v>40254</v>
      </c>
      <c r="D10" s="196">
        <f>'Raw data'!G12</f>
        <v>35371</v>
      </c>
      <c r="E10" s="171">
        <f>'PUC Data Model'!G10</f>
        <v>7576.7719999999999</v>
      </c>
      <c r="F10" s="202">
        <v>0.217</v>
      </c>
      <c r="G10" s="203">
        <f t="shared" ref="G10:G14" si="0">E10/C10</f>
        <v>0.18822407711034927</v>
      </c>
      <c r="H10" s="204" t="s">
        <v>91</v>
      </c>
      <c r="I10" s="172">
        <f>RANKINGS!G21</f>
        <v>124.929</v>
      </c>
      <c r="J10" s="319">
        <f>(E10*$C$3)*(I10*$C$4*12)</f>
        <v>851902.69426919997</v>
      </c>
      <c r="K10" s="173">
        <f>(J10/C10)/12</f>
        <v>1.7635984296989118</v>
      </c>
      <c r="L10" s="174">
        <f>K10/I10</f>
        <v>1.4116805783276195E-2</v>
      </c>
      <c r="M10" s="175">
        <f>-(I10+K10)*0.25</f>
        <v>-31.67314960742473</v>
      </c>
      <c r="N10" s="176">
        <f>(I10-I9)/I9</f>
        <v>-2.9244757046993849E-2</v>
      </c>
      <c r="O10" s="175">
        <f>(I10+K10)*12</f>
        <v>1520.311181156387</v>
      </c>
      <c r="P10" s="177">
        <f>((-M10*(E10*$C$3))*12)</f>
        <v>863928.83915044786</v>
      </c>
      <c r="Q10" s="320">
        <f>J10-P10</f>
        <v>-12026.144881247892</v>
      </c>
      <c r="R10" s="175"/>
      <c r="S10" s="178">
        <f>(E10*$C$3)*(I10*$D$4*12)</f>
        <v>425951.34713459999</v>
      </c>
      <c r="T10" s="173">
        <f>(S10/C10)/12</f>
        <v>0.88179921484945589</v>
      </c>
      <c r="U10" s="174">
        <f>T10/I10</f>
        <v>7.0584028916380976E-3</v>
      </c>
      <c r="V10" s="175">
        <f>-(I10+T10)*D4</f>
        <v>-15.726349901856182</v>
      </c>
      <c r="W10" s="179">
        <f>(I10-I12)/I12</f>
        <v>0.23080529832376034</v>
      </c>
      <c r="X10" s="175">
        <f>(I10+T10)*12</f>
        <v>1509.7295905781934</v>
      </c>
      <c r="Y10" s="177">
        <f>((-V10*(E10*$C$3))*12)</f>
        <v>428957.88335491199</v>
      </c>
      <c r="Z10" s="180">
        <f>S10-Y10</f>
        <v>-3006.5362203120021</v>
      </c>
    </row>
    <row r="11" spans="1:26" ht="14.5">
      <c r="B11" s="148" t="s">
        <v>5</v>
      </c>
      <c r="C11" s="170">
        <f>'Raw data'!G15</f>
        <v>11791</v>
      </c>
      <c r="D11" s="196">
        <f>'Raw data'!G16</f>
        <v>11118</v>
      </c>
      <c r="E11" s="171">
        <f>'PUC Data Model'!G11</f>
        <v>2587.1263999999996</v>
      </c>
      <c r="F11" s="202">
        <v>0.23599999999999999</v>
      </c>
      <c r="G11" s="203">
        <f t="shared" si="0"/>
        <v>0.21941535069120513</v>
      </c>
      <c r="H11" s="204" t="s">
        <v>91</v>
      </c>
      <c r="I11" s="172">
        <f>RANKINGS!G22</f>
        <v>148.95400000000001</v>
      </c>
      <c r="J11" s="319">
        <f>(E11*$C$3)*(I11*$C$4*12)</f>
        <v>346826.54320704</v>
      </c>
      <c r="K11" s="173">
        <f>(J11/C11)/12</f>
        <v>2.4512095610143327</v>
      </c>
      <c r="L11" s="174">
        <f>K11/I11</f>
        <v>1.6456151301840385E-2</v>
      </c>
      <c r="M11" s="175">
        <f>-(I11+K11)*0.25</f>
        <v>-37.851302390253586</v>
      </c>
      <c r="N11" s="176">
        <f>(I11-I9)/I9</f>
        <v>0.15744043783926936</v>
      </c>
      <c r="O11" s="175">
        <f>(I11+K11)*12</f>
        <v>1816.8625147321723</v>
      </c>
      <c r="P11" s="177">
        <f>((-M11*(E11*$C$3))*12)</f>
        <v>352533.97327754932</v>
      </c>
      <c r="Q11" s="320">
        <f>J11-P11</f>
        <v>-5707.4300705093192</v>
      </c>
      <c r="R11" s="175"/>
      <c r="S11" s="178">
        <f>(E11*$C$3)*(I11*$D$4*12)</f>
        <v>173413.27160352</v>
      </c>
      <c r="T11" s="173">
        <f>(S11/C11)/12</f>
        <v>1.2256047805071664</v>
      </c>
      <c r="U11" s="174">
        <f>T11/I11</f>
        <v>8.2280756509201924E-3</v>
      </c>
      <c r="V11" s="175">
        <f>-(I11+T11)*D4</f>
        <v>-18.772450597563395</v>
      </c>
      <c r="W11" s="179">
        <f>(I11-I12)/I12</f>
        <v>0.46750051954724209</v>
      </c>
      <c r="X11" s="175">
        <f>(I11+T11)*12</f>
        <v>1802.1552573660861</v>
      </c>
      <c r="Y11" s="177">
        <f>((-V11*(E11*$C$3))*12)</f>
        <v>174840.1291211473</v>
      </c>
      <c r="Z11" s="180">
        <f>S11-Y11</f>
        <v>-1426.8575176273007</v>
      </c>
    </row>
    <row r="12" spans="1:26" ht="14.5">
      <c r="B12" s="148" t="s">
        <v>6</v>
      </c>
      <c r="C12" s="170">
        <f>'Raw data'!G3</f>
        <v>21364</v>
      </c>
      <c r="D12" s="196">
        <f>'Raw data'!G4</f>
        <v>17350</v>
      </c>
      <c r="E12" s="171">
        <f>'PUC Data Model'!G12</f>
        <v>6794.8690000000006</v>
      </c>
      <c r="F12" s="202">
        <v>0.39500000000000002</v>
      </c>
      <c r="G12" s="203">
        <f t="shared" si="0"/>
        <v>0.31805228421643889</v>
      </c>
      <c r="H12" s="204" t="s">
        <v>91</v>
      </c>
      <c r="I12" s="208">
        <f>RANKINGS!G8</f>
        <v>101.50183800000001</v>
      </c>
      <c r="J12" s="319">
        <f>(E12*$C$3)*(I12*$C$4*12)</f>
        <v>620722.52322229987</v>
      </c>
      <c r="K12" s="173">
        <f>(J12/C12)/12</f>
        <v>2.4212168571050205</v>
      </c>
      <c r="L12" s="174">
        <f>K12/I12</f>
        <v>2.3853921316232918E-2</v>
      </c>
      <c r="M12" s="175">
        <f>-(I12+K12)*0.25</f>
        <v>-25.980763714276257</v>
      </c>
      <c r="N12" s="176">
        <f>(I12-I9)/I9</f>
        <v>-0.21128447832075278</v>
      </c>
      <c r="O12" s="175">
        <f>(I12+K12)*12</f>
        <v>1247.0766582852602</v>
      </c>
      <c r="P12" s="177">
        <f>((-M12*(E12*$C$3))*12)</f>
        <v>635529.18945045816</v>
      </c>
      <c r="Q12" s="320">
        <f>J12-P12</f>
        <v>-14806.666228158283</v>
      </c>
      <c r="R12" s="175"/>
      <c r="S12" s="178">
        <f>(E12*$C$3)*(I12*$D$4*12)</f>
        <v>310361.26161114994</v>
      </c>
      <c r="T12" s="173">
        <f>(S12/C12)/12</f>
        <v>1.2106084285525103</v>
      </c>
      <c r="U12" s="174">
        <f>T12/I12</f>
        <v>1.1926960658116459E-2</v>
      </c>
      <c r="V12" s="175">
        <f>-(I12+T12)*D4</f>
        <v>-12.839055803569064</v>
      </c>
      <c r="W12" s="203">
        <f>(I12-I12)/I12</f>
        <v>0</v>
      </c>
      <c r="X12" s="175">
        <f>(I12+T12)*12</f>
        <v>1232.54935714263</v>
      </c>
      <c r="Y12" s="177">
        <f>((-V12*(E12*$C$3))*12)</f>
        <v>314062.92816818948</v>
      </c>
      <c r="Z12" s="180">
        <f>S12-Y12</f>
        <v>-3701.6665570395417</v>
      </c>
    </row>
    <row r="13" spans="1:26" ht="14.5">
      <c r="B13" s="148" t="s">
        <v>7</v>
      </c>
      <c r="C13" s="170">
        <f>'Raw data'!G19</f>
        <v>4358</v>
      </c>
      <c r="D13" s="196">
        <f>'Raw data'!G20</f>
        <v>3537</v>
      </c>
      <c r="E13" s="171">
        <f>'PUC Data Model'!G13</f>
        <v>884.07040000000006</v>
      </c>
      <c r="F13" s="202">
        <v>0.25600000000000001</v>
      </c>
      <c r="G13" s="203">
        <f t="shared" si="0"/>
        <v>0.20286149609912804</v>
      </c>
      <c r="H13" s="204" t="s">
        <v>91</v>
      </c>
      <c r="I13" s="208">
        <f>RANKINGS!G19</f>
        <v>117.08320000000001</v>
      </c>
      <c r="J13" s="319">
        <f>(E13*$C$3)*(I13*$C$4*12)</f>
        <v>93158.812311551985</v>
      </c>
      <c r="K13" s="173">
        <f>(J13/C13)/12</f>
        <v>1.7813754840055067</v>
      </c>
      <c r="L13" s="174">
        <f>K13/I13</f>
        <v>1.52146122074346E-2</v>
      </c>
      <c r="M13" s="175">
        <f>-(I13+K13)*0.25</f>
        <v>-29.716143871001378</v>
      </c>
      <c r="N13" s="176">
        <f>(I13-I9)/I9</f>
        <v>-9.0210197298342162E-2</v>
      </c>
      <c r="O13" s="175">
        <f>(I13+K13)*12</f>
        <v>1426.3749058080662</v>
      </c>
      <c r="P13" s="177">
        <f>((-M13*(E13*$C$3))*12)</f>
        <v>94576.187514577439</v>
      </c>
      <c r="Q13" s="320">
        <f>J13-P13</f>
        <v>-1417.3752030254545</v>
      </c>
      <c r="R13" s="175"/>
      <c r="S13" s="178">
        <f>(E13*$C$3)*(I13*$D$4*12)</f>
        <v>46579.406155775992</v>
      </c>
      <c r="T13" s="173">
        <f>(S13/C13)/12</f>
        <v>0.89068774200275336</v>
      </c>
      <c r="U13" s="174">
        <f>T13/I13</f>
        <v>7.6073061037172998E-3</v>
      </c>
      <c r="V13" s="175">
        <f>-(I13+T13)*D4</f>
        <v>-14.746735967750345</v>
      </c>
      <c r="W13" s="203">
        <f>(I13-I12)/I12</f>
        <v>0.1535081758815047</v>
      </c>
      <c r="X13" s="175">
        <f>(I13+T13)*12</f>
        <v>1415.6866529040331</v>
      </c>
      <c r="Y13" s="177">
        <f>((-V13*(E13*$C$3))*12)</f>
        <v>46933.749956532367</v>
      </c>
      <c r="Z13" s="180">
        <f>S13-Y13</f>
        <v>-354.34380075637455</v>
      </c>
    </row>
    <row r="14" spans="1:26" ht="14.5">
      <c r="B14" s="148" t="s">
        <v>8</v>
      </c>
      <c r="C14" s="170">
        <f>'Raw data'!G23</f>
        <v>1388</v>
      </c>
      <c r="D14" s="196">
        <f>'Raw data'!G24</f>
        <v>1227</v>
      </c>
      <c r="E14" s="171">
        <f>'PUC Data Model'!G14</f>
        <v>246.49959999999996</v>
      </c>
      <c r="F14" s="202">
        <v>0.20599999999999999</v>
      </c>
      <c r="G14" s="203">
        <f t="shared" si="0"/>
        <v>0.17759337175792503</v>
      </c>
      <c r="H14" s="204" t="s">
        <v>91</v>
      </c>
      <c r="I14" s="209" t="s">
        <v>101</v>
      </c>
      <c r="J14" s="319" t="s">
        <v>102</v>
      </c>
      <c r="K14" s="173" t="s">
        <v>102</v>
      </c>
      <c r="L14" s="174" t="s">
        <v>102</v>
      </c>
      <c r="M14" s="175" t="s">
        <v>102</v>
      </c>
      <c r="N14" s="176" t="s">
        <v>102</v>
      </c>
      <c r="O14" s="175" t="s">
        <v>102</v>
      </c>
      <c r="P14" s="177" t="s">
        <v>102</v>
      </c>
      <c r="Q14" s="320" t="s">
        <v>102</v>
      </c>
      <c r="R14" s="175"/>
      <c r="S14" s="178" t="s">
        <v>102</v>
      </c>
      <c r="T14" s="173" t="s">
        <v>102</v>
      </c>
      <c r="U14" s="174" t="s">
        <v>102</v>
      </c>
      <c r="V14" s="175" t="s">
        <v>102</v>
      </c>
      <c r="W14" s="203" t="s">
        <v>102</v>
      </c>
      <c r="X14" s="175" t="s">
        <v>102</v>
      </c>
      <c r="Y14" s="177" t="s">
        <v>102</v>
      </c>
      <c r="Z14" s="180" t="s">
        <v>102</v>
      </c>
    </row>
    <row r="15" spans="1:26">
      <c r="B15" s="181" t="s">
        <v>44</v>
      </c>
      <c r="C15" s="170">
        <f>'[2]No. of Customers'!$C$5</f>
        <v>2191.083333333333</v>
      </c>
      <c r="D15" s="196">
        <f>'[2]Barton Retail Sales'!$N$15</f>
        <v>1977.5</v>
      </c>
      <c r="E15" s="171">
        <v>771</v>
      </c>
      <c r="F15" s="202">
        <f>E15/D15</f>
        <v>0.38988621997471556</v>
      </c>
      <c r="G15" s="203">
        <f>E15/C15</f>
        <v>0.35188072871106385</v>
      </c>
      <c r="H15" s="205">
        <f>('[2]Barton Retail Sales'!$B$15/'[2]Barton Retail Sales'!$N$15)/12</f>
        <v>460.87800252844499</v>
      </c>
      <c r="I15" s="208">
        <f>RANKINGS!G7</f>
        <v>123.64899999999999</v>
      </c>
      <c r="J15" s="319">
        <f t="shared" ref="J15:J25" si="1">(E15*$C$3)*(I15*$C$4*12)</f>
        <v>85800.041099999988</v>
      </c>
      <c r="K15" s="173">
        <f t="shared" ref="K15:K28" si="2">(J15/C15)/12</f>
        <v>3.2632275168295748</v>
      </c>
      <c r="L15" s="174">
        <f t="shared" ref="L15:L28" si="3">K15/I15</f>
        <v>2.639105465332979E-2</v>
      </c>
      <c r="M15" s="175">
        <f t="shared" ref="M15:M28" si="4">-(I15+K15)*0.25</f>
        <v>-31.72805687920739</v>
      </c>
      <c r="N15" s="212">
        <f>(I15-I9)/I9</f>
        <v>-3.919094016684483E-2</v>
      </c>
      <c r="O15" s="175">
        <f t="shared" ref="O15:O25" si="5">((I15+K15)*12)</f>
        <v>1522.9467302019548</v>
      </c>
      <c r="P15" s="175">
        <f t="shared" ref="P15:P25" si="6">((-M15*(E15*$C$3))*12)</f>
        <v>88064.394673928036</v>
      </c>
      <c r="Q15" s="320">
        <f t="shared" ref="Q15:Q28" si="7">J15-P15</f>
        <v>-2264.3535739280487</v>
      </c>
      <c r="R15" s="175"/>
      <c r="S15" s="178">
        <f t="shared" ref="S15:S25" si="8">(E15*$C$3)*(I15*$D$4*12)</f>
        <v>42900.020549999994</v>
      </c>
      <c r="T15" s="173">
        <f t="shared" ref="T15:T28" si="9">(S15/C15)/12</f>
        <v>1.6316137584147874</v>
      </c>
      <c r="U15" s="174">
        <f t="shared" ref="U15:U28" si="10">T15/I15</f>
        <v>1.3195527326664895E-2</v>
      </c>
      <c r="V15" s="175">
        <f>-(I15+T15)*D4</f>
        <v>-15.660076719801847</v>
      </c>
      <c r="W15" s="203">
        <f>(I15-I12)/I12</f>
        <v>0.218194689242967</v>
      </c>
      <c r="X15" s="175">
        <f t="shared" ref="X15:X28" si="11">(I15+T15)*12</f>
        <v>1503.3673651009772</v>
      </c>
      <c r="Y15" s="177">
        <f t="shared" ref="Y15:Y25" si="12">((-V15*(E15*$C$3))*12)</f>
        <v>43466.108943482002</v>
      </c>
      <c r="Z15" s="180">
        <f t="shared" ref="Z15:Z28" si="13">S15-Y15</f>
        <v>-566.08839348200854</v>
      </c>
    </row>
    <row r="16" spans="1:26">
      <c r="B16" s="181" t="s">
        <v>45</v>
      </c>
      <c r="C16" s="170">
        <f>'[2]No. of Customers'!$C$6</f>
        <v>1789.666666666667</v>
      </c>
      <c r="D16" s="196">
        <f>'[2]Enosburg Retail Sales'!$N$15+'[2]Enosburg Retail Sales'!$O$15</f>
        <v>1569.5833333333335</v>
      </c>
      <c r="E16" s="171">
        <v>358</v>
      </c>
      <c r="F16" s="202">
        <f t="shared" ref="F16:F25" si="14">E16/D16</f>
        <v>0.22808601008760285</v>
      </c>
      <c r="G16" s="203">
        <f t="shared" ref="G16:G25" si="15">E16/C16</f>
        <v>0.20003725088470847</v>
      </c>
      <c r="H16" s="205">
        <f>(('[2]Enosburg Retail Sales'!$B$15+'[2]Enosburg Retail Sales'!$C$15)/('[2]Enosburg Retail Sales'!$N$15+'[2]Enosburg Retail Sales'!$O$15))/12</f>
        <v>762.71083527074586</v>
      </c>
      <c r="I16" s="208">
        <f>RANKINGS!G9</f>
        <v>107.69399999999999</v>
      </c>
      <c r="J16" s="319">
        <f t="shared" si="1"/>
        <v>34699.006799999996</v>
      </c>
      <c r="K16" s="173">
        <f t="shared" si="2"/>
        <v>1.6157108772583344</v>
      </c>
      <c r="L16" s="174">
        <f t="shared" si="3"/>
        <v>1.5002793816353135E-2</v>
      </c>
      <c r="M16" s="175">
        <f t="shared" si="4"/>
        <v>-27.327427719314581</v>
      </c>
      <c r="N16" s="212">
        <f>(I16-I9)/I9</f>
        <v>-0.16316855866467328</v>
      </c>
      <c r="O16" s="175">
        <f t="shared" si="5"/>
        <v>1311.7165305270998</v>
      </c>
      <c r="P16" s="175">
        <f t="shared" si="6"/>
        <v>35219.58884465263</v>
      </c>
      <c r="Q16" s="320">
        <f t="shared" si="7"/>
        <v>-520.58204465263407</v>
      </c>
      <c r="R16" s="175"/>
      <c r="S16" s="178">
        <f t="shared" si="8"/>
        <v>17349.503399999998</v>
      </c>
      <c r="T16" s="173">
        <f t="shared" si="9"/>
        <v>0.8078554386291672</v>
      </c>
      <c r="U16" s="174">
        <f t="shared" si="10"/>
        <v>7.5013969081765674E-3</v>
      </c>
      <c r="V16" s="175">
        <f>-(I16+T16)*D4</f>
        <v>-13.562731929828644</v>
      </c>
      <c r="W16" s="203">
        <f>(I16-I12)/I12</f>
        <v>6.1005417458548698E-2</v>
      </c>
      <c r="X16" s="175">
        <f t="shared" si="11"/>
        <v>1302.0222652635498</v>
      </c>
      <c r="Y16" s="177">
        <f t="shared" si="12"/>
        <v>17479.648911163156</v>
      </c>
      <c r="Z16" s="180">
        <f t="shared" si="13"/>
        <v>-130.14551116315852</v>
      </c>
    </row>
    <row r="17" spans="1:26">
      <c r="B17" s="181" t="s">
        <v>46</v>
      </c>
      <c r="C17" s="170">
        <f>'[2]No. of Customers'!$C$7</f>
        <v>4794</v>
      </c>
      <c r="D17" s="196">
        <v>3930</v>
      </c>
      <c r="E17" s="171">
        <v>945</v>
      </c>
      <c r="F17" s="202">
        <f t="shared" si="14"/>
        <v>0.24045801526717558</v>
      </c>
      <c r="G17" s="203">
        <f t="shared" si="15"/>
        <v>0.19712140175219023</v>
      </c>
      <c r="H17" s="205">
        <f>('[2]Hardwick Retail Sales'!$B$15/'[2]Hardwick Retail Sales'!$N$15)/12</f>
        <v>480.96845749207085</v>
      </c>
      <c r="I17" s="208">
        <f>RANKINGS!G11</f>
        <v>114.66800000000002</v>
      </c>
      <c r="J17" s="319">
        <f t="shared" si="1"/>
        <v>97525.13400000002</v>
      </c>
      <c r="K17" s="173">
        <f t="shared" si="2"/>
        <v>1.6952637672090116</v>
      </c>
      <c r="L17" s="174">
        <f t="shared" si="3"/>
        <v>1.4784105131414269E-2</v>
      </c>
      <c r="M17" s="175">
        <f t="shared" si="4"/>
        <v>-29.090815941802258</v>
      </c>
      <c r="N17" s="212">
        <f>(I17-I9)/I9</f>
        <v>-0.10897740157261063</v>
      </c>
      <c r="O17" s="175">
        <f t="shared" si="5"/>
        <v>1396.3591652065084</v>
      </c>
      <c r="P17" s="175">
        <f t="shared" si="6"/>
        <v>98966.955834011285</v>
      </c>
      <c r="Q17" s="320">
        <f t="shared" si="7"/>
        <v>-1441.8218340112653</v>
      </c>
      <c r="R17" s="175"/>
      <c r="S17" s="178">
        <f t="shared" si="8"/>
        <v>48762.56700000001</v>
      </c>
      <c r="T17" s="173">
        <f t="shared" si="9"/>
        <v>0.84763188360450581</v>
      </c>
      <c r="U17" s="174">
        <f t="shared" si="10"/>
        <v>7.3920525657071344E-3</v>
      </c>
      <c r="V17" s="175">
        <f>-(I17+T17)*D4</f>
        <v>-14.439453985450566</v>
      </c>
      <c r="W17" s="203">
        <f>(I17-I12)/I12</f>
        <v>0.12971353287218321</v>
      </c>
      <c r="X17" s="175">
        <f t="shared" si="11"/>
        <v>1386.1875826032542</v>
      </c>
      <c r="Y17" s="177">
        <f t="shared" si="12"/>
        <v>49123.022458502826</v>
      </c>
      <c r="Z17" s="180">
        <f t="shared" si="13"/>
        <v>-360.45545850281633</v>
      </c>
    </row>
    <row r="18" spans="1:26">
      <c r="B18" s="181" t="s">
        <v>47</v>
      </c>
      <c r="C18" s="170">
        <f>'[2]No. of Customers'!$C$8</f>
        <v>728.58333333333326</v>
      </c>
      <c r="D18" s="196">
        <f>'[2]Jacksonville Retail Sales'!$N$15</f>
        <v>670.16666666666663</v>
      </c>
      <c r="E18" s="171">
        <v>190</v>
      </c>
      <c r="F18" s="202">
        <f t="shared" si="14"/>
        <v>0.28351156428749069</v>
      </c>
      <c r="G18" s="203">
        <f t="shared" si="15"/>
        <v>0.26078005261351939</v>
      </c>
      <c r="H18" s="205">
        <f>('[2]Jacksonville Retail Sales'!$B$15/'[2]Jacksonville Retail Sales'!$N$15)/12</f>
        <v>471.65605570753547</v>
      </c>
      <c r="I18" s="208">
        <f>RANKINGS!G12</f>
        <v>107.63225</v>
      </c>
      <c r="J18" s="319">
        <f t="shared" si="1"/>
        <v>18405.114750000001</v>
      </c>
      <c r="K18" s="173">
        <f t="shared" si="2"/>
        <v>2.1051257863433608</v>
      </c>
      <c r="L18" s="174">
        <f t="shared" si="3"/>
        <v>1.9558503946013956E-2</v>
      </c>
      <c r="M18" s="175">
        <f t="shared" si="4"/>
        <v>-27.434343946585841</v>
      </c>
      <c r="N18" s="212">
        <f>(I18-I9)/I9</f>
        <v>-0.16364838429565037</v>
      </c>
      <c r="O18" s="175">
        <f t="shared" si="5"/>
        <v>1316.8485094361204</v>
      </c>
      <c r="P18" s="175">
        <f t="shared" si="6"/>
        <v>18765.091259464716</v>
      </c>
      <c r="Q18" s="320">
        <f t="shared" si="7"/>
        <v>-359.97650946471549</v>
      </c>
      <c r="R18" s="175"/>
      <c r="S18" s="178">
        <f t="shared" si="8"/>
        <v>9202.5573750000003</v>
      </c>
      <c r="T18" s="173">
        <f t="shared" si="9"/>
        <v>1.0525628931716804</v>
      </c>
      <c r="U18" s="174">
        <f t="shared" si="10"/>
        <v>9.779251973006978E-3</v>
      </c>
      <c r="V18" s="175">
        <f>-(I18+T18)*D4</f>
        <v>-13.58560161164646</v>
      </c>
      <c r="W18" s="203">
        <f>(I18-I12)/I12</f>
        <v>6.0397054090783976E-2</v>
      </c>
      <c r="X18" s="175">
        <f t="shared" si="11"/>
        <v>1304.2177547180602</v>
      </c>
      <c r="Y18" s="177">
        <f t="shared" si="12"/>
        <v>9292.5515023661792</v>
      </c>
      <c r="Z18" s="180">
        <f t="shared" si="13"/>
        <v>-89.994127366178873</v>
      </c>
    </row>
    <row r="19" spans="1:26">
      <c r="B19" s="181" t="s">
        <v>48</v>
      </c>
      <c r="C19" s="170">
        <f>'[2]No. of Customers'!$C$9</f>
        <v>996</v>
      </c>
      <c r="D19" s="196">
        <f>'[2]Johnson Retail Sales'!$N$15</f>
        <v>821</v>
      </c>
      <c r="E19" s="171">
        <v>263</v>
      </c>
      <c r="F19" s="202">
        <f t="shared" si="14"/>
        <v>0.32034104750304504</v>
      </c>
      <c r="G19" s="203">
        <f t="shared" si="15"/>
        <v>0.2640562248995984</v>
      </c>
      <c r="H19" s="205">
        <f>('[2]Johnson Retail Sales'!$B$15/'[2]Johnson Retail Sales'!$N$15)/12</f>
        <v>547.79090539991887</v>
      </c>
      <c r="I19" s="208">
        <f>RANKINGS!G13</f>
        <v>110.788</v>
      </c>
      <c r="J19" s="319">
        <f t="shared" si="1"/>
        <v>26223.519599999996</v>
      </c>
      <c r="K19" s="173">
        <f t="shared" si="2"/>
        <v>2.1940695783132527</v>
      </c>
      <c r="L19" s="174">
        <f t="shared" si="3"/>
        <v>1.9804216867469877E-2</v>
      </c>
      <c r="M19" s="175">
        <f t="shared" si="4"/>
        <v>-28.245517394578311</v>
      </c>
      <c r="N19" s="212">
        <f>(I19-I9)/I9</f>
        <v>-0.13912676915465871</v>
      </c>
      <c r="O19" s="175">
        <f t="shared" si="5"/>
        <v>1355.7848349397589</v>
      </c>
      <c r="P19" s="175">
        <f t="shared" si="6"/>
        <v>26742.855869186744</v>
      </c>
      <c r="Q19" s="320">
        <f t="shared" si="7"/>
        <v>-519.33626918674781</v>
      </c>
      <c r="R19" s="175"/>
      <c r="S19" s="178">
        <f t="shared" si="8"/>
        <v>13111.759799999998</v>
      </c>
      <c r="T19" s="173">
        <f t="shared" si="9"/>
        <v>1.0970347891566263</v>
      </c>
      <c r="U19" s="174">
        <f t="shared" si="10"/>
        <v>9.9021084337349383E-3</v>
      </c>
      <c r="V19" s="175">
        <f>-(I19+T19)*D4</f>
        <v>-13.985629348644578</v>
      </c>
      <c r="W19" s="203">
        <f>(I19-I12)/I12</f>
        <v>9.1487624096028577E-2</v>
      </c>
      <c r="X19" s="175">
        <f t="shared" si="11"/>
        <v>1342.6204174698794</v>
      </c>
      <c r="Y19" s="177">
        <f t="shared" si="12"/>
        <v>13241.593867296684</v>
      </c>
      <c r="Z19" s="180">
        <f t="shared" si="13"/>
        <v>-129.83406729668604</v>
      </c>
    </row>
    <row r="20" spans="1:26">
      <c r="A20" s="182"/>
      <c r="B20" s="181" t="s">
        <v>49</v>
      </c>
      <c r="C20" s="183">
        <f>'[2]No. of Customers'!$C$10</f>
        <v>3693</v>
      </c>
      <c r="D20" s="206">
        <f>'[2]Ludlow Retail Sales'!$N$15</f>
        <v>2975</v>
      </c>
      <c r="E20" s="171">
        <v>850</v>
      </c>
      <c r="F20" s="202">
        <f t="shared" si="14"/>
        <v>0.2857142857142857</v>
      </c>
      <c r="G20" s="203">
        <f t="shared" si="15"/>
        <v>0.23016517736257786</v>
      </c>
      <c r="H20" s="207">
        <f>('[2]Ludlow Retail Sales'!$B$15/'[2]Ludlow Retail Sales'!$N$15)/12</f>
        <v>487.7686296918767</v>
      </c>
      <c r="I20" s="210">
        <f>RANKINGS!G14</f>
        <v>78.228000000000009</v>
      </c>
      <c r="J20" s="319">
        <f t="shared" si="1"/>
        <v>59844.420000000006</v>
      </c>
      <c r="K20" s="173">
        <f t="shared" si="2"/>
        <v>1.3504021121039804</v>
      </c>
      <c r="L20" s="174">
        <f t="shared" si="3"/>
        <v>1.7262388302193336E-2</v>
      </c>
      <c r="M20" s="175">
        <f t="shared" si="4"/>
        <v>-19.894600528025997</v>
      </c>
      <c r="N20" s="212">
        <f>(I20-I9)/I9</f>
        <v>-0.39213280226586483</v>
      </c>
      <c r="O20" s="175">
        <f t="shared" si="5"/>
        <v>954.94082534524784</v>
      </c>
      <c r="P20" s="175">
        <f t="shared" si="6"/>
        <v>60877.477615759548</v>
      </c>
      <c r="Q20" s="320">
        <f t="shared" si="7"/>
        <v>-1033.0576157595424</v>
      </c>
      <c r="R20" s="175"/>
      <c r="S20" s="178">
        <f t="shared" si="8"/>
        <v>29922.210000000003</v>
      </c>
      <c r="T20" s="173">
        <f t="shared" si="9"/>
        <v>0.67520105605199021</v>
      </c>
      <c r="U20" s="174">
        <f t="shared" si="10"/>
        <v>8.6311941510966682E-3</v>
      </c>
      <c r="V20" s="175">
        <f>-(I20+T20)*D4</f>
        <v>-9.8629001320064997</v>
      </c>
      <c r="W20" s="203">
        <f>(I20-I12)/I12</f>
        <v>-0.22929474439664824</v>
      </c>
      <c r="X20" s="175">
        <f t="shared" si="11"/>
        <v>946.83841267262392</v>
      </c>
      <c r="Y20" s="177">
        <f t="shared" si="12"/>
        <v>30180.47440393989</v>
      </c>
      <c r="Z20" s="180">
        <f t="shared" si="13"/>
        <v>-258.26440393988742</v>
      </c>
    </row>
    <row r="21" spans="1:26">
      <c r="B21" s="181" t="s">
        <v>51</v>
      </c>
      <c r="C21" s="170">
        <f>'[2]No. of Customers'!$C$11</f>
        <v>5884.083333333333</v>
      </c>
      <c r="D21" s="196">
        <f>'[2]Lyndonville Retail Sales'!$N$15</f>
        <v>4905.6666666666661</v>
      </c>
      <c r="E21" s="171">
        <v>1423</v>
      </c>
      <c r="F21" s="202">
        <f>E21/D21</f>
        <v>0.29007270503499361</v>
      </c>
      <c r="G21" s="203">
        <f t="shared" si="15"/>
        <v>0.24183885906895722</v>
      </c>
      <c r="H21" s="205">
        <f>('[2]Lyndonville Retail Sales'!$B$15/'[2]Lyndonville Retail Sales'!$N$15)/12</f>
        <v>556.38190527960876</v>
      </c>
      <c r="I21" s="208">
        <f>RANKINGS!G15</f>
        <v>100.43049999999999</v>
      </c>
      <c r="J21" s="319">
        <f t="shared" si="1"/>
        <v>128621.34134999999</v>
      </c>
      <c r="K21" s="173">
        <f t="shared" si="2"/>
        <v>1.8215998151793682</v>
      </c>
      <c r="L21" s="174">
        <f t="shared" si="3"/>
        <v>1.8137914430171792E-2</v>
      </c>
      <c r="M21" s="175">
        <f t="shared" si="4"/>
        <v>-25.563024953794841</v>
      </c>
      <c r="N21" s="212">
        <f>(I21-I9)/I9</f>
        <v>-0.21960926264204567</v>
      </c>
      <c r="O21" s="175">
        <f t="shared" si="5"/>
        <v>1227.0251977821524</v>
      </c>
      <c r="P21" s="175">
        <f t="shared" si="6"/>
        <v>130954.2642333002</v>
      </c>
      <c r="Q21" s="320">
        <f t="shared" si="7"/>
        <v>-2332.9228833002126</v>
      </c>
      <c r="R21" s="175"/>
      <c r="S21" s="178">
        <f t="shared" si="8"/>
        <v>64310.670674999994</v>
      </c>
      <c r="T21" s="173">
        <f t="shared" si="9"/>
        <v>0.9107999075896841</v>
      </c>
      <c r="U21" s="174">
        <f t="shared" si="10"/>
        <v>9.068957215085896E-3</v>
      </c>
      <c r="V21" s="175">
        <f>-(I21+T21)*D4</f>
        <v>-12.667662488448709</v>
      </c>
      <c r="W21" s="203">
        <f>(I21-I12)/I12</f>
        <v>-1.0554863055780442E-2</v>
      </c>
      <c r="X21" s="175">
        <f t="shared" si="11"/>
        <v>1216.095598891076</v>
      </c>
      <c r="Y21" s="177">
        <f t="shared" si="12"/>
        <v>64893.901395825043</v>
      </c>
      <c r="Z21" s="180">
        <f t="shared" si="13"/>
        <v>-583.2307208250495</v>
      </c>
    </row>
    <row r="22" spans="1:26">
      <c r="B22" s="181" t="s">
        <v>52</v>
      </c>
      <c r="C22" s="170">
        <f>'[2]No. of Customers'!$C$12</f>
        <v>4313</v>
      </c>
      <c r="D22" s="196">
        <f>'[2]Morrisville Retail Sales'!$N$15</f>
        <v>3644</v>
      </c>
      <c r="E22" s="171">
        <v>893</v>
      </c>
      <c r="F22" s="202">
        <f t="shared" si="14"/>
        <v>0.24506037321624588</v>
      </c>
      <c r="G22" s="203">
        <f t="shared" si="15"/>
        <v>0.20704845814977973</v>
      </c>
      <c r="H22" s="205">
        <f>('[2]Morrisville Retail Sales'!$B$15/'[2]Morrisville Retail Sales'!$N$15)/12</f>
        <v>528.25327021587998</v>
      </c>
      <c r="I22" s="208">
        <f>RANKINGS!G16</f>
        <v>100.92799999999998</v>
      </c>
      <c r="J22" s="319">
        <f t="shared" si="1"/>
        <v>81115.833599999969</v>
      </c>
      <c r="K22" s="173">
        <f t="shared" si="2"/>
        <v>1.5672740088105721</v>
      </c>
      <c r="L22" s="174">
        <f t="shared" si="3"/>
        <v>1.5528634361233477E-2</v>
      </c>
      <c r="M22" s="175">
        <f t="shared" si="4"/>
        <v>-25.623818502202639</v>
      </c>
      <c r="N22" s="212">
        <f>(I22-I9)/I9</f>
        <v>-0.21574346099975997</v>
      </c>
      <c r="O22" s="175">
        <f t="shared" si="5"/>
        <v>1229.9432881057267</v>
      </c>
      <c r="P22" s="175">
        <f t="shared" si="6"/>
        <v>82375.451720881028</v>
      </c>
      <c r="Q22" s="320">
        <f t="shared" si="7"/>
        <v>-1259.6181208810594</v>
      </c>
      <c r="R22" s="175"/>
      <c r="S22" s="178">
        <f t="shared" si="8"/>
        <v>40557.916799999985</v>
      </c>
      <c r="T22" s="173">
        <f t="shared" si="9"/>
        <v>0.78363700440528605</v>
      </c>
      <c r="U22" s="174">
        <f t="shared" si="10"/>
        <v>7.7643171806167383E-3</v>
      </c>
      <c r="V22" s="175">
        <f>-(I22+T22)*D4</f>
        <v>-12.713954625550659</v>
      </c>
      <c r="W22" s="203">
        <f>(I22-I12)/I12</f>
        <v>-5.6534739794566417E-3</v>
      </c>
      <c r="X22" s="175">
        <f t="shared" si="11"/>
        <v>1220.5396440528634</v>
      </c>
      <c r="Y22" s="177">
        <f t="shared" si="12"/>
        <v>40872.821330220257</v>
      </c>
      <c r="Z22" s="180">
        <f t="shared" si="13"/>
        <v>-314.90453022027214</v>
      </c>
    </row>
    <row r="23" spans="1:26">
      <c r="B23" s="181" t="s">
        <v>53</v>
      </c>
      <c r="C23" s="170">
        <f>'[2]No. of Customers'!$C$13</f>
        <v>1865</v>
      </c>
      <c r="D23" s="196">
        <f>'[2]Northfield Retail Sales'!$N$15</f>
        <v>1622</v>
      </c>
      <c r="E23" s="171">
        <v>368</v>
      </c>
      <c r="F23" s="202">
        <f t="shared" si="14"/>
        <v>0.22688039457459927</v>
      </c>
      <c r="G23" s="203">
        <f t="shared" si="15"/>
        <v>0.19731903485254693</v>
      </c>
      <c r="H23" s="205">
        <f>('[2]Northfield Retail Sales'!$B$15/'[2]Northfield Retail Sales'!$N$15)/12</f>
        <v>544.28796752979861</v>
      </c>
      <c r="I23" s="208">
        <f>RANKINGS!G17</f>
        <v>90.01400000000001</v>
      </c>
      <c r="J23" s="319">
        <f t="shared" si="1"/>
        <v>29812.6368</v>
      </c>
      <c r="K23" s="173">
        <f t="shared" si="2"/>
        <v>1.3321106702412868</v>
      </c>
      <c r="L23" s="174">
        <f t="shared" si="3"/>
        <v>1.4798927613941016E-2</v>
      </c>
      <c r="M23" s="175">
        <f t="shared" si="4"/>
        <v>-22.836527667560325</v>
      </c>
      <c r="N23" s="212">
        <f>(I23-I9)/I9</f>
        <v>-0.30055021300761309</v>
      </c>
      <c r="O23" s="175">
        <f t="shared" si="5"/>
        <v>1096.1533280428957</v>
      </c>
      <c r="P23" s="175">
        <f t="shared" si="6"/>
        <v>30253.831853983917</v>
      </c>
      <c r="Q23" s="320">
        <f t="shared" si="7"/>
        <v>-441.1950539839163</v>
      </c>
      <c r="R23" s="175"/>
      <c r="S23" s="178">
        <f t="shared" si="8"/>
        <v>14906.3184</v>
      </c>
      <c r="T23" s="173">
        <f t="shared" si="9"/>
        <v>0.66605533512064341</v>
      </c>
      <c r="U23" s="174">
        <f t="shared" si="10"/>
        <v>7.399463806970508E-3</v>
      </c>
      <c r="V23" s="175">
        <f>-(I23+T23)*D4</f>
        <v>-11.335006916890082</v>
      </c>
      <c r="W23" s="203">
        <f>(I23-I12)/I12</f>
        <v>-0.11317862046990711</v>
      </c>
      <c r="X23" s="175">
        <f t="shared" si="11"/>
        <v>1088.1606640214479</v>
      </c>
      <c r="Y23" s="177">
        <f t="shared" si="12"/>
        <v>15016.617163495979</v>
      </c>
      <c r="Z23" s="180">
        <f t="shared" si="13"/>
        <v>-110.29876349597907</v>
      </c>
    </row>
    <row r="24" spans="1:26">
      <c r="B24" s="181" t="s">
        <v>54</v>
      </c>
      <c r="C24" s="170">
        <f>'[2]No. of Customers'!$C$14</f>
        <v>671.41666666666674</v>
      </c>
      <c r="D24" s="196">
        <f>'[2]Orleans Retail Sales'!$N$15</f>
        <v>579.58333333333337</v>
      </c>
      <c r="E24" s="171">
        <v>220</v>
      </c>
      <c r="F24" s="202">
        <f t="shared" si="14"/>
        <v>0.37958303378864122</v>
      </c>
      <c r="G24" s="203">
        <f t="shared" si="15"/>
        <v>0.3276653841380166</v>
      </c>
      <c r="H24" s="205">
        <f>('[2]Orleans Retail Sales'!$B$15/'[2]Orleans Retail Sales'!$N$15)/12</f>
        <v>584.50251617541335</v>
      </c>
      <c r="I24" s="208">
        <f>RANKINGS!G18</f>
        <v>84.231000000000009</v>
      </c>
      <c r="J24" s="319">
        <f t="shared" si="1"/>
        <v>16677.738000000001</v>
      </c>
      <c r="K24" s="173">
        <f t="shared" si="2"/>
        <v>2.0699687228496959</v>
      </c>
      <c r="L24" s="174">
        <f t="shared" si="3"/>
        <v>2.4574903810351243E-2</v>
      </c>
      <c r="M24" s="175">
        <f t="shared" si="4"/>
        <v>-21.575242180712426</v>
      </c>
      <c r="N24" s="212">
        <f>(I24-I9)/I9</f>
        <v>-0.34548675752487679</v>
      </c>
      <c r="O24" s="175">
        <f t="shared" si="5"/>
        <v>1035.6116246741965</v>
      </c>
      <c r="P24" s="175">
        <f t="shared" si="6"/>
        <v>17087.591807124241</v>
      </c>
      <c r="Q24" s="320">
        <f t="shared" si="7"/>
        <v>-409.85380712424012</v>
      </c>
      <c r="R24" s="175"/>
      <c r="S24" s="178">
        <f t="shared" si="8"/>
        <v>8338.8690000000006</v>
      </c>
      <c r="T24" s="173">
        <f t="shared" si="9"/>
        <v>1.034984361424848</v>
      </c>
      <c r="U24" s="174">
        <f t="shared" si="10"/>
        <v>1.2287451905175622E-2</v>
      </c>
      <c r="V24" s="175">
        <f>-(I24+T24)*D4</f>
        <v>-10.658248045178107</v>
      </c>
      <c r="W24" s="203">
        <f>(I24-I12)/I12</f>
        <v>-0.170152958215397</v>
      </c>
      <c r="X24" s="175">
        <f t="shared" si="11"/>
        <v>1023.1918123370983</v>
      </c>
      <c r="Y24" s="177">
        <f t="shared" si="12"/>
        <v>8441.3324517810597</v>
      </c>
      <c r="Z24" s="180">
        <f t="shared" si="13"/>
        <v>-102.46345178105912</v>
      </c>
    </row>
    <row r="25" spans="1:26" s="182" customFormat="1">
      <c r="B25" s="181" t="s">
        <v>55</v>
      </c>
      <c r="C25" s="183">
        <f>'[2]No. of Customers'!$C$15</f>
        <v>3911.81</v>
      </c>
      <c r="D25" s="206">
        <f>'[2]Swanton Retail Sales'!$N$15</f>
        <v>3319.24</v>
      </c>
      <c r="E25" s="171">
        <v>789</v>
      </c>
      <c r="F25" s="202">
        <f t="shared" si="14"/>
        <v>0.23770501681107725</v>
      </c>
      <c r="G25" s="203">
        <f t="shared" si="15"/>
        <v>0.20169691268236442</v>
      </c>
      <c r="H25" s="207">
        <f>('[2]Swanton Retail Sales'!$B$15/'[2]Swanton Retail Sales'!$N$15)/12</f>
        <v>638.5119535395653</v>
      </c>
      <c r="I25" s="210">
        <f>RANKINGS!G20</f>
        <v>86.775999999999996</v>
      </c>
      <c r="J25" s="319">
        <f t="shared" si="1"/>
        <v>61619.637599999995</v>
      </c>
      <c r="K25" s="173">
        <f t="shared" si="2"/>
        <v>1.312683847119364</v>
      </c>
      <c r="L25" s="174">
        <f t="shared" si="3"/>
        <v>1.5127268451177331E-2</v>
      </c>
      <c r="M25" s="175">
        <f t="shared" si="4"/>
        <v>-22.022170961779839</v>
      </c>
      <c r="N25" s="212">
        <f>(I25-I9)/I9</f>
        <v>-0.3257109481186109</v>
      </c>
      <c r="O25" s="238">
        <f t="shared" si="5"/>
        <v>1057.0642061654323</v>
      </c>
      <c r="P25" s="175">
        <f t="shared" si="6"/>
        <v>62551.774399839451</v>
      </c>
      <c r="Q25" s="320">
        <f t="shared" si="7"/>
        <v>-932.13679983945622</v>
      </c>
      <c r="R25" s="175"/>
      <c r="S25" s="178">
        <f t="shared" si="8"/>
        <v>30809.818799999997</v>
      </c>
      <c r="T25" s="173">
        <f t="shared" si="9"/>
        <v>0.65634192355968202</v>
      </c>
      <c r="U25" s="174">
        <f t="shared" si="10"/>
        <v>7.5636342255886654E-3</v>
      </c>
      <c r="V25" s="175">
        <f>-(I25+T25)*D4</f>
        <v>-10.929042740444959</v>
      </c>
      <c r="W25" s="239">
        <f>(I25-I12)/I12</f>
        <v>-0.14507952062897628</v>
      </c>
      <c r="X25" s="238">
        <f t="shared" si="11"/>
        <v>1049.1881030827162</v>
      </c>
      <c r="Y25" s="177">
        <f t="shared" si="12"/>
        <v>31042.852999959861</v>
      </c>
      <c r="Z25" s="180">
        <f t="shared" si="13"/>
        <v>-233.03419995986405</v>
      </c>
    </row>
    <row r="26" spans="1:26" s="184" customFormat="1">
      <c r="B26" s="185" t="s">
        <v>60</v>
      </c>
      <c r="C26" s="186">
        <f>SUM(C9:C25)</f>
        <v>379859.64333333331</v>
      </c>
      <c r="D26" s="186">
        <f>SUM(D9:D25)</f>
        <v>319135.74</v>
      </c>
      <c r="E26" s="187">
        <f>SUM(E9:E25)</f>
        <v>74371.175399999993</v>
      </c>
      <c r="F26" s="188">
        <f>AVERAGE(F9:F25)</f>
        <v>0.27401756860352189</v>
      </c>
      <c r="G26" s="189">
        <f>E26/C26</f>
        <v>0.19578593489790128</v>
      </c>
      <c r="H26" s="190"/>
      <c r="I26" s="211">
        <f>AVERAGE(I9:I25)</f>
        <v>107.88746070833335</v>
      </c>
      <c r="J26" s="321">
        <f>SUM(J9:J25)</f>
        <v>8252833.703131442</v>
      </c>
      <c r="K26" s="191">
        <f t="shared" si="2"/>
        <v>1.8105006783363926</v>
      </c>
      <c r="L26" s="213">
        <f t="shared" si="3"/>
        <v>1.6781381881171179E-2</v>
      </c>
      <c r="M26" s="214">
        <f t="shared" si="4"/>
        <v>-27.424490346667437</v>
      </c>
      <c r="N26" s="215">
        <f>(I26-I9)/I9</f>
        <v>-0.16166528082750167</v>
      </c>
      <c r="O26" s="175">
        <f>(I26+K26)*12</f>
        <v>1316.3755366400369</v>
      </c>
      <c r="P26" s="214">
        <f>SUM(P9:P25)</f>
        <v>8376261.659744937</v>
      </c>
      <c r="Q26" s="322">
        <f t="shared" si="7"/>
        <v>-123427.95661349501</v>
      </c>
      <c r="R26" s="175"/>
      <c r="S26" s="193">
        <f>SUM(S9:S25)</f>
        <v>4126416.851565721</v>
      </c>
      <c r="T26" s="191">
        <f t="shared" si="9"/>
        <v>0.90525033916819631</v>
      </c>
      <c r="U26" s="316">
        <f t="shared" si="10"/>
        <v>8.3906909405855896E-3</v>
      </c>
      <c r="V26" s="214">
        <f>-(I26+T26)*D4</f>
        <v>-13.599088880937693</v>
      </c>
      <c r="W26" s="212">
        <f>(I26-I12)/I12</f>
        <v>6.2911399775177901E-2</v>
      </c>
      <c r="X26" s="175">
        <f t="shared" si="11"/>
        <v>1305.5125325700185</v>
      </c>
      <c r="Y26" s="192">
        <f>SUM(Y9:Y25)</f>
        <v>4157273.8407190954</v>
      </c>
      <c r="Z26" s="195">
        <f t="shared" si="13"/>
        <v>-30856.989153374452</v>
      </c>
    </row>
    <row r="27" spans="1:26">
      <c r="B27" s="147" t="s">
        <v>20</v>
      </c>
      <c r="C27" s="170">
        <f>SUM(C10:C25)</f>
        <v>109992.64333333333</v>
      </c>
      <c r="D27" s="170">
        <f>SUM(D10:D25)</f>
        <v>94616.74</v>
      </c>
      <c r="E27" s="196">
        <f>SUM(E10:E25)</f>
        <v>25159.3374</v>
      </c>
      <c r="F27" s="151">
        <f>AVERAGE(F10:F25)</f>
        <v>0.27733116664124202</v>
      </c>
      <c r="G27" s="176">
        <f t="shared" ref="G27:G28" si="16">E27/C27</f>
        <v>0.22873654671389693</v>
      </c>
      <c r="H27" s="153"/>
      <c r="I27" s="208">
        <f>AVERAGE(I10:I25)</f>
        <v>106.50045253333334</v>
      </c>
      <c r="J27" s="323">
        <f>SUM(J10:J25)</f>
        <v>2552954.9966100915</v>
      </c>
      <c r="K27" s="197">
        <f t="shared" si="2"/>
        <v>1.9341861716403972</v>
      </c>
      <c r="L27" s="174">
        <f t="shared" si="3"/>
        <v>1.8161295333792318E-2</v>
      </c>
      <c r="M27" s="175">
        <f t="shared" si="4"/>
        <v>-27.108659676243434</v>
      </c>
      <c r="N27" s="212">
        <f>(I27-I9)/I9</f>
        <v>-0.17244296621600183</v>
      </c>
      <c r="O27" s="175">
        <f>(I27+K27)*12</f>
        <v>1301.2156644596848</v>
      </c>
      <c r="P27" s="175">
        <f>SUM(P10:P25)</f>
        <v>2598427.467505164</v>
      </c>
      <c r="Q27" s="320">
        <f t="shared" si="7"/>
        <v>-45472.470895072445</v>
      </c>
      <c r="R27" s="175"/>
      <c r="S27" s="198">
        <f>SUM(S10:S25)</f>
        <v>1276477.4983050458</v>
      </c>
      <c r="T27" s="197">
        <f t="shared" si="9"/>
        <v>0.96709308582019859</v>
      </c>
      <c r="U27" s="194">
        <f t="shared" si="10"/>
        <v>9.0806476668961588E-3</v>
      </c>
      <c r="V27" s="175">
        <f>-(I27+T27)*D4</f>
        <v>-13.433443202394193</v>
      </c>
      <c r="W27" s="203">
        <f>(I27-I12)/I12</f>
        <v>4.9246542051123623E-2</v>
      </c>
      <c r="X27" s="175">
        <f t="shared" si="11"/>
        <v>1289.6105474298424</v>
      </c>
      <c r="Y27" s="177">
        <f>SUM(Y10:Y25)</f>
        <v>1287845.6160288139</v>
      </c>
      <c r="Z27" s="180">
        <f t="shared" si="13"/>
        <v>-11368.117723768111</v>
      </c>
    </row>
    <row r="28" spans="1:26" ht="14.5" thickBot="1">
      <c r="B28" s="216" t="s">
        <v>79</v>
      </c>
      <c r="C28" s="217">
        <f>SUM(C15:C25)</f>
        <v>30837.643333333337</v>
      </c>
      <c r="D28" s="217">
        <f>SUM(D15:D25)</f>
        <v>26013.739999999998</v>
      </c>
      <c r="E28" s="218">
        <f>SUM(E15:E25)</f>
        <v>7070</v>
      </c>
      <c r="F28" s="219">
        <f>AVERAGE(F15:F27)</f>
        <v>0.28297287703881818</v>
      </c>
      <c r="G28" s="220">
        <f t="shared" si="16"/>
        <v>0.22926524973319942</v>
      </c>
      <c r="H28" s="221">
        <f>AVERAGE(H15:H25)</f>
        <v>551.2464089846236</v>
      </c>
      <c r="I28" s="222">
        <f>AVERAGE(I15:I25)</f>
        <v>100.45806818181818</v>
      </c>
      <c r="J28" s="324">
        <f>SUM(J15:J25)</f>
        <v>640344.42359999998</v>
      </c>
      <c r="K28" s="325">
        <f t="shared" si="2"/>
        <v>1.7304187198481333</v>
      </c>
      <c r="L28" s="326">
        <f t="shared" si="3"/>
        <v>1.7225283654830628E-2</v>
      </c>
      <c r="M28" s="327">
        <f t="shared" si="4"/>
        <v>-25.547121725416577</v>
      </c>
      <c r="N28" s="328">
        <f>(I28-I9)/I9</f>
        <v>-0.21939504531029178</v>
      </c>
      <c r="O28" s="327">
        <f>(I28+K28)*12</f>
        <v>1226.2618428199958</v>
      </c>
      <c r="P28" s="327">
        <f>SUM(P15:P25)</f>
        <v>651859.27811213175</v>
      </c>
      <c r="Q28" s="329">
        <f t="shared" si="7"/>
        <v>-11514.854512131773</v>
      </c>
      <c r="R28" s="175"/>
      <c r="S28" s="223">
        <f>SUM(S15:S25)</f>
        <v>320172.21179999999</v>
      </c>
      <c r="T28" s="224">
        <f t="shared" si="9"/>
        <v>0.86520935992406667</v>
      </c>
      <c r="U28" s="225">
        <f t="shared" si="10"/>
        <v>8.6126418274153141E-3</v>
      </c>
      <c r="V28" s="226">
        <f>-(I28+T28)*D4</f>
        <v>-12.66540969271778</v>
      </c>
      <c r="W28" s="227">
        <f>(I28-I12)/I12</f>
        <v>-1.0283260271423154E-2</v>
      </c>
      <c r="X28" s="226">
        <f t="shared" si="11"/>
        <v>1215.8793305009069</v>
      </c>
      <c r="Y28" s="226">
        <f>SUM(Y15:Y25)</f>
        <v>323050.92542803293</v>
      </c>
      <c r="Z28" s="228">
        <f t="shared" si="13"/>
        <v>-2878.7136280329432</v>
      </c>
    </row>
    <row r="29" spans="1:26">
      <c r="E29" s="199"/>
      <c r="P29" s="200"/>
      <c r="Y29" s="200"/>
    </row>
    <row r="30" spans="1:26">
      <c r="A30" s="170"/>
      <c r="B30" s="149" t="s">
        <v>94</v>
      </c>
    </row>
    <row r="31" spans="1:26">
      <c r="A31" s="170"/>
      <c r="B31" s="149" t="s">
        <v>95</v>
      </c>
      <c r="J31" s="179"/>
      <c r="Q31" s="156"/>
      <c r="R31" s="175"/>
      <c r="Z31" s="201"/>
    </row>
    <row r="32" spans="1:26">
      <c r="B32" s="149" t="s">
        <v>82</v>
      </c>
      <c r="Q32" s="201"/>
      <c r="R32" s="175"/>
      <c r="Z32" s="201"/>
    </row>
    <row r="33" spans="2:26">
      <c r="B33" s="149" t="s">
        <v>96</v>
      </c>
      <c r="Q33" s="201"/>
      <c r="R33" s="175"/>
      <c r="Z33" s="201"/>
    </row>
    <row r="35" spans="2:26">
      <c r="B35" s="159"/>
      <c r="C35" s="179"/>
    </row>
    <row r="36" spans="2:26">
      <c r="C36" s="179"/>
    </row>
  </sheetData>
  <sortState xmlns:xlrd2="http://schemas.microsoft.com/office/spreadsheetml/2017/richdata2" ref="A15:I25">
    <sortCondition ref="B15:B25"/>
  </sortState>
  <mergeCells count="2">
    <mergeCell ref="S7:Y7"/>
    <mergeCell ref="J7:Q7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49871-DD52-4327-9F8B-09A016E456AB}">
  <dimension ref="B3:J102"/>
  <sheetViews>
    <sheetView workbookViewId="0">
      <selection activeCell="L17" sqref="L17"/>
    </sheetView>
  </sheetViews>
  <sheetFormatPr defaultRowHeight="14.5"/>
  <cols>
    <col min="2" max="2" width="23.81640625" customWidth="1"/>
    <col min="3" max="5" width="20.08984375" customWidth="1"/>
    <col min="6" max="6" width="18.54296875" customWidth="1"/>
    <col min="7" max="8" width="16.453125" customWidth="1"/>
  </cols>
  <sheetData>
    <row r="3" spans="2:8" ht="15" thickBot="1"/>
    <row r="4" spans="2:8" ht="47.5" customHeight="1" thickTop="1">
      <c r="B4" s="350" t="s">
        <v>106</v>
      </c>
      <c r="C4" s="351"/>
      <c r="D4" s="351"/>
      <c r="E4" s="351"/>
      <c r="F4" s="351"/>
      <c r="G4" s="351"/>
      <c r="H4" s="352"/>
    </row>
    <row r="5" spans="2:8">
      <c r="B5" s="240"/>
      <c r="C5" s="353" t="s">
        <v>107</v>
      </c>
      <c r="D5" s="353"/>
      <c r="E5" s="353"/>
      <c r="F5" s="353" t="s">
        <v>108</v>
      </c>
      <c r="G5" s="353"/>
      <c r="H5" s="354"/>
    </row>
    <row r="6" spans="2:8" ht="84.5" customHeight="1">
      <c r="B6" s="241" t="s">
        <v>109</v>
      </c>
      <c r="C6" s="242" t="s">
        <v>110</v>
      </c>
      <c r="D6" s="242" t="s">
        <v>111</v>
      </c>
      <c r="E6" s="242" t="s">
        <v>112</v>
      </c>
      <c r="F6" s="242" t="s">
        <v>113</v>
      </c>
      <c r="G6" s="242" t="s">
        <v>114</v>
      </c>
      <c r="H6" s="243" t="s">
        <v>115</v>
      </c>
    </row>
    <row r="7" spans="2:8">
      <c r="B7" s="244" t="s">
        <v>44</v>
      </c>
      <c r="C7" s="245">
        <v>1977.5</v>
      </c>
      <c r="D7" s="246">
        <f>C7*E7</f>
        <v>771.22500000000002</v>
      </c>
      <c r="E7" s="247">
        <v>0.39</v>
      </c>
      <c r="F7" s="245">
        <v>1847</v>
      </c>
      <c r="G7" s="245">
        <v>642</v>
      </c>
      <c r="H7" s="248">
        <f>G7/F7</f>
        <v>0.34759068760151596</v>
      </c>
    </row>
    <row r="8" spans="2:8">
      <c r="B8" s="244" t="s">
        <v>45</v>
      </c>
      <c r="C8" s="245">
        <v>1569.5833333333335</v>
      </c>
      <c r="D8" s="246">
        <v>358</v>
      </c>
      <c r="E8" s="247">
        <f>D8/C8</f>
        <v>0.22808601008760285</v>
      </c>
      <c r="F8" s="245">
        <v>4822</v>
      </c>
      <c r="G8" s="245">
        <v>1156</v>
      </c>
      <c r="H8" s="248">
        <f t="shared" ref="H8:H17" si="0">G8/F8</f>
        <v>0.23973454997926172</v>
      </c>
    </row>
    <row r="9" spans="2:8">
      <c r="B9" s="244" t="s">
        <v>46</v>
      </c>
      <c r="C9" s="245">
        <v>3930</v>
      </c>
      <c r="D9" s="246">
        <v>945</v>
      </c>
      <c r="E9" s="247">
        <f t="shared" ref="E9:E17" si="1">D9/C9</f>
        <v>0.24045801526717558</v>
      </c>
      <c r="F9" s="245">
        <v>6999</v>
      </c>
      <c r="G9" s="245">
        <v>1441</v>
      </c>
      <c r="H9" s="248">
        <f t="shared" si="0"/>
        <v>0.20588655522217458</v>
      </c>
    </row>
    <row r="10" spans="2:8">
      <c r="B10" s="244" t="s">
        <v>47</v>
      </c>
      <c r="C10" s="245">
        <v>670.16666666666663</v>
      </c>
      <c r="D10" s="246">
        <v>190</v>
      </c>
      <c r="E10" s="247">
        <f t="shared" si="1"/>
        <v>0.28351156428749069</v>
      </c>
      <c r="F10" s="245">
        <v>1273</v>
      </c>
      <c r="G10" s="245">
        <v>341</v>
      </c>
      <c r="H10" s="248">
        <f t="shared" si="0"/>
        <v>0.26787117046347209</v>
      </c>
    </row>
    <row r="11" spans="2:8">
      <c r="B11" s="244" t="s">
        <v>48</v>
      </c>
      <c r="C11" s="245">
        <v>821</v>
      </c>
      <c r="D11" s="246">
        <v>263</v>
      </c>
      <c r="E11" s="247">
        <f t="shared" si="1"/>
        <v>0.32034104750304504</v>
      </c>
      <c r="F11" s="245">
        <v>957</v>
      </c>
      <c r="G11" s="245">
        <v>351</v>
      </c>
      <c r="H11" s="248">
        <f t="shared" si="0"/>
        <v>0.36677115987460818</v>
      </c>
    </row>
    <row r="12" spans="2:8">
      <c r="B12" s="244" t="s">
        <v>49</v>
      </c>
      <c r="C12" s="245">
        <v>2975</v>
      </c>
      <c r="D12" s="246">
        <v>850</v>
      </c>
      <c r="E12" s="247">
        <f t="shared" si="1"/>
        <v>0.2857142857142857</v>
      </c>
      <c r="F12" s="245">
        <v>1717</v>
      </c>
      <c r="G12" s="245">
        <v>474</v>
      </c>
      <c r="H12" s="248">
        <f t="shared" si="0"/>
        <v>0.27606290040768783</v>
      </c>
    </row>
    <row r="13" spans="2:8">
      <c r="B13" s="244" t="s">
        <v>51</v>
      </c>
      <c r="C13" s="245">
        <v>4905.6666666666661</v>
      </c>
      <c r="D13" s="246">
        <f>C13*E13</f>
        <v>1422.643333333333</v>
      </c>
      <c r="E13" s="247">
        <v>0.28999999999999998</v>
      </c>
      <c r="F13" s="245">
        <v>10303</v>
      </c>
      <c r="G13" s="245">
        <v>3077</v>
      </c>
      <c r="H13" s="248">
        <f t="shared" si="0"/>
        <v>0.29865087838493642</v>
      </c>
    </row>
    <row r="14" spans="2:8">
      <c r="B14" s="244" t="s">
        <v>52</v>
      </c>
      <c r="C14" s="245">
        <v>3644</v>
      </c>
      <c r="D14" s="246">
        <v>893</v>
      </c>
      <c r="E14" s="247">
        <f t="shared" si="1"/>
        <v>0.24506037321624588</v>
      </c>
      <c r="F14" s="245">
        <v>5104</v>
      </c>
      <c r="G14" s="245">
        <v>1224</v>
      </c>
      <c r="H14" s="248">
        <f t="shared" si="0"/>
        <v>0.23981191222570533</v>
      </c>
    </row>
    <row r="15" spans="2:8">
      <c r="B15" s="244" t="s">
        <v>53</v>
      </c>
      <c r="C15" s="245">
        <v>1622</v>
      </c>
      <c r="D15" s="246">
        <v>368</v>
      </c>
      <c r="E15" s="247">
        <f t="shared" si="1"/>
        <v>0.22688039457459927</v>
      </c>
      <c r="F15" s="245">
        <v>2697</v>
      </c>
      <c r="G15" s="245">
        <v>667</v>
      </c>
      <c r="H15" s="248">
        <f t="shared" si="0"/>
        <v>0.24731182795698925</v>
      </c>
    </row>
    <row r="16" spans="2:8">
      <c r="B16" s="244" t="s">
        <v>54</v>
      </c>
      <c r="C16" s="245">
        <v>579.58333333333337</v>
      </c>
      <c r="D16" s="245">
        <v>220</v>
      </c>
      <c r="E16" s="249">
        <f t="shared" si="1"/>
        <v>0.37958303378864122</v>
      </c>
      <c r="F16" s="245">
        <v>3143</v>
      </c>
      <c r="G16" s="245">
        <v>1252</v>
      </c>
      <c r="H16" s="248">
        <f t="shared" si="0"/>
        <v>0.39834552974864779</v>
      </c>
    </row>
    <row r="17" spans="2:10">
      <c r="B17" s="244" t="s">
        <v>55</v>
      </c>
      <c r="C17" s="245">
        <v>3319.24</v>
      </c>
      <c r="D17" s="245">
        <v>789</v>
      </c>
      <c r="E17" s="249">
        <f t="shared" si="1"/>
        <v>0.23770501681107725</v>
      </c>
      <c r="F17" s="245">
        <v>6310</v>
      </c>
      <c r="G17" s="245">
        <v>1446</v>
      </c>
      <c r="H17" s="248">
        <f t="shared" si="0"/>
        <v>0.22916006339144215</v>
      </c>
    </row>
    <row r="18" spans="2:10" ht="15" thickBot="1">
      <c r="B18" s="250" t="s">
        <v>56</v>
      </c>
      <c r="C18" s="251">
        <f>SUM(C7:C17)</f>
        <v>26013.739999999998</v>
      </c>
      <c r="D18" s="251">
        <f>SUM(D7:D17)</f>
        <v>7069.8683333333329</v>
      </c>
      <c r="E18" s="252">
        <f>AVERAGE(E7:E17)</f>
        <v>0.28430361284092398</v>
      </c>
      <c r="F18" s="251">
        <f>SUM(F7:F17)</f>
        <v>45172</v>
      </c>
      <c r="G18" s="251">
        <f>SUM(G7:G17)</f>
        <v>12071</v>
      </c>
      <c r="H18" s="253">
        <f>AVERAGE(H7:H17)</f>
        <v>0.28338156684149457</v>
      </c>
    </row>
    <row r="19" spans="2:10" ht="15" thickTop="1">
      <c r="B19" s="254" t="s">
        <v>116</v>
      </c>
      <c r="C19" s="199"/>
      <c r="D19" s="199"/>
      <c r="E19" s="255"/>
      <c r="F19" s="255"/>
      <c r="G19" s="255"/>
      <c r="H19" s="255"/>
    </row>
    <row r="23" spans="2:10" ht="53" customHeight="1">
      <c r="B23" s="355" t="s">
        <v>117</v>
      </c>
      <c r="C23" s="356"/>
      <c r="D23" s="356"/>
      <c r="E23" s="356"/>
      <c r="F23" s="356"/>
      <c r="G23" s="357"/>
      <c r="H23" s="148"/>
      <c r="I23" s="148"/>
      <c r="J23" s="148"/>
    </row>
    <row r="24" spans="2:10" ht="42">
      <c r="B24" s="256" t="s">
        <v>118</v>
      </c>
      <c r="C24" s="257" t="s">
        <v>81</v>
      </c>
      <c r="D24" s="257" t="s">
        <v>80</v>
      </c>
      <c r="E24" s="257" t="s">
        <v>9</v>
      </c>
      <c r="F24" s="258" t="s">
        <v>119</v>
      </c>
      <c r="G24" s="259" t="s">
        <v>93</v>
      </c>
    </row>
    <row r="25" spans="2:10">
      <c r="B25" s="260" t="s">
        <v>3</v>
      </c>
      <c r="C25" s="206">
        <v>269867</v>
      </c>
      <c r="D25" s="206">
        <v>224519</v>
      </c>
      <c r="E25" s="261">
        <v>49211.838000000003</v>
      </c>
      <c r="F25" s="262">
        <v>0.221</v>
      </c>
      <c r="G25" s="263">
        <v>0.18235589382918255</v>
      </c>
    </row>
    <row r="26" spans="2:10">
      <c r="B26" s="264" t="s">
        <v>4</v>
      </c>
      <c r="C26" s="206">
        <v>40254</v>
      </c>
      <c r="D26" s="206">
        <v>35371</v>
      </c>
      <c r="E26" s="261">
        <v>7576.7719999999999</v>
      </c>
      <c r="F26" s="262">
        <v>0.217</v>
      </c>
      <c r="G26" s="263">
        <v>0.18822407711034927</v>
      </c>
    </row>
    <row r="27" spans="2:10">
      <c r="B27" s="264" t="s">
        <v>5</v>
      </c>
      <c r="C27" s="206">
        <v>11791</v>
      </c>
      <c r="D27" s="206">
        <v>11118</v>
      </c>
      <c r="E27" s="261">
        <v>2587.1263999999996</v>
      </c>
      <c r="F27" s="262">
        <v>0.23599999999999999</v>
      </c>
      <c r="G27" s="263">
        <v>0.21941535069120513</v>
      </c>
    </row>
    <row r="28" spans="2:10">
      <c r="B28" s="264" t="s">
        <v>6</v>
      </c>
      <c r="C28" s="206">
        <v>21364</v>
      </c>
      <c r="D28" s="206">
        <v>17350</v>
      </c>
      <c r="E28" s="261">
        <v>6794.8690000000006</v>
      </c>
      <c r="F28" s="262">
        <v>0.39500000000000002</v>
      </c>
      <c r="G28" s="263">
        <v>0.31805228421643889</v>
      </c>
    </row>
    <row r="29" spans="2:10">
      <c r="B29" s="264" t="s">
        <v>7</v>
      </c>
      <c r="C29" s="206">
        <v>4358</v>
      </c>
      <c r="D29" s="206">
        <v>3537</v>
      </c>
      <c r="E29" s="261">
        <v>884.07040000000006</v>
      </c>
      <c r="F29" s="262">
        <v>0.25600000000000001</v>
      </c>
      <c r="G29" s="263">
        <v>0.20286149609912804</v>
      </c>
    </row>
    <row r="30" spans="2:10">
      <c r="B30" s="264" t="s">
        <v>8</v>
      </c>
      <c r="C30" s="206">
        <v>1388</v>
      </c>
      <c r="D30" s="206">
        <v>1227</v>
      </c>
      <c r="E30" s="261">
        <v>246.49959999999996</v>
      </c>
      <c r="F30" s="262">
        <v>0.20599999999999999</v>
      </c>
      <c r="G30" s="263">
        <v>0.17759337175792503</v>
      </c>
    </row>
    <row r="31" spans="2:10">
      <c r="B31" s="264" t="s">
        <v>44</v>
      </c>
      <c r="C31" s="206">
        <v>2191.083333333333</v>
      </c>
      <c r="D31" s="206">
        <v>1977.5</v>
      </c>
      <c r="E31" s="265">
        <v>771</v>
      </c>
      <c r="F31" s="266">
        <v>0.38988621997471556</v>
      </c>
      <c r="G31" s="263">
        <v>0.35188072871106385</v>
      </c>
    </row>
    <row r="32" spans="2:10">
      <c r="B32" s="264" t="s">
        <v>45</v>
      </c>
      <c r="C32" s="206">
        <v>1789.666666666667</v>
      </c>
      <c r="D32" s="206">
        <v>1569.5833333333335</v>
      </c>
      <c r="E32" s="265">
        <v>358</v>
      </c>
      <c r="F32" s="266">
        <v>0.22808601008760285</v>
      </c>
      <c r="G32" s="263">
        <v>0.20003725088470847</v>
      </c>
    </row>
    <row r="33" spans="2:10">
      <c r="B33" s="264" t="s">
        <v>46</v>
      </c>
      <c r="C33" s="206">
        <v>4794</v>
      </c>
      <c r="D33" s="206">
        <v>3930</v>
      </c>
      <c r="E33" s="265">
        <v>945</v>
      </c>
      <c r="F33" s="266">
        <v>0.24045801526717558</v>
      </c>
      <c r="G33" s="263">
        <v>0.19712140175219023</v>
      </c>
    </row>
    <row r="34" spans="2:10">
      <c r="B34" s="264" t="s">
        <v>47</v>
      </c>
      <c r="C34" s="206">
        <v>728.58333333333326</v>
      </c>
      <c r="D34" s="206">
        <v>670.16666666666663</v>
      </c>
      <c r="E34" s="265">
        <v>190</v>
      </c>
      <c r="F34" s="266">
        <v>0.28351156428749069</v>
      </c>
      <c r="G34" s="263">
        <v>0.26078005261351939</v>
      </c>
    </row>
    <row r="35" spans="2:10">
      <c r="B35" s="264" t="s">
        <v>48</v>
      </c>
      <c r="C35" s="206">
        <v>996</v>
      </c>
      <c r="D35" s="206">
        <v>821</v>
      </c>
      <c r="E35" s="265">
        <v>263</v>
      </c>
      <c r="F35" s="266">
        <v>0.32034104750304504</v>
      </c>
      <c r="G35" s="263">
        <v>0.2640562248995984</v>
      </c>
    </row>
    <row r="36" spans="2:10">
      <c r="B36" s="264" t="s">
        <v>49</v>
      </c>
      <c r="C36" s="206">
        <v>3693</v>
      </c>
      <c r="D36" s="206">
        <v>2975</v>
      </c>
      <c r="E36" s="265">
        <v>850</v>
      </c>
      <c r="F36" s="266">
        <v>0.2857142857142857</v>
      </c>
      <c r="G36" s="263">
        <v>0.23016517736257786</v>
      </c>
    </row>
    <row r="37" spans="2:10">
      <c r="B37" s="264" t="s">
        <v>51</v>
      </c>
      <c r="C37" s="206">
        <v>5884.083333333333</v>
      </c>
      <c r="D37" s="206">
        <v>4905.6666666666661</v>
      </c>
      <c r="E37" s="265">
        <v>1423</v>
      </c>
      <c r="F37" s="266">
        <v>0.29007270503499361</v>
      </c>
      <c r="G37" s="263">
        <v>0.24183885906895722</v>
      </c>
    </row>
    <row r="38" spans="2:10">
      <c r="B38" s="264" t="s">
        <v>52</v>
      </c>
      <c r="C38" s="206">
        <v>4313</v>
      </c>
      <c r="D38" s="206">
        <v>3644</v>
      </c>
      <c r="E38" s="265">
        <v>893</v>
      </c>
      <c r="F38" s="266">
        <v>0.24506037321624588</v>
      </c>
      <c r="G38" s="263">
        <v>0.20704845814977973</v>
      </c>
    </row>
    <row r="39" spans="2:10">
      <c r="B39" s="264" t="s">
        <v>53</v>
      </c>
      <c r="C39" s="206">
        <v>1865</v>
      </c>
      <c r="D39" s="206">
        <v>1622</v>
      </c>
      <c r="E39" s="265">
        <v>368</v>
      </c>
      <c r="F39" s="266">
        <v>0.22688039457459927</v>
      </c>
      <c r="G39" s="263">
        <v>0.19731903485254693</v>
      </c>
    </row>
    <row r="40" spans="2:10">
      <c r="B40" s="264" t="s">
        <v>54</v>
      </c>
      <c r="C40" s="206">
        <v>671.41666666666674</v>
      </c>
      <c r="D40" s="206">
        <v>579.58333333333337</v>
      </c>
      <c r="E40" s="265">
        <v>220</v>
      </c>
      <c r="F40" s="266">
        <v>0.37958303378864122</v>
      </c>
      <c r="G40" s="263">
        <v>0.3276653841380166</v>
      </c>
    </row>
    <row r="41" spans="2:10" ht="15" thickBot="1">
      <c r="B41" s="267" t="s">
        <v>55</v>
      </c>
      <c r="C41" s="268">
        <v>3911.81</v>
      </c>
      <c r="D41" s="268">
        <v>3319.24</v>
      </c>
      <c r="E41" s="269">
        <v>789</v>
      </c>
      <c r="F41" s="270">
        <v>0.23770501681107725</v>
      </c>
      <c r="G41" s="271">
        <v>0.20169691268236442</v>
      </c>
    </row>
    <row r="42" spans="2:10" ht="15" thickTop="1">
      <c r="B42" s="272" t="s">
        <v>60</v>
      </c>
      <c r="C42" s="206">
        <v>379859.64333333331</v>
      </c>
      <c r="D42" s="206">
        <v>319135.74</v>
      </c>
      <c r="E42" s="206">
        <v>74371.175399999993</v>
      </c>
      <c r="F42" s="262">
        <v>0.27401756860352189</v>
      </c>
      <c r="G42" s="273">
        <v>0.19578593489790128</v>
      </c>
    </row>
    <row r="43" spans="2:10">
      <c r="B43" s="272" t="s">
        <v>20</v>
      </c>
      <c r="C43" s="206">
        <v>109992.64333333333</v>
      </c>
      <c r="D43" s="206">
        <v>94616.74</v>
      </c>
      <c r="E43" s="206">
        <v>25159.3374</v>
      </c>
      <c r="F43" s="262">
        <v>0.27733116664124202</v>
      </c>
      <c r="G43" s="273">
        <v>0.22873654671389693</v>
      </c>
    </row>
    <row r="44" spans="2:10">
      <c r="B44" s="274" t="s">
        <v>79</v>
      </c>
      <c r="C44" s="275">
        <v>30837.643333333337</v>
      </c>
      <c r="D44" s="275">
        <v>26013.739999999998</v>
      </c>
      <c r="E44" s="276">
        <v>7070</v>
      </c>
      <c r="F44" s="277">
        <v>0.28297287703881818</v>
      </c>
      <c r="G44" s="278">
        <v>0.22926524973319942</v>
      </c>
    </row>
    <row r="45" spans="2:10">
      <c r="B45" s="148"/>
      <c r="C45" s="206"/>
      <c r="D45" s="279"/>
      <c r="E45" s="148"/>
      <c r="F45" s="148"/>
      <c r="G45" s="148"/>
      <c r="H45" s="199"/>
      <c r="I45" s="262"/>
      <c r="J45" s="148"/>
    </row>
    <row r="46" spans="2:10">
      <c r="B46" s="358" t="s">
        <v>120</v>
      </c>
      <c r="C46" s="358"/>
      <c r="D46" s="358"/>
      <c r="E46" s="358"/>
      <c r="F46" s="358"/>
      <c r="G46" s="358"/>
      <c r="H46" s="149"/>
      <c r="I46" s="149"/>
      <c r="J46" s="149"/>
    </row>
    <row r="47" spans="2:10" ht="29.5" customHeight="1">
      <c r="B47" s="359" t="s">
        <v>121</v>
      </c>
      <c r="C47" s="359"/>
      <c r="D47" s="359"/>
      <c r="E47" s="359"/>
      <c r="F47" s="359"/>
      <c r="G47" s="359"/>
      <c r="H47" s="280"/>
      <c r="I47" s="280"/>
      <c r="J47" s="280"/>
    </row>
    <row r="48" spans="2:10" ht="28" customHeight="1">
      <c r="B48" s="360" t="s">
        <v>122</v>
      </c>
      <c r="C48" s="360"/>
      <c r="D48" s="360"/>
      <c r="E48" s="360"/>
      <c r="F48" s="360"/>
      <c r="G48" s="360"/>
      <c r="H48" s="149"/>
      <c r="I48" s="149"/>
      <c r="J48" s="149"/>
    </row>
    <row r="51" spans="2:7" ht="15" thickBot="1"/>
    <row r="52" spans="2:7" ht="50.5" customHeight="1" thickBot="1">
      <c r="B52" s="361" t="s">
        <v>123</v>
      </c>
      <c r="C52" s="362"/>
      <c r="D52" s="362"/>
      <c r="E52" s="362"/>
      <c r="F52" s="362"/>
      <c r="G52" s="363"/>
    </row>
    <row r="53" spans="2:7" ht="20.5" customHeight="1">
      <c r="B53" s="364" t="s">
        <v>118</v>
      </c>
      <c r="C53" s="366" t="s">
        <v>124</v>
      </c>
      <c r="D53" s="367"/>
      <c r="E53" s="368" t="s">
        <v>125</v>
      </c>
      <c r="F53" s="368"/>
      <c r="G53" s="281" t="s">
        <v>126</v>
      </c>
    </row>
    <row r="54" spans="2:7" ht="84" customHeight="1">
      <c r="B54" s="365"/>
      <c r="C54" s="256" t="s">
        <v>127</v>
      </c>
      <c r="D54" s="259" t="s">
        <v>128</v>
      </c>
      <c r="E54" s="282" t="s">
        <v>129</v>
      </c>
      <c r="F54" s="257" t="s">
        <v>128</v>
      </c>
      <c r="G54" s="283" t="s">
        <v>130</v>
      </c>
    </row>
    <row r="55" spans="2:7">
      <c r="B55" s="284" t="s">
        <v>3</v>
      </c>
      <c r="C55" s="285">
        <v>106.37709375570705</v>
      </c>
      <c r="D55" s="286">
        <v>4711511.0743350005</v>
      </c>
      <c r="E55" s="286">
        <v>128.69258333333335</v>
      </c>
      <c r="F55" s="287">
        <v>5699878.7065213509</v>
      </c>
      <c r="G55" s="288">
        <f>D55-F55</f>
        <v>-988367.63218635041</v>
      </c>
    </row>
    <row r="56" spans="2:7">
      <c r="B56" s="289" t="s">
        <v>4</v>
      </c>
      <c r="C56" s="285">
        <v>104.21831108947187</v>
      </c>
      <c r="D56" s="286">
        <v>710674.54321499995</v>
      </c>
      <c r="E56" s="286">
        <v>124.929</v>
      </c>
      <c r="F56" s="287">
        <v>851902.69426919997</v>
      </c>
      <c r="G56" s="288">
        <f t="shared" ref="G56:G74" si="2">D56-F56</f>
        <v>-141228.15105420002</v>
      </c>
    </row>
    <row r="57" spans="2:7">
      <c r="B57" s="289" t="s">
        <v>5</v>
      </c>
      <c r="C57" s="285">
        <v>106.5162403609915</v>
      </c>
      <c r="D57" s="286">
        <v>248013.87971999994</v>
      </c>
      <c r="E57" s="286">
        <v>148.95400000000001</v>
      </c>
      <c r="F57" s="287">
        <v>346826.54320704</v>
      </c>
      <c r="G57" s="288">
        <f t="shared" si="2"/>
        <v>-98812.663487040059</v>
      </c>
    </row>
    <row r="58" spans="2:7">
      <c r="B58" s="289" t="s">
        <v>6</v>
      </c>
      <c r="C58" s="285">
        <v>65.044697771215311</v>
      </c>
      <c r="D58" s="286">
        <v>397773.18045000004</v>
      </c>
      <c r="E58" s="286">
        <v>101.50183800000001</v>
      </c>
      <c r="F58" s="287">
        <v>620722.52322229987</v>
      </c>
      <c r="G58" s="288">
        <f t="shared" si="2"/>
        <v>-222949.34277229983</v>
      </c>
    </row>
    <row r="59" spans="2:7">
      <c r="B59" s="289" t="s">
        <v>7</v>
      </c>
      <c r="C59" s="285">
        <v>108.48294434470377</v>
      </c>
      <c r="D59" s="286">
        <v>86315.903999999995</v>
      </c>
      <c r="E59" s="286">
        <v>117.08320000000001</v>
      </c>
      <c r="F59" s="287">
        <v>93158.812311551985</v>
      </c>
      <c r="G59" s="288">
        <f t="shared" si="2"/>
        <v>-6842.9083115519898</v>
      </c>
    </row>
    <row r="60" spans="2:7">
      <c r="B60" s="289" t="s">
        <v>8</v>
      </c>
      <c r="C60" s="285">
        <v>102.662655301131</v>
      </c>
      <c r="D60" s="286">
        <v>22775.673119999996</v>
      </c>
      <c r="E60" s="286">
        <f>C60</f>
        <v>102.662655301131</v>
      </c>
      <c r="F60" s="287">
        <f>D60</f>
        <v>22775.673119999996</v>
      </c>
      <c r="G60" s="288">
        <f t="shared" si="2"/>
        <v>0</v>
      </c>
    </row>
    <row r="61" spans="2:7">
      <c r="B61" s="289" t="s">
        <v>44</v>
      </c>
      <c r="C61" s="285">
        <v>87.666912016971821</v>
      </c>
      <c r="D61" s="286">
        <v>60832.07024857674</v>
      </c>
      <c r="E61" s="290">
        <v>123.64899999999999</v>
      </c>
      <c r="F61" s="291">
        <v>85800.041099999988</v>
      </c>
      <c r="G61" s="292">
        <f t="shared" si="2"/>
        <v>-24967.970851423248</v>
      </c>
    </row>
    <row r="62" spans="2:7">
      <c r="B62" s="289" t="s">
        <v>45</v>
      </c>
      <c r="C62" s="285">
        <v>123.18617474774727</v>
      </c>
      <c r="D62" s="286">
        <v>39690.585503724171</v>
      </c>
      <c r="E62" s="290">
        <v>107.69399999999999</v>
      </c>
      <c r="F62" s="291">
        <v>34699.006799999996</v>
      </c>
      <c r="G62" s="292">
        <f t="shared" si="2"/>
        <v>4991.5787037241753</v>
      </c>
    </row>
    <row r="63" spans="2:7">
      <c r="B63" s="289" t="s">
        <v>46</v>
      </c>
      <c r="C63" s="285">
        <v>85.465256827502301</v>
      </c>
      <c r="D63" s="286">
        <v>72688.200931790707</v>
      </c>
      <c r="E63" s="290">
        <v>114.66800000000002</v>
      </c>
      <c r="F63" s="291">
        <v>97525.13400000002</v>
      </c>
      <c r="G63" s="292">
        <f t="shared" si="2"/>
        <v>-24836.933068209313</v>
      </c>
    </row>
    <row r="64" spans="2:7">
      <c r="B64" s="289" t="s">
        <v>47</v>
      </c>
      <c r="C64" s="285">
        <v>76.649294334477887</v>
      </c>
      <c r="D64" s="286">
        <v>13107.029331195719</v>
      </c>
      <c r="E64" s="290">
        <v>107.63225</v>
      </c>
      <c r="F64" s="291">
        <v>18405.114750000001</v>
      </c>
      <c r="G64" s="292">
        <f t="shared" si="2"/>
        <v>-5298.0854188042813</v>
      </c>
    </row>
    <row r="65" spans="2:7">
      <c r="B65" s="289" t="s">
        <v>48</v>
      </c>
      <c r="C65" s="285">
        <v>93.903768316913656</v>
      </c>
      <c r="D65" s="286">
        <v>22227.02196061346</v>
      </c>
      <c r="E65" s="290">
        <v>110.788</v>
      </c>
      <c r="F65" s="291">
        <v>26223.519599999996</v>
      </c>
      <c r="G65" s="292">
        <f t="shared" si="2"/>
        <v>-3996.4976393865363</v>
      </c>
    </row>
    <row r="66" spans="2:7">
      <c r="B66" s="289" t="s">
        <v>49</v>
      </c>
      <c r="C66" s="285">
        <v>62.706721824589046</v>
      </c>
      <c r="D66" s="286">
        <v>47970.642195810622</v>
      </c>
      <c r="E66" s="290">
        <v>78.228000000000009</v>
      </c>
      <c r="F66" s="291">
        <v>59844.420000000006</v>
      </c>
      <c r="G66" s="292">
        <f t="shared" si="2"/>
        <v>-11873.777804189383</v>
      </c>
    </row>
    <row r="67" spans="2:7">
      <c r="B67" s="289" t="s">
        <v>51</v>
      </c>
      <c r="C67" s="285">
        <v>84.026502135490517</v>
      </c>
      <c r="D67" s="286">
        <v>107612.7412849227</v>
      </c>
      <c r="E67" s="290">
        <v>100.43049999999999</v>
      </c>
      <c r="F67" s="291">
        <v>128621.34134999999</v>
      </c>
      <c r="G67" s="292">
        <f t="shared" si="2"/>
        <v>-21008.600065077291</v>
      </c>
    </row>
    <row r="68" spans="2:7">
      <c r="B68" s="289" t="s">
        <v>52</v>
      </c>
      <c r="C68" s="285">
        <v>80.811399796885567</v>
      </c>
      <c r="D68" s="286">
        <v>64948.122016756926</v>
      </c>
      <c r="E68" s="290">
        <v>100.92799999999998</v>
      </c>
      <c r="F68" s="291">
        <v>81115.833599999969</v>
      </c>
      <c r="G68" s="292">
        <f t="shared" si="2"/>
        <v>-16167.711583243043</v>
      </c>
    </row>
    <row r="69" spans="2:7">
      <c r="B69" s="289" t="s">
        <v>53</v>
      </c>
      <c r="C69" s="285">
        <v>73.32228263898206</v>
      </c>
      <c r="D69" s="286">
        <v>24284.340010030854</v>
      </c>
      <c r="E69" s="290">
        <v>90.01400000000001</v>
      </c>
      <c r="F69" s="291">
        <v>29812.6368</v>
      </c>
      <c r="G69" s="292">
        <f t="shared" si="2"/>
        <v>-5528.2967899691466</v>
      </c>
    </row>
    <row r="70" spans="2:7">
      <c r="B70" s="289" t="s">
        <v>54</v>
      </c>
      <c r="C70" s="285">
        <v>74.996389432485316</v>
      </c>
      <c r="D70" s="286">
        <v>14849.285107632091</v>
      </c>
      <c r="E70" s="290">
        <v>84.231000000000009</v>
      </c>
      <c r="F70" s="291">
        <v>16677.738000000001</v>
      </c>
      <c r="G70" s="292">
        <f t="shared" si="2"/>
        <v>-1828.45289236791</v>
      </c>
    </row>
    <row r="71" spans="2:7" ht="15" thickBot="1">
      <c r="B71" s="293" t="s">
        <v>55</v>
      </c>
      <c r="C71" s="294">
        <v>87.662701784197111</v>
      </c>
      <c r="D71" s="295">
        <v>62249.284536958367</v>
      </c>
      <c r="E71" s="296">
        <v>86.775999999999996</v>
      </c>
      <c r="F71" s="297">
        <v>61619.637599999995</v>
      </c>
      <c r="G71" s="298">
        <f t="shared" si="2"/>
        <v>629.64693695837195</v>
      </c>
    </row>
    <row r="72" spans="2:7" ht="15" thickTop="1">
      <c r="B72" s="299" t="s">
        <v>60</v>
      </c>
      <c r="C72" s="285">
        <v>102.03854048229992</v>
      </c>
      <c r="D72" s="286">
        <v>6829853.57259221</v>
      </c>
      <c r="E72" s="286">
        <v>107.88746070833335</v>
      </c>
      <c r="F72" s="287">
        <v>8252833.703131442</v>
      </c>
      <c r="G72" s="288">
        <f t="shared" si="2"/>
        <v>-1422980.1305392319</v>
      </c>
    </row>
    <row r="73" spans="2:7">
      <c r="B73" s="299" t="s">
        <v>20</v>
      </c>
      <c r="C73" s="285">
        <v>91.726905297492394</v>
      </c>
      <c r="D73" s="286">
        <v>2077009.3431337124</v>
      </c>
      <c r="E73" s="286">
        <v>106.50045253333334</v>
      </c>
      <c r="F73" s="287">
        <v>2552954.9966100915</v>
      </c>
      <c r="G73" s="288">
        <f t="shared" si="2"/>
        <v>-475945.65347637911</v>
      </c>
    </row>
    <row r="74" spans="2:7" ht="15" thickBot="1">
      <c r="B74" s="300" t="s">
        <v>79</v>
      </c>
      <c r="C74" s="301">
        <v>83.628400701936599</v>
      </c>
      <c r="D74" s="302">
        <v>532127.51366642257</v>
      </c>
      <c r="E74" s="302">
        <v>100.45806818181818</v>
      </c>
      <c r="F74" s="303">
        <v>640344.42359999998</v>
      </c>
      <c r="G74" s="304">
        <f t="shared" si="2"/>
        <v>-108216.90993357741</v>
      </c>
    </row>
    <row r="80" spans="2:7" ht="15" thickBot="1"/>
    <row r="81" spans="2:8" ht="43.5" customHeight="1">
      <c r="B81" s="347" t="s">
        <v>131</v>
      </c>
      <c r="C81" s="348"/>
      <c r="D81" s="348"/>
      <c r="E81" s="349"/>
    </row>
    <row r="82" spans="2:8" ht="90.5" customHeight="1">
      <c r="B82" s="305" t="s">
        <v>2</v>
      </c>
      <c r="C82" s="163" t="s">
        <v>103</v>
      </c>
      <c r="D82" s="331" t="s">
        <v>134</v>
      </c>
      <c r="E82" s="306" t="s">
        <v>135</v>
      </c>
      <c r="F82" s="307"/>
      <c r="G82" s="308"/>
      <c r="H82" s="308"/>
    </row>
    <row r="83" spans="2:8">
      <c r="B83" s="309" t="s">
        <v>3</v>
      </c>
      <c r="C83" s="339">
        <v>128.69258333333335</v>
      </c>
      <c r="D83" s="332">
        <v>1.367669203718869E-2</v>
      </c>
      <c r="E83" s="333">
        <v>6.8383460185943452E-3</v>
      </c>
      <c r="F83" s="127"/>
      <c r="G83" s="125"/>
      <c r="H83" s="125"/>
    </row>
    <row r="84" spans="2:8">
      <c r="B84" s="309" t="s">
        <v>4</v>
      </c>
      <c r="C84" s="340">
        <v>124.929</v>
      </c>
      <c r="D84" s="332">
        <v>1.4116805783276195E-2</v>
      </c>
      <c r="E84" s="333">
        <v>7.0584028916380976E-3</v>
      </c>
      <c r="F84" s="127"/>
      <c r="G84" s="125"/>
      <c r="H84" s="125"/>
    </row>
    <row r="85" spans="2:8">
      <c r="B85" s="309" t="s">
        <v>5</v>
      </c>
      <c r="C85" s="340">
        <v>148.95400000000001</v>
      </c>
      <c r="D85" s="332">
        <v>1.6456151301840385E-2</v>
      </c>
      <c r="E85" s="333">
        <v>8.2280756509201924E-3</v>
      </c>
      <c r="F85" s="127"/>
      <c r="G85" s="125"/>
      <c r="H85" s="125"/>
    </row>
    <row r="86" spans="2:8">
      <c r="B86" s="309" t="s">
        <v>6</v>
      </c>
      <c r="C86" s="340">
        <v>101.50183800000001</v>
      </c>
      <c r="D86" s="332">
        <v>2.3853921316232918E-2</v>
      </c>
      <c r="E86" s="334">
        <v>1.1926960658116459E-2</v>
      </c>
      <c r="F86" s="127"/>
      <c r="G86" s="125"/>
      <c r="H86" s="125"/>
    </row>
    <row r="87" spans="2:8">
      <c r="B87" s="309" t="s">
        <v>7</v>
      </c>
      <c r="C87" s="340">
        <v>117.08320000000001</v>
      </c>
      <c r="D87" s="332">
        <v>1.52146122074346E-2</v>
      </c>
      <c r="E87" s="334">
        <v>7.6073061037172998E-3</v>
      </c>
      <c r="F87" s="127"/>
      <c r="G87" s="125"/>
      <c r="H87" s="125"/>
    </row>
    <row r="88" spans="2:8">
      <c r="B88" s="309" t="s">
        <v>8</v>
      </c>
      <c r="C88" s="341" t="s">
        <v>101</v>
      </c>
      <c r="D88" s="332" t="s">
        <v>102</v>
      </c>
      <c r="E88" s="334" t="s">
        <v>102</v>
      </c>
      <c r="F88" s="127"/>
      <c r="G88" s="125"/>
      <c r="H88" s="125"/>
    </row>
    <row r="89" spans="2:8">
      <c r="B89" s="310" t="s">
        <v>44</v>
      </c>
      <c r="C89" s="172">
        <v>123.64899999999999</v>
      </c>
      <c r="D89" s="255">
        <v>2.639105465332979E-2</v>
      </c>
      <c r="E89" s="334">
        <v>1.3195527326664895E-2</v>
      </c>
      <c r="F89" s="127"/>
      <c r="G89" s="125"/>
      <c r="H89" s="125"/>
    </row>
    <row r="90" spans="2:8">
      <c r="B90" s="310" t="s">
        <v>45</v>
      </c>
      <c r="C90" s="172">
        <v>107.69399999999999</v>
      </c>
      <c r="D90" s="255">
        <v>1.5002793816353135E-2</v>
      </c>
      <c r="E90" s="334">
        <v>7.5013969081765674E-3</v>
      </c>
      <c r="F90" s="127"/>
      <c r="G90" s="125"/>
      <c r="H90" s="125"/>
    </row>
    <row r="91" spans="2:8">
      <c r="B91" s="310" t="s">
        <v>46</v>
      </c>
      <c r="C91" s="172">
        <v>114.66800000000002</v>
      </c>
      <c r="D91" s="255">
        <v>1.4784105131414269E-2</v>
      </c>
      <c r="E91" s="334">
        <v>7.3920525657071344E-3</v>
      </c>
      <c r="F91" s="127"/>
      <c r="G91" s="125"/>
      <c r="H91" s="125"/>
    </row>
    <row r="92" spans="2:8">
      <c r="B92" s="310" t="s">
        <v>47</v>
      </c>
      <c r="C92" s="172">
        <v>107.63225</v>
      </c>
      <c r="D92" s="255">
        <v>1.9558503946013956E-2</v>
      </c>
      <c r="E92" s="334">
        <v>9.779251973006978E-3</v>
      </c>
      <c r="F92" s="127"/>
      <c r="G92" s="125"/>
      <c r="H92" s="125"/>
    </row>
    <row r="93" spans="2:8">
      <c r="B93" s="310" t="s">
        <v>48</v>
      </c>
      <c r="C93" s="172">
        <v>110.788</v>
      </c>
      <c r="D93" s="255">
        <v>1.9804216867469877E-2</v>
      </c>
      <c r="E93" s="334">
        <v>9.9021084337349383E-3</v>
      </c>
      <c r="F93" s="127"/>
      <c r="G93" s="125"/>
      <c r="H93" s="125"/>
    </row>
    <row r="94" spans="2:8">
      <c r="B94" s="310" t="s">
        <v>49</v>
      </c>
      <c r="C94" s="172">
        <v>78.228000000000009</v>
      </c>
      <c r="D94" s="255">
        <v>1.7262388302193336E-2</v>
      </c>
      <c r="E94" s="334">
        <v>8.6311941510966682E-3</v>
      </c>
      <c r="F94" s="127"/>
      <c r="G94" s="125"/>
      <c r="H94" s="125"/>
    </row>
    <row r="95" spans="2:8">
      <c r="B95" s="310" t="s">
        <v>51</v>
      </c>
      <c r="C95" s="172">
        <v>100.43049999999999</v>
      </c>
      <c r="D95" s="255">
        <v>1.8137914430171792E-2</v>
      </c>
      <c r="E95" s="334">
        <v>9.068957215085896E-3</v>
      </c>
      <c r="F95" s="127"/>
      <c r="G95" s="125"/>
      <c r="H95" s="125"/>
    </row>
    <row r="96" spans="2:8">
      <c r="B96" s="310" t="s">
        <v>52</v>
      </c>
      <c r="C96" s="172">
        <v>100.92799999999998</v>
      </c>
      <c r="D96" s="255">
        <v>1.5528634361233477E-2</v>
      </c>
      <c r="E96" s="334">
        <v>7.7643171806167383E-3</v>
      </c>
      <c r="F96" s="127"/>
      <c r="G96" s="125"/>
      <c r="H96" s="125"/>
    </row>
    <row r="97" spans="2:8">
      <c r="B97" s="310" t="s">
        <v>53</v>
      </c>
      <c r="C97" s="172">
        <v>90.01400000000001</v>
      </c>
      <c r="D97" s="255">
        <v>1.4798927613941016E-2</v>
      </c>
      <c r="E97" s="334">
        <v>7.399463806970508E-3</v>
      </c>
      <c r="F97" s="127"/>
      <c r="G97" s="125"/>
      <c r="H97" s="125"/>
    </row>
    <row r="98" spans="2:8">
      <c r="B98" s="310" t="s">
        <v>54</v>
      </c>
      <c r="C98" s="172">
        <v>84.231000000000009</v>
      </c>
      <c r="D98" s="255">
        <v>2.4574903810351243E-2</v>
      </c>
      <c r="E98" s="334">
        <v>1.2287451905175622E-2</v>
      </c>
      <c r="F98" s="127"/>
      <c r="G98" s="125"/>
      <c r="H98" s="125"/>
    </row>
    <row r="99" spans="2:8">
      <c r="B99" s="310" t="s">
        <v>55</v>
      </c>
      <c r="C99" s="172">
        <v>86.775999999999996</v>
      </c>
      <c r="D99" s="255">
        <v>1.5127268451177331E-2</v>
      </c>
      <c r="E99" s="335">
        <v>7.5636342255886654E-3</v>
      </c>
      <c r="F99" s="127"/>
      <c r="G99" s="125"/>
      <c r="H99" s="125"/>
    </row>
    <row r="100" spans="2:8">
      <c r="B100" s="311" t="s">
        <v>60</v>
      </c>
      <c r="C100" s="312">
        <v>107.88746070833335</v>
      </c>
      <c r="D100" s="336">
        <v>1.6781381881171179E-2</v>
      </c>
      <c r="E100" s="334">
        <v>8.3906909405855896E-3</v>
      </c>
      <c r="F100" s="127"/>
      <c r="G100" s="125"/>
      <c r="H100" s="125"/>
    </row>
    <row r="101" spans="2:8">
      <c r="B101" s="313" t="s">
        <v>20</v>
      </c>
      <c r="C101" s="172">
        <v>106.50045253333334</v>
      </c>
      <c r="D101" s="255">
        <v>1.8161295333792318E-2</v>
      </c>
      <c r="E101" s="334">
        <v>9.0806476668961588E-3</v>
      </c>
      <c r="F101" s="127"/>
      <c r="G101" s="125"/>
      <c r="H101" s="125"/>
    </row>
    <row r="102" spans="2:8" ht="15" thickBot="1">
      <c r="B102" s="314" t="s">
        <v>79</v>
      </c>
      <c r="C102" s="315">
        <v>100.45806818181818</v>
      </c>
      <c r="D102" s="337">
        <v>1.7225283654830628E-2</v>
      </c>
      <c r="E102" s="338">
        <v>8.6126418274153141E-3</v>
      </c>
      <c r="F102" s="127"/>
      <c r="G102" s="125"/>
      <c r="H102" s="125"/>
    </row>
  </sheetData>
  <mergeCells count="12">
    <mergeCell ref="B81:E81"/>
    <mergeCell ref="B4:H4"/>
    <mergeCell ref="C5:E5"/>
    <mergeCell ref="F5:H5"/>
    <mergeCell ref="B23:G23"/>
    <mergeCell ref="B46:G46"/>
    <mergeCell ref="B47:G47"/>
    <mergeCell ref="B48:G48"/>
    <mergeCell ref="B52:G52"/>
    <mergeCell ref="B53:B54"/>
    <mergeCell ref="C53:D53"/>
    <mergeCell ref="E53:F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97DBF-CD2C-43CC-A792-14CAB3AD20ED}">
  <dimension ref="A2:H29"/>
  <sheetViews>
    <sheetView workbookViewId="0">
      <pane xSplit="2" topLeftCell="C1" activePane="topRight" state="frozen"/>
      <selection pane="topRight" activeCell="C5" sqref="C5"/>
    </sheetView>
  </sheetViews>
  <sheetFormatPr defaultRowHeight="14.5"/>
  <cols>
    <col min="1" max="1" width="14.7265625" bestFit="1" customWidth="1"/>
    <col min="2" max="2" width="21.7265625" customWidth="1"/>
    <col min="3" max="8" width="16.7265625" bestFit="1" customWidth="1"/>
  </cols>
  <sheetData>
    <row r="2" spans="1:8" s="11" customFormat="1">
      <c r="A2" s="11" t="s">
        <v>2</v>
      </c>
      <c r="B2" s="11" t="s">
        <v>10</v>
      </c>
      <c r="C2" s="11">
        <v>2017</v>
      </c>
      <c r="D2" s="11">
        <v>2018</v>
      </c>
      <c r="E2" s="11">
        <v>2019</v>
      </c>
      <c r="F2" s="11">
        <v>2020</v>
      </c>
      <c r="G2" s="11">
        <v>2021</v>
      </c>
      <c r="H2" s="11" t="s">
        <v>12</v>
      </c>
    </row>
    <row r="3" spans="1:8">
      <c r="A3" s="1" t="s">
        <v>6</v>
      </c>
      <c r="B3" t="s">
        <v>11</v>
      </c>
      <c r="C3" s="4">
        <v>20834</v>
      </c>
      <c r="D3" s="4">
        <v>21005</v>
      </c>
      <c r="E3" s="4">
        <v>21187</v>
      </c>
      <c r="F3" s="4">
        <v>21373</v>
      </c>
      <c r="G3" s="4">
        <v>21364</v>
      </c>
      <c r="H3" s="4">
        <f t="shared" ref="H3:H8" si="0">AVERAGE(C3:G3)</f>
        <v>21152.6</v>
      </c>
    </row>
    <row r="4" spans="1:8" s="4" customFormat="1">
      <c r="B4" s="4" t="s">
        <v>14</v>
      </c>
      <c r="C4" s="4">
        <v>16957</v>
      </c>
      <c r="D4" s="4">
        <v>17096</v>
      </c>
      <c r="E4" s="4">
        <v>17260</v>
      </c>
      <c r="F4" s="4">
        <v>17348</v>
      </c>
      <c r="G4" s="4">
        <v>17350</v>
      </c>
      <c r="H4" s="4">
        <f t="shared" si="0"/>
        <v>17202.2</v>
      </c>
    </row>
    <row r="5" spans="1:8" s="6" customFormat="1">
      <c r="B5" s="6" t="s">
        <v>17</v>
      </c>
      <c r="C5" s="6">
        <v>12588803</v>
      </c>
      <c r="D5" s="6">
        <v>13357732</v>
      </c>
      <c r="E5" s="6">
        <v>12947145</v>
      </c>
      <c r="F5" s="6">
        <v>13888394</v>
      </c>
      <c r="G5" s="6">
        <v>14352640</v>
      </c>
      <c r="H5" s="6">
        <f t="shared" si="0"/>
        <v>13426942.800000001</v>
      </c>
    </row>
    <row r="6" spans="1:8" s="6" customFormat="1">
      <c r="B6" s="6" t="s">
        <v>62</v>
      </c>
      <c r="C6" s="6">
        <v>46346808</v>
      </c>
      <c r="D6" s="6">
        <v>46775404</v>
      </c>
      <c r="E6" s="6">
        <v>45171368</v>
      </c>
      <c r="F6" s="6">
        <v>43419223</v>
      </c>
      <c r="G6" s="6">
        <v>45688787</v>
      </c>
      <c r="H6" s="6">
        <f t="shared" si="0"/>
        <v>45480318</v>
      </c>
    </row>
    <row r="7" spans="1:8" s="4" customFormat="1">
      <c r="A7" s="8" t="s">
        <v>3</v>
      </c>
      <c r="B7" s="4" t="s">
        <v>11</v>
      </c>
      <c r="C7" s="4">
        <f>282689-19161</f>
        <v>263528</v>
      </c>
      <c r="D7" s="4">
        <f>283611-18804</f>
        <v>264807</v>
      </c>
      <c r="E7" s="4">
        <f>284628-18429</f>
        <v>266199</v>
      </c>
      <c r="F7" s="4">
        <f>285749-18146</f>
        <v>267603</v>
      </c>
      <c r="G7" s="4">
        <f>288160-18293</f>
        <v>269867</v>
      </c>
      <c r="H7" s="4">
        <f t="shared" si="0"/>
        <v>266400.8</v>
      </c>
    </row>
    <row r="8" spans="1:8" s="4" customFormat="1">
      <c r="B8" s="4" t="s">
        <v>14</v>
      </c>
      <c r="C8" s="4">
        <f>237686-16301</f>
        <v>221385</v>
      </c>
      <c r="D8" s="4">
        <f>237933-15952</f>
        <v>221981</v>
      </c>
      <c r="E8" s="4">
        <f>238299-15551</f>
        <v>222748</v>
      </c>
      <c r="F8" s="4">
        <f>237956-15199</f>
        <v>222757</v>
      </c>
      <c r="G8" s="4">
        <f>239870-15351</f>
        <v>224519</v>
      </c>
      <c r="H8" s="4">
        <f t="shared" si="0"/>
        <v>222678</v>
      </c>
    </row>
    <row r="9" spans="1:8" s="6" customFormat="1">
      <c r="B9" s="6" t="s">
        <v>17</v>
      </c>
      <c r="C9" s="6">
        <v>251352220</v>
      </c>
      <c r="D9" s="6">
        <v>277891882</v>
      </c>
      <c r="E9" s="6">
        <v>285242765</v>
      </c>
      <c r="F9" s="6">
        <v>300643523</v>
      </c>
      <c r="G9" s="6">
        <v>306139919</v>
      </c>
      <c r="H9" s="6">
        <f t="shared" ref="H9:H26" si="1">AVERAGE(C9:G9)</f>
        <v>284254061.80000001</v>
      </c>
    </row>
    <row r="10" spans="1:8" s="6" customFormat="1">
      <c r="B10" s="6" t="s">
        <v>62</v>
      </c>
      <c r="C10" s="6">
        <v>585318967</v>
      </c>
      <c r="D10" s="6">
        <v>634468674</v>
      </c>
      <c r="E10" s="6">
        <v>650406503</v>
      </c>
      <c r="F10" s="6">
        <v>652709234</v>
      </c>
      <c r="G10" s="6">
        <v>670105149</v>
      </c>
      <c r="H10" s="6">
        <f t="shared" si="1"/>
        <v>638601705.39999998</v>
      </c>
    </row>
    <row r="11" spans="1:8">
      <c r="A11" s="1" t="s">
        <v>4</v>
      </c>
      <c r="B11" t="s">
        <v>11</v>
      </c>
      <c r="C11" s="4">
        <v>39078</v>
      </c>
      <c r="D11" s="4">
        <v>39345</v>
      </c>
      <c r="E11" s="4">
        <v>39582</v>
      </c>
      <c r="F11" s="4">
        <v>39889</v>
      </c>
      <c r="G11" s="4">
        <v>40254</v>
      </c>
      <c r="H11" s="4">
        <f>AVERAGE(C11:G11)</f>
        <v>39629.599999999999</v>
      </c>
    </row>
    <row r="12" spans="1:8">
      <c r="B12" t="s">
        <v>14</v>
      </c>
      <c r="C12" s="4">
        <v>34519</v>
      </c>
      <c r="D12" s="4">
        <v>34706</v>
      </c>
      <c r="E12" s="4">
        <v>34880</v>
      </c>
      <c r="F12" s="4">
        <v>35104</v>
      </c>
      <c r="G12" s="4">
        <v>35371</v>
      </c>
      <c r="H12" s="4">
        <f t="shared" si="1"/>
        <v>34916</v>
      </c>
    </row>
    <row r="13" spans="1:8">
      <c r="B13" t="s">
        <v>17</v>
      </c>
      <c r="C13" s="6">
        <v>41467266</v>
      </c>
      <c r="D13" s="6">
        <v>43235988</v>
      </c>
      <c r="E13" s="6">
        <v>42488851</v>
      </c>
      <c r="F13" s="6">
        <v>45505417</v>
      </c>
      <c r="G13" s="6">
        <v>45635671</v>
      </c>
      <c r="H13" s="6">
        <f t="shared" si="1"/>
        <v>43666638.600000001</v>
      </c>
    </row>
    <row r="14" spans="1:8">
      <c r="B14" s="6" t="s">
        <v>62</v>
      </c>
      <c r="C14" s="6">
        <v>72621325</v>
      </c>
      <c r="D14" s="6">
        <v>74834439</v>
      </c>
      <c r="E14" s="6">
        <v>72924595</v>
      </c>
      <c r="F14" s="6">
        <v>75609174</v>
      </c>
      <c r="G14" s="6">
        <v>76270205</v>
      </c>
      <c r="H14" s="6">
        <f t="shared" si="1"/>
        <v>74451947.599999994</v>
      </c>
    </row>
    <row r="15" spans="1:8">
      <c r="A15" s="1" t="s">
        <v>5</v>
      </c>
      <c r="B15" t="s">
        <v>11</v>
      </c>
      <c r="C15" s="4">
        <v>11057</v>
      </c>
      <c r="D15" s="4">
        <v>11519</v>
      </c>
      <c r="E15" s="4">
        <v>11612</v>
      </c>
      <c r="F15" s="4">
        <v>11711</v>
      </c>
      <c r="G15" s="4">
        <v>11791</v>
      </c>
      <c r="H15" s="4">
        <f t="shared" ref="H15:H22" si="2">AVERAGE(C15:G15)</f>
        <v>11538</v>
      </c>
    </row>
    <row r="16" spans="1:8">
      <c r="B16" t="s">
        <v>14</v>
      </c>
      <c r="C16" s="4">
        <v>10851</v>
      </c>
      <c r="D16" s="4">
        <v>10863</v>
      </c>
      <c r="E16" s="4">
        <v>10941</v>
      </c>
      <c r="F16" s="4">
        <v>11039</v>
      </c>
      <c r="G16" s="4">
        <v>11118</v>
      </c>
      <c r="H16" s="4">
        <f t="shared" si="2"/>
        <v>10962.4</v>
      </c>
    </row>
    <row r="17" spans="1:8">
      <c r="B17" t="s">
        <v>17</v>
      </c>
      <c r="C17" s="6">
        <v>12630385</v>
      </c>
      <c r="D17" s="6">
        <v>13261866</v>
      </c>
      <c r="E17" s="6">
        <v>13817644</v>
      </c>
      <c r="F17" s="6">
        <v>15193295</v>
      </c>
      <c r="G17" s="6">
        <v>15157228</v>
      </c>
      <c r="H17" s="6">
        <f t="shared" si="2"/>
        <v>14012083.6</v>
      </c>
    </row>
    <row r="18" spans="1:8">
      <c r="B18" s="6" t="s">
        <v>62</v>
      </c>
      <c r="C18" s="6">
        <v>14372692</v>
      </c>
      <c r="D18" s="6">
        <v>14958151</v>
      </c>
      <c r="E18" s="6">
        <v>15537555</v>
      </c>
      <c r="F18" s="6">
        <v>16854741</v>
      </c>
      <c r="G18" s="6">
        <v>16944851</v>
      </c>
      <c r="H18" s="6">
        <f t="shared" si="2"/>
        <v>15733598</v>
      </c>
    </row>
    <row r="19" spans="1:8">
      <c r="A19" s="8" t="s">
        <v>7</v>
      </c>
      <c r="B19" s="4" t="s">
        <v>11</v>
      </c>
      <c r="C19" s="4">
        <v>4162</v>
      </c>
      <c r="D19" s="4">
        <v>4226</v>
      </c>
      <c r="E19" s="4">
        <v>4264</v>
      </c>
      <c r="F19" s="4">
        <v>4296</v>
      </c>
      <c r="G19" s="4">
        <v>4358</v>
      </c>
      <c r="H19" s="4">
        <f t="shared" si="2"/>
        <v>4261.2</v>
      </c>
    </row>
    <row r="20" spans="1:8">
      <c r="A20" s="4"/>
      <c r="B20" s="4" t="s">
        <v>14</v>
      </c>
      <c r="C20" s="4">
        <v>3390</v>
      </c>
      <c r="D20" s="4">
        <v>3441</v>
      </c>
      <c r="E20" s="4">
        <v>3405</v>
      </c>
      <c r="F20" s="4">
        <v>3494</v>
      </c>
      <c r="G20" s="4">
        <v>3537</v>
      </c>
      <c r="H20" s="4">
        <f t="shared" si="2"/>
        <v>3453.4</v>
      </c>
    </row>
    <row r="21" spans="1:8">
      <c r="A21" s="6"/>
      <c r="B21" s="6" t="s">
        <v>17</v>
      </c>
      <c r="C21" s="6">
        <v>3987600</v>
      </c>
      <c r="D21" s="6">
        <v>4327500</v>
      </c>
      <c r="E21" s="6">
        <v>4432200</v>
      </c>
      <c r="F21" s="6">
        <v>4809500</v>
      </c>
      <c r="G21" s="6">
        <v>4921300</v>
      </c>
      <c r="H21" s="6">
        <f t="shared" si="2"/>
        <v>4495620</v>
      </c>
    </row>
    <row r="22" spans="1:8">
      <c r="A22" s="6"/>
      <c r="B22" s="6" t="s">
        <v>62</v>
      </c>
      <c r="C22" s="6">
        <v>11550000</v>
      </c>
      <c r="D22" s="6">
        <v>13173500</v>
      </c>
      <c r="E22" s="6">
        <v>11878300</v>
      </c>
      <c r="F22" s="6">
        <v>11623300</v>
      </c>
      <c r="G22" s="6">
        <v>12334700</v>
      </c>
      <c r="H22" s="6">
        <f t="shared" si="2"/>
        <v>12111960</v>
      </c>
    </row>
    <row r="23" spans="1:8" s="4" customFormat="1">
      <c r="A23" s="1" t="s">
        <v>8</v>
      </c>
      <c r="B23" s="4" t="s">
        <v>11</v>
      </c>
      <c r="C23">
        <f>1330</f>
        <v>1330</v>
      </c>
      <c r="D23" s="4">
        <v>1332</v>
      </c>
      <c r="E23">
        <v>1351</v>
      </c>
      <c r="F23">
        <v>1371</v>
      </c>
      <c r="G23">
        <v>1388</v>
      </c>
      <c r="H23" s="4">
        <f t="shared" si="1"/>
        <v>1354.4</v>
      </c>
    </row>
    <row r="24" spans="1:8" s="4" customFormat="1">
      <c r="A24"/>
      <c r="B24" s="4" t="s">
        <v>14</v>
      </c>
      <c r="C24">
        <v>1179</v>
      </c>
      <c r="D24" s="4">
        <v>1178</v>
      </c>
      <c r="E24">
        <v>1191</v>
      </c>
      <c r="F24" s="4">
        <v>1208</v>
      </c>
      <c r="G24">
        <v>1227</v>
      </c>
      <c r="H24" s="4">
        <f t="shared" si="1"/>
        <v>1196.5999999999999</v>
      </c>
    </row>
    <row r="25" spans="1:8" s="6" customFormat="1">
      <c r="B25" s="6" t="s">
        <v>17</v>
      </c>
      <c r="C25" s="6">
        <v>1383665</v>
      </c>
      <c r="D25" s="6">
        <v>1410120</v>
      </c>
      <c r="E25" s="6">
        <v>1482451</v>
      </c>
      <c r="F25" s="6">
        <v>1534498</v>
      </c>
      <c r="G25" s="6">
        <v>1560034</v>
      </c>
      <c r="H25" s="6">
        <f t="shared" si="1"/>
        <v>1474153.6</v>
      </c>
    </row>
    <row r="26" spans="1:8" s="6" customFormat="1">
      <c r="A26"/>
      <c r="B26" s="6" t="s">
        <v>62</v>
      </c>
      <c r="C26" s="6">
        <v>2033118</v>
      </c>
      <c r="D26" s="6">
        <v>2068098</v>
      </c>
      <c r="E26" s="6">
        <v>2212585</v>
      </c>
      <c r="F26" s="6">
        <v>2268951</v>
      </c>
      <c r="G26" s="6">
        <v>2334241</v>
      </c>
      <c r="H26" s="6">
        <f t="shared" si="1"/>
        <v>2183398.6</v>
      </c>
    </row>
    <row r="27" spans="1:8">
      <c r="H27" s="4"/>
    </row>
    <row r="29" spans="1:8" s="6" customFormat="1">
      <c r="A29"/>
      <c r="B29"/>
      <c r="C29"/>
      <c r="D29"/>
      <c r="E29"/>
      <c r="F29"/>
      <c r="G29"/>
      <c r="H29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E24B-7D02-4F52-8CFA-9E93CA0CA82E}">
  <dimension ref="B3:Z129"/>
  <sheetViews>
    <sheetView topLeftCell="A11" zoomScale="80" zoomScaleNormal="80" workbookViewId="0">
      <selection activeCell="D108" sqref="D108"/>
    </sheetView>
  </sheetViews>
  <sheetFormatPr defaultRowHeight="14.5"/>
  <cols>
    <col min="2" max="2" width="13.26953125" bestFit="1" customWidth="1"/>
    <col min="3" max="3" width="13.36328125" bestFit="1" customWidth="1"/>
    <col min="4" max="4" width="14.26953125" bestFit="1" customWidth="1"/>
    <col min="5" max="6" width="14.26953125" customWidth="1"/>
    <col min="7" max="7" width="11.26953125" customWidth="1"/>
    <col min="8" max="8" width="11" customWidth="1"/>
    <col min="9" max="9" width="16.54296875" bestFit="1" customWidth="1"/>
    <col min="10" max="10" width="4.7265625" customWidth="1"/>
    <col min="11" max="11" width="15.54296875" bestFit="1" customWidth="1"/>
    <col min="12" max="12" width="19.26953125" bestFit="1" customWidth="1"/>
    <col min="13" max="13" width="19.36328125" bestFit="1" customWidth="1"/>
    <col min="14" max="14" width="14.26953125" bestFit="1" customWidth="1"/>
    <col min="15" max="15" width="12.7265625" bestFit="1" customWidth="1"/>
    <col min="16" max="16" width="15.54296875" bestFit="1" customWidth="1"/>
    <col min="17" max="17" width="4.36328125" customWidth="1"/>
    <col min="18" max="18" width="15.54296875" bestFit="1" customWidth="1"/>
    <col min="19" max="19" width="17" bestFit="1" customWidth="1"/>
    <col min="20" max="20" width="16.36328125" bestFit="1" customWidth="1"/>
    <col min="21" max="21" width="14.26953125" bestFit="1" customWidth="1"/>
    <col min="22" max="22" width="12.26953125" bestFit="1" customWidth="1"/>
    <col min="23" max="23" width="15.54296875" bestFit="1" customWidth="1"/>
    <col min="26" max="26" width="13.36328125" bestFit="1" customWidth="1"/>
  </cols>
  <sheetData>
    <row r="3" spans="2:26" ht="15" thickBo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2:26" ht="15" thickBot="1">
      <c r="B4" s="379">
        <v>2017</v>
      </c>
      <c r="C4" s="372">
        <v>2017</v>
      </c>
      <c r="D4" s="372"/>
      <c r="E4" s="372"/>
      <c r="F4" s="372"/>
      <c r="G4" s="372"/>
      <c r="H4" s="372"/>
      <c r="I4" s="372"/>
      <c r="J4" s="373"/>
      <c r="K4" s="372"/>
      <c r="L4" s="372"/>
      <c r="M4" s="372"/>
      <c r="N4" s="372"/>
      <c r="O4" s="372"/>
      <c r="P4" s="372"/>
      <c r="Q4" s="373"/>
      <c r="R4" s="372"/>
      <c r="S4" s="372"/>
      <c r="T4" s="372"/>
      <c r="U4" s="372"/>
      <c r="V4" s="372"/>
      <c r="W4" s="374"/>
    </row>
    <row r="5" spans="2:26" ht="15.75" hidden="1" customHeight="1">
      <c r="B5" s="384"/>
      <c r="C5" s="372">
        <v>2017</v>
      </c>
      <c r="D5" s="372"/>
      <c r="E5" s="372"/>
      <c r="F5" s="372"/>
      <c r="G5" s="372"/>
      <c r="H5" s="372"/>
      <c r="I5" s="372"/>
      <c r="J5" s="373"/>
      <c r="K5" s="372"/>
      <c r="L5" s="372"/>
      <c r="M5" s="372"/>
      <c r="N5" s="372"/>
      <c r="O5" s="372"/>
      <c r="P5" s="372"/>
      <c r="Q5" s="373"/>
      <c r="R5" s="372"/>
      <c r="S5" s="372"/>
      <c r="T5" s="372"/>
      <c r="U5" s="372"/>
      <c r="V5" s="372"/>
      <c r="W5" s="374"/>
    </row>
    <row r="6" spans="2:26" ht="21.75" customHeight="1" thickTop="1">
      <c r="B6" s="384"/>
      <c r="C6" s="13"/>
      <c r="D6" s="375" t="s">
        <v>22</v>
      </c>
      <c r="E6" s="375"/>
      <c r="F6" s="375"/>
      <c r="G6" s="375"/>
      <c r="H6" s="375"/>
      <c r="I6" s="375"/>
      <c r="J6" s="14"/>
      <c r="K6" s="376" t="s">
        <v>23</v>
      </c>
      <c r="L6" s="377"/>
      <c r="M6" s="377"/>
      <c r="N6" s="377"/>
      <c r="O6" s="377"/>
      <c r="P6" s="378"/>
      <c r="Q6" s="14"/>
      <c r="R6" s="376" t="s">
        <v>24</v>
      </c>
      <c r="S6" s="377"/>
      <c r="T6" s="377"/>
      <c r="U6" s="377"/>
      <c r="V6" s="377"/>
      <c r="W6" s="378"/>
    </row>
    <row r="7" spans="2:26" ht="43.5" customHeight="1">
      <c r="B7" s="384"/>
      <c r="C7" s="15" t="s">
        <v>25</v>
      </c>
      <c r="D7" s="16" t="s">
        <v>26</v>
      </c>
      <c r="E7" s="17" t="s">
        <v>27</v>
      </c>
      <c r="F7" s="17" t="s">
        <v>28</v>
      </c>
      <c r="G7" s="17" t="s">
        <v>29</v>
      </c>
      <c r="H7" s="17" t="s">
        <v>30</v>
      </c>
      <c r="I7" s="18" t="s">
        <v>31</v>
      </c>
      <c r="J7" s="19"/>
      <c r="K7" s="16" t="s">
        <v>32</v>
      </c>
      <c r="L7" s="17" t="s">
        <v>33</v>
      </c>
      <c r="M7" s="17" t="s">
        <v>34</v>
      </c>
      <c r="N7" s="17" t="s">
        <v>35</v>
      </c>
      <c r="O7" s="17" t="s">
        <v>36</v>
      </c>
      <c r="P7" s="18" t="s">
        <v>37</v>
      </c>
      <c r="Q7" s="19"/>
      <c r="R7" s="16" t="s">
        <v>38</v>
      </c>
      <c r="S7" s="17" t="s">
        <v>39</v>
      </c>
      <c r="T7" s="17" t="s">
        <v>40</v>
      </c>
      <c r="U7" s="17" t="s">
        <v>41</v>
      </c>
      <c r="V7" s="17" t="s">
        <v>42</v>
      </c>
      <c r="W7" s="18" t="s">
        <v>43</v>
      </c>
    </row>
    <row r="8" spans="2:26">
      <c r="B8" s="384"/>
      <c r="C8" s="20" t="s">
        <v>44</v>
      </c>
      <c r="D8" s="21">
        <v>1948.6666666666667</v>
      </c>
      <c r="E8" s="22">
        <v>188.83333333333334</v>
      </c>
      <c r="F8" s="22">
        <v>25</v>
      </c>
      <c r="G8" s="22">
        <v>0</v>
      </c>
      <c r="H8" s="22">
        <v>5</v>
      </c>
      <c r="I8" s="23">
        <f t="shared" ref="I8:I18" si="0">SUM(D8:H8)</f>
        <v>2167.5</v>
      </c>
      <c r="J8" s="12"/>
      <c r="K8" s="24">
        <v>10057047</v>
      </c>
      <c r="L8" s="25">
        <v>940859</v>
      </c>
      <c r="M8" s="22">
        <v>2388291</v>
      </c>
      <c r="N8" s="22">
        <v>0</v>
      </c>
      <c r="O8" s="22">
        <v>126308</v>
      </c>
      <c r="P8" s="26">
        <f>SUM(K8:O8)</f>
        <v>13512505</v>
      </c>
      <c r="Q8" s="12"/>
      <c r="R8" s="27">
        <v>2046047.66</v>
      </c>
      <c r="S8" s="28">
        <v>210509</v>
      </c>
      <c r="T8" s="28">
        <v>476087.46868480567</v>
      </c>
      <c r="U8" s="22">
        <v>0</v>
      </c>
      <c r="V8" s="28">
        <v>33880.019999999997</v>
      </c>
      <c r="W8" s="29">
        <f>SUM(R8:V8)</f>
        <v>2766524.1486848057</v>
      </c>
      <c r="Z8" s="4"/>
    </row>
    <row r="9" spans="2:26">
      <c r="B9" s="384"/>
      <c r="C9" s="20" t="s">
        <v>45</v>
      </c>
      <c r="D9" s="24">
        <v>1521.75</v>
      </c>
      <c r="E9" s="25">
        <v>187</v>
      </c>
      <c r="F9" s="22">
        <v>21.333333333333332</v>
      </c>
      <c r="G9" s="22">
        <v>4</v>
      </c>
      <c r="H9" s="22">
        <v>7</v>
      </c>
      <c r="I9" s="23">
        <f t="shared" si="0"/>
        <v>1741.0833333333333</v>
      </c>
      <c r="J9" s="12"/>
      <c r="K9" s="24">
        <v>13562208.073231816</v>
      </c>
      <c r="L9" s="25">
        <v>2216305</v>
      </c>
      <c r="M9" s="22">
        <v>3070916</v>
      </c>
      <c r="N9" s="22">
        <v>7164920</v>
      </c>
      <c r="O9" s="22">
        <v>158052.55245929066</v>
      </c>
      <c r="P9" s="26">
        <f t="shared" ref="P9:P17" si="1">SUM(K9:O9)</f>
        <v>26172401.625691108</v>
      </c>
      <c r="Q9" s="12"/>
      <c r="R9" s="27">
        <v>2178035.3004000001</v>
      </c>
      <c r="S9" s="28">
        <v>362768.55984999996</v>
      </c>
      <c r="T9" s="28">
        <v>474166.01076000003</v>
      </c>
      <c r="U9" s="28">
        <v>938325.76439999999</v>
      </c>
      <c r="V9" s="28">
        <v>28070.996419999999</v>
      </c>
      <c r="W9" s="29">
        <f t="shared" ref="W9:W18" si="2">SUM(R9:V9)</f>
        <v>3981366.6318299999</v>
      </c>
    </row>
    <row r="10" spans="2:26">
      <c r="B10" s="384"/>
      <c r="C10" s="20" t="s">
        <v>46</v>
      </c>
      <c r="D10" s="24">
        <v>4061</v>
      </c>
      <c r="E10" s="25">
        <v>385</v>
      </c>
      <c r="F10" s="22">
        <v>30</v>
      </c>
      <c r="G10" s="22">
        <v>0</v>
      </c>
      <c r="H10" s="22">
        <v>50</v>
      </c>
      <c r="I10" s="23">
        <f t="shared" si="0"/>
        <v>4526</v>
      </c>
      <c r="J10" s="12"/>
      <c r="K10" s="24">
        <v>23141723</v>
      </c>
      <c r="L10" s="25">
        <v>5006241</v>
      </c>
      <c r="M10" s="22">
        <v>5072305</v>
      </c>
      <c r="N10" s="28">
        <v>0</v>
      </c>
      <c r="O10" s="22">
        <v>184520</v>
      </c>
      <c r="P10" s="26">
        <f t="shared" si="1"/>
        <v>33404789</v>
      </c>
      <c r="Q10" s="12"/>
      <c r="R10" s="27">
        <v>4095915</v>
      </c>
      <c r="S10" s="28">
        <v>917782</v>
      </c>
      <c r="T10" s="28">
        <v>837296</v>
      </c>
      <c r="U10" s="28">
        <v>0</v>
      </c>
      <c r="V10" s="28">
        <v>45052</v>
      </c>
      <c r="W10" s="29">
        <v>5896045</v>
      </c>
    </row>
    <row r="11" spans="2:26">
      <c r="B11" s="384"/>
      <c r="C11" s="20" t="s">
        <v>47</v>
      </c>
      <c r="D11" s="24">
        <v>653.16666666666663</v>
      </c>
      <c r="E11" s="25">
        <v>51.416666666666664</v>
      </c>
      <c r="F11" s="22">
        <v>0</v>
      </c>
      <c r="G11" s="22">
        <v>4</v>
      </c>
      <c r="H11" s="22">
        <v>1</v>
      </c>
      <c r="I11" s="23">
        <f t="shared" si="0"/>
        <v>709.58333333333326</v>
      </c>
      <c r="J11" s="12"/>
      <c r="K11" s="24">
        <v>3500313</v>
      </c>
      <c r="L11" s="25">
        <v>570901</v>
      </c>
      <c r="M11" s="22">
        <v>0</v>
      </c>
      <c r="N11" s="22">
        <v>866081</v>
      </c>
      <c r="O11" s="22">
        <v>17094.150000000001</v>
      </c>
      <c r="P11" s="26">
        <f t="shared" si="1"/>
        <v>4954389.1500000004</v>
      </c>
      <c r="Q11" s="12"/>
      <c r="R11" s="27">
        <v>571261.46</v>
      </c>
      <c r="S11" s="28">
        <v>99062.92</v>
      </c>
      <c r="T11" s="28">
        <v>0</v>
      </c>
      <c r="U11" s="28">
        <v>149791.31</v>
      </c>
      <c r="V11" s="28">
        <v>3307.7600000000007</v>
      </c>
      <c r="W11" s="29">
        <f t="shared" si="2"/>
        <v>823423.45</v>
      </c>
    </row>
    <row r="12" spans="2:26">
      <c r="B12" s="384"/>
      <c r="C12" s="20" t="s">
        <v>48</v>
      </c>
      <c r="D12" s="24">
        <v>788</v>
      </c>
      <c r="E12" s="25">
        <v>124</v>
      </c>
      <c r="F12" s="22">
        <v>13</v>
      </c>
      <c r="G12" s="22">
        <v>0</v>
      </c>
      <c r="H12" s="22">
        <v>33</v>
      </c>
      <c r="I12" s="23">
        <f t="shared" si="0"/>
        <v>958</v>
      </c>
      <c r="J12" s="12"/>
      <c r="K12" s="24">
        <v>4928055</v>
      </c>
      <c r="L12" s="25">
        <v>1791523.77</v>
      </c>
      <c r="M12" s="22">
        <v>5462097</v>
      </c>
      <c r="N12" s="22">
        <v>0</v>
      </c>
      <c r="O12" s="22">
        <v>67208</v>
      </c>
      <c r="P12" s="26">
        <f>SUM(K12:O12)</f>
        <v>12248883.77</v>
      </c>
      <c r="Q12" s="12"/>
      <c r="R12" s="27">
        <v>862193.2</v>
      </c>
      <c r="S12" s="28">
        <v>342394.77</v>
      </c>
      <c r="T12" s="28">
        <v>880528.99</v>
      </c>
      <c r="U12" s="28">
        <v>0</v>
      </c>
      <c r="V12" s="28">
        <v>16015.65</v>
      </c>
      <c r="W12" s="29">
        <f t="shared" si="2"/>
        <v>2101132.61</v>
      </c>
    </row>
    <row r="13" spans="2:26">
      <c r="B13" s="384"/>
      <c r="C13" s="20" t="s">
        <v>49</v>
      </c>
      <c r="D13" s="22">
        <v>3034</v>
      </c>
      <c r="E13" s="30" t="s">
        <v>50</v>
      </c>
      <c r="F13" s="22">
        <v>703</v>
      </c>
      <c r="G13" s="22">
        <v>4</v>
      </c>
      <c r="H13" s="22">
        <v>4</v>
      </c>
      <c r="I13" s="26">
        <f t="shared" ref="I13" si="3">SUM(D13:H13)</f>
        <v>3745</v>
      </c>
      <c r="J13" s="12"/>
      <c r="K13" s="21">
        <v>15978156</v>
      </c>
      <c r="L13" s="31" t="s">
        <v>50</v>
      </c>
      <c r="M13" s="22">
        <v>17738108</v>
      </c>
      <c r="N13" s="22">
        <v>13283160</v>
      </c>
      <c r="O13" s="22">
        <f>348276+72664</f>
        <v>420940</v>
      </c>
      <c r="P13" s="26">
        <f t="shared" ref="P13" si="4">SUM(K13:O13)</f>
        <v>47420364</v>
      </c>
      <c r="Q13" s="12"/>
      <c r="R13" s="27">
        <v>2139342</v>
      </c>
      <c r="S13" s="32" t="s">
        <v>50</v>
      </c>
      <c r="T13" s="28">
        <v>2898329</v>
      </c>
      <c r="U13" s="28">
        <v>2353225</v>
      </c>
      <c r="V13" s="28">
        <v>100494</v>
      </c>
      <c r="W13" s="29">
        <f t="shared" ref="W13" si="5">SUM(R13:V13)</f>
        <v>7491390</v>
      </c>
    </row>
    <row r="14" spans="2:26">
      <c r="B14" s="384"/>
      <c r="C14" s="20" t="s">
        <v>51</v>
      </c>
      <c r="D14" s="21">
        <v>4824.25</v>
      </c>
      <c r="E14" s="22">
        <v>852.5</v>
      </c>
      <c r="F14" s="22">
        <v>42</v>
      </c>
      <c r="G14" s="22">
        <v>0</v>
      </c>
      <c r="H14" s="22">
        <v>0</v>
      </c>
      <c r="I14" s="26">
        <v>5724.75</v>
      </c>
      <c r="J14" s="12"/>
      <c r="K14" s="21">
        <v>30394368</v>
      </c>
      <c r="L14" s="22">
        <v>12001254</v>
      </c>
      <c r="M14" s="22">
        <v>18033223</v>
      </c>
      <c r="N14" s="22">
        <v>0</v>
      </c>
      <c r="O14" s="22">
        <v>487035</v>
      </c>
      <c r="P14" s="26">
        <f t="shared" si="1"/>
        <v>60915880</v>
      </c>
      <c r="Q14" s="12"/>
      <c r="R14" s="27">
        <v>4747332.0000000019</v>
      </c>
      <c r="S14" s="28">
        <v>1870821.03</v>
      </c>
      <c r="T14" s="28">
        <v>2471792.9699999997</v>
      </c>
      <c r="U14" s="22">
        <v>0</v>
      </c>
      <c r="V14" s="28">
        <v>102978</v>
      </c>
      <c r="W14" s="29">
        <f t="shared" si="2"/>
        <v>9192924.0000000019</v>
      </c>
    </row>
    <row r="15" spans="2:26">
      <c r="B15" s="384"/>
      <c r="C15" s="20" t="s">
        <v>52</v>
      </c>
      <c r="D15" s="22">
        <v>3463</v>
      </c>
      <c r="E15" s="22">
        <v>642</v>
      </c>
      <c r="F15" s="22">
        <v>0</v>
      </c>
      <c r="G15" s="22">
        <v>0</v>
      </c>
      <c r="H15" s="22">
        <v>3</v>
      </c>
      <c r="I15" s="26">
        <f t="shared" ref="I15" si="6">SUM(D15:H15)</f>
        <v>4108</v>
      </c>
      <c r="J15" s="12"/>
      <c r="K15" s="21">
        <v>20767905</v>
      </c>
      <c r="L15" s="22">
        <v>23246887</v>
      </c>
      <c r="M15" s="22">
        <v>0</v>
      </c>
      <c r="N15" s="22">
        <v>0</v>
      </c>
      <c r="O15" s="22">
        <v>37400</v>
      </c>
      <c r="P15" s="26">
        <f>SUM(K15:O15)</f>
        <v>44052192</v>
      </c>
      <c r="Q15" s="12"/>
      <c r="R15" s="27">
        <v>3272319</v>
      </c>
      <c r="S15" s="28">
        <v>3645010</v>
      </c>
      <c r="T15" s="22">
        <v>0</v>
      </c>
      <c r="U15" s="22">
        <v>0</v>
      </c>
      <c r="V15" s="28">
        <v>22680</v>
      </c>
      <c r="W15" s="29">
        <f t="shared" ref="W15" si="7">SUM(R15:V15)</f>
        <v>6940009</v>
      </c>
    </row>
    <row r="16" spans="2:26">
      <c r="B16" s="384"/>
      <c r="C16" s="20" t="s">
        <v>53</v>
      </c>
      <c r="D16" s="24">
        <v>1603.8333333333333</v>
      </c>
      <c r="E16" s="25">
        <v>200.91666666666669</v>
      </c>
      <c r="F16" s="22">
        <v>15.916666666666666</v>
      </c>
      <c r="G16" s="22">
        <v>1</v>
      </c>
      <c r="H16" s="22">
        <v>32</v>
      </c>
      <c r="I16" s="23">
        <f t="shared" si="0"/>
        <v>1853.6666666666667</v>
      </c>
      <c r="J16" s="12"/>
      <c r="K16" s="24">
        <v>9862631</v>
      </c>
      <c r="L16" s="25">
        <v>2405120</v>
      </c>
      <c r="M16" s="22">
        <v>6848575</v>
      </c>
      <c r="N16" s="22">
        <v>8391724</v>
      </c>
      <c r="O16" s="22">
        <v>91938</v>
      </c>
      <c r="P16" s="26">
        <f t="shared" si="1"/>
        <v>27599988</v>
      </c>
      <c r="Q16" s="12"/>
      <c r="R16" s="27">
        <v>1360665.1700000002</v>
      </c>
      <c r="S16" s="28">
        <v>387821.36757999996</v>
      </c>
      <c r="T16" s="28">
        <v>886881.17242000019</v>
      </c>
      <c r="U16" s="28">
        <v>1051376.4400000002</v>
      </c>
      <c r="V16" s="28">
        <v>26403.919999999998</v>
      </c>
      <c r="W16" s="29">
        <f t="shared" si="2"/>
        <v>3713148.0700000003</v>
      </c>
    </row>
    <row r="17" spans="2:23">
      <c r="B17" s="384"/>
      <c r="C17" s="20" t="s">
        <v>54</v>
      </c>
      <c r="D17" s="24">
        <v>582</v>
      </c>
      <c r="E17" s="25">
        <v>65</v>
      </c>
      <c r="F17" s="22">
        <v>0</v>
      </c>
      <c r="G17" s="22">
        <v>1</v>
      </c>
      <c r="H17" s="22">
        <v>21</v>
      </c>
      <c r="I17" s="23">
        <f t="shared" si="0"/>
        <v>669</v>
      </c>
      <c r="J17" s="12"/>
      <c r="K17" s="24">
        <v>3921505</v>
      </c>
      <c r="L17" s="25">
        <v>1585929</v>
      </c>
      <c r="M17" s="22">
        <v>0</v>
      </c>
      <c r="N17" s="22">
        <v>6960000</v>
      </c>
      <c r="O17" s="22">
        <v>528678</v>
      </c>
      <c r="P17" s="26">
        <f t="shared" si="1"/>
        <v>12996112</v>
      </c>
      <c r="Q17" s="12"/>
      <c r="R17" s="27">
        <v>508644.95</v>
      </c>
      <c r="S17" s="28">
        <v>224095.93</v>
      </c>
      <c r="T17" s="22">
        <v>0</v>
      </c>
      <c r="U17" s="28">
        <v>1047885.58</v>
      </c>
      <c r="V17" s="28">
        <v>77331.22</v>
      </c>
      <c r="W17" s="29">
        <f t="shared" si="2"/>
        <v>1857957.68</v>
      </c>
    </row>
    <row r="18" spans="2:23">
      <c r="B18" s="384"/>
      <c r="C18" s="33" t="s">
        <v>55</v>
      </c>
      <c r="D18" s="34">
        <v>3263</v>
      </c>
      <c r="E18" s="35">
        <v>332</v>
      </c>
      <c r="F18" s="36">
        <v>70</v>
      </c>
      <c r="G18" s="36">
        <v>0</v>
      </c>
      <c r="H18" s="36">
        <v>13</v>
      </c>
      <c r="I18" s="37">
        <f t="shared" si="0"/>
        <v>3678</v>
      </c>
      <c r="J18" s="12"/>
      <c r="K18" s="34">
        <v>25023368</v>
      </c>
      <c r="L18" s="35">
        <v>4161015</v>
      </c>
      <c r="M18" s="36">
        <v>22785202</v>
      </c>
      <c r="N18" s="36">
        <v>0</v>
      </c>
      <c r="O18" s="36">
        <v>1030732</v>
      </c>
      <c r="P18" s="38">
        <f>SUM(K18:O18)</f>
        <v>53000317</v>
      </c>
      <c r="Q18" s="12"/>
      <c r="R18" s="39">
        <v>3300678</v>
      </c>
      <c r="S18" s="40">
        <v>612416</v>
      </c>
      <c r="T18" s="40">
        <v>3027776</v>
      </c>
      <c r="U18" s="36">
        <v>0</v>
      </c>
      <c r="V18" s="40">
        <v>134578</v>
      </c>
      <c r="W18" s="41">
        <f t="shared" si="2"/>
        <v>7075448</v>
      </c>
    </row>
    <row r="19" spans="2:23">
      <c r="B19" s="385"/>
      <c r="C19" s="33" t="s">
        <v>56</v>
      </c>
      <c r="D19" s="42">
        <f>SUM(D8:D18)</f>
        <v>25742.666666666668</v>
      </c>
      <c r="E19" s="43">
        <f t="shared" ref="E19:G19" si="8">SUM(E8:E18)</f>
        <v>3028.6666666666665</v>
      </c>
      <c r="F19" s="43">
        <f t="shared" si="8"/>
        <v>920.25</v>
      </c>
      <c r="G19" s="43">
        <f t="shared" si="8"/>
        <v>14</v>
      </c>
      <c r="H19" s="43">
        <f>SUM(H8:H18)</f>
        <v>169</v>
      </c>
      <c r="I19" s="44">
        <f t="shared" ref="I19:W19" si="9">SUM(I8:I18)</f>
        <v>29880.583333333332</v>
      </c>
      <c r="J19" s="45"/>
      <c r="K19" s="42">
        <f t="shared" si="9"/>
        <v>161137279.07323182</v>
      </c>
      <c r="L19" s="43">
        <f t="shared" si="9"/>
        <v>53926034.769999996</v>
      </c>
      <c r="M19" s="46">
        <f t="shared" si="9"/>
        <v>81398717</v>
      </c>
      <c r="N19" s="46">
        <f t="shared" si="9"/>
        <v>36665885</v>
      </c>
      <c r="O19" s="46">
        <f t="shared" si="9"/>
        <v>3149905.7024592906</v>
      </c>
      <c r="P19" s="47">
        <f t="shared" si="9"/>
        <v>336277821.54569113</v>
      </c>
      <c r="Q19" s="45"/>
      <c r="R19" s="48">
        <f>SUM(R8:R18)</f>
        <v>25082433.740400005</v>
      </c>
      <c r="S19" s="49">
        <f t="shared" si="9"/>
        <v>8672681.5774299987</v>
      </c>
      <c r="T19" s="49">
        <f t="shared" si="9"/>
        <v>11952857.611864805</v>
      </c>
      <c r="U19" s="49">
        <f t="shared" si="9"/>
        <v>5540604.0944000008</v>
      </c>
      <c r="V19" s="49">
        <f t="shared" si="9"/>
        <v>590791.56641999993</v>
      </c>
      <c r="W19" s="50">
        <f t="shared" si="9"/>
        <v>51839368.590514809</v>
      </c>
    </row>
    <row r="20" spans="2:23">
      <c r="B20" s="5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2:23">
      <c r="B21" s="5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2:23" ht="15" thickBot="1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2:23" ht="15" thickBot="1">
      <c r="B23" s="369">
        <v>2018</v>
      </c>
      <c r="C23" s="372">
        <v>2018</v>
      </c>
      <c r="D23" s="372"/>
      <c r="E23" s="372"/>
      <c r="F23" s="372"/>
      <c r="G23" s="372"/>
      <c r="H23" s="372"/>
      <c r="I23" s="372"/>
      <c r="J23" s="373"/>
      <c r="K23" s="372"/>
      <c r="L23" s="372"/>
      <c r="M23" s="372"/>
      <c r="N23" s="372"/>
      <c r="O23" s="372"/>
      <c r="P23" s="372"/>
      <c r="Q23" s="373"/>
      <c r="R23" s="372"/>
      <c r="S23" s="372"/>
      <c r="T23" s="372"/>
      <c r="U23" s="372"/>
      <c r="V23" s="372"/>
      <c r="W23" s="374"/>
    </row>
    <row r="24" spans="2:23" ht="23.25" customHeight="1" thickTop="1">
      <c r="B24" s="370"/>
      <c r="C24" s="13"/>
      <c r="D24" s="375" t="s">
        <v>22</v>
      </c>
      <c r="E24" s="375"/>
      <c r="F24" s="375"/>
      <c r="G24" s="375"/>
      <c r="H24" s="375"/>
      <c r="I24" s="375"/>
      <c r="J24" s="14"/>
      <c r="K24" s="376" t="s">
        <v>23</v>
      </c>
      <c r="L24" s="377"/>
      <c r="M24" s="377"/>
      <c r="N24" s="377"/>
      <c r="O24" s="377"/>
      <c r="P24" s="378"/>
      <c r="Q24" s="14"/>
      <c r="R24" s="376" t="s">
        <v>24</v>
      </c>
      <c r="S24" s="377"/>
      <c r="T24" s="377"/>
      <c r="U24" s="377"/>
      <c r="V24" s="377"/>
      <c r="W24" s="378"/>
    </row>
    <row r="25" spans="2:23" ht="28">
      <c r="B25" s="370"/>
      <c r="C25" s="52" t="s">
        <v>25</v>
      </c>
      <c r="D25" s="16" t="s">
        <v>26</v>
      </c>
      <c r="E25" s="17" t="s">
        <v>27</v>
      </c>
      <c r="F25" s="17" t="s">
        <v>28</v>
      </c>
      <c r="G25" s="17" t="s">
        <v>29</v>
      </c>
      <c r="H25" s="17" t="s">
        <v>30</v>
      </c>
      <c r="I25" s="18" t="s">
        <v>31</v>
      </c>
      <c r="J25" s="19"/>
      <c r="K25" s="16" t="s">
        <v>32</v>
      </c>
      <c r="L25" s="17" t="s">
        <v>33</v>
      </c>
      <c r="M25" s="17" t="s">
        <v>34</v>
      </c>
      <c r="N25" s="17" t="s">
        <v>35</v>
      </c>
      <c r="O25" s="17" t="s">
        <v>36</v>
      </c>
      <c r="P25" s="18" t="s">
        <v>37</v>
      </c>
      <c r="Q25" s="19"/>
      <c r="R25" s="16" t="s">
        <v>38</v>
      </c>
      <c r="S25" s="17" t="s">
        <v>39</v>
      </c>
      <c r="T25" s="17" t="s">
        <v>40</v>
      </c>
      <c r="U25" s="17" t="s">
        <v>41</v>
      </c>
      <c r="V25" s="17" t="s">
        <v>42</v>
      </c>
      <c r="W25" s="18" t="s">
        <v>43</v>
      </c>
    </row>
    <row r="26" spans="2:23">
      <c r="B26" s="370"/>
      <c r="C26" s="53" t="s">
        <v>44</v>
      </c>
      <c r="D26" s="21">
        <v>1945.3333333333333</v>
      </c>
      <c r="E26" s="22">
        <v>188.16666666666666</v>
      </c>
      <c r="F26" s="22">
        <v>25</v>
      </c>
      <c r="G26" s="22">
        <v>0</v>
      </c>
      <c r="H26" s="22">
        <v>4.8333333333333339</v>
      </c>
      <c r="I26" s="23">
        <f t="shared" ref="I26:I36" si="10">SUM(D26:H26)</f>
        <v>2163.3333333333335</v>
      </c>
      <c r="J26" s="12"/>
      <c r="K26" s="54">
        <v>10185244</v>
      </c>
      <c r="L26" s="55">
        <v>1018901</v>
      </c>
      <c r="M26" s="55">
        <v>2314700</v>
      </c>
      <c r="N26" s="55">
        <v>0</v>
      </c>
      <c r="O26" s="55">
        <v>127277</v>
      </c>
      <c r="P26" s="56">
        <f>SUM(K26:O26)</f>
        <v>13646122</v>
      </c>
      <c r="Q26" s="12"/>
      <c r="R26" s="27">
        <v>2023464.1399999997</v>
      </c>
      <c r="S26" s="28">
        <v>220235.6126781865</v>
      </c>
      <c r="T26" s="28">
        <v>468974.00732181361</v>
      </c>
      <c r="U26" s="22">
        <v>0</v>
      </c>
      <c r="V26" s="57">
        <v>34203.71</v>
      </c>
      <c r="W26" s="58">
        <f>SUM(R26:V26)</f>
        <v>2746877.4699999997</v>
      </c>
    </row>
    <row r="27" spans="2:23">
      <c r="B27" s="370"/>
      <c r="C27" s="53" t="s">
        <v>45</v>
      </c>
      <c r="D27" s="24">
        <v>1527.6666666666667</v>
      </c>
      <c r="E27" s="25">
        <v>190.16666666666666</v>
      </c>
      <c r="F27" s="22">
        <v>19.916666666666668</v>
      </c>
      <c r="G27" s="22">
        <v>4</v>
      </c>
      <c r="H27" s="22">
        <v>7</v>
      </c>
      <c r="I27" s="23">
        <f t="shared" si="10"/>
        <v>1748.7500000000002</v>
      </c>
      <c r="J27" s="12"/>
      <c r="K27" s="21">
        <v>14497055.686909581</v>
      </c>
      <c r="L27" s="22">
        <v>2297852</v>
      </c>
      <c r="M27" s="22">
        <v>2938148</v>
      </c>
      <c r="N27" s="22">
        <v>6962440</v>
      </c>
      <c r="O27" s="22">
        <v>152602.69474459067</v>
      </c>
      <c r="P27" s="26">
        <f t="shared" ref="P27:P36" si="11">SUM(K27:O27)</f>
        <v>26848098.381654169</v>
      </c>
      <c r="Q27" s="12"/>
      <c r="R27" s="27">
        <v>2279475.3448000005</v>
      </c>
      <c r="S27" s="28">
        <v>375503.97404000006</v>
      </c>
      <c r="T27" s="28">
        <v>453979.98848</v>
      </c>
      <c r="U27" s="28">
        <v>996986.01079999981</v>
      </c>
      <c r="V27" s="57">
        <v>27288.614800000007</v>
      </c>
      <c r="W27" s="58">
        <f t="shared" ref="W27:W36" si="12">SUM(R27:V27)</f>
        <v>4133233.9329200005</v>
      </c>
    </row>
    <row r="28" spans="2:23">
      <c r="B28" s="370"/>
      <c r="C28" s="53" t="s">
        <v>46</v>
      </c>
      <c r="D28" s="24">
        <v>4066</v>
      </c>
      <c r="E28" s="25">
        <v>381</v>
      </c>
      <c r="F28" s="22">
        <v>29</v>
      </c>
      <c r="G28" s="22">
        <v>0</v>
      </c>
      <c r="H28" s="22">
        <v>20</v>
      </c>
      <c r="I28" s="23">
        <f t="shared" si="10"/>
        <v>4496</v>
      </c>
      <c r="J28" s="12"/>
      <c r="K28" s="21">
        <v>23528620</v>
      </c>
      <c r="L28" s="22">
        <f>4990052</f>
        <v>4990052</v>
      </c>
      <c r="M28" s="22">
        <v>4846138</v>
      </c>
      <c r="N28" s="22">
        <v>0</v>
      </c>
      <c r="O28" s="22">
        <f>122710+58246</f>
        <v>180956</v>
      </c>
      <c r="P28" s="26">
        <f t="shared" si="11"/>
        <v>33545766</v>
      </c>
      <c r="Q28" s="12"/>
      <c r="R28" s="27">
        <v>4100333</v>
      </c>
      <c r="S28" s="28">
        <f>910999</f>
        <v>910999</v>
      </c>
      <c r="T28" s="28">
        <v>825896</v>
      </c>
      <c r="U28" s="22">
        <v>0</v>
      </c>
      <c r="V28" s="28">
        <f>44791</f>
        <v>44791</v>
      </c>
      <c r="W28" s="29">
        <f t="shared" si="12"/>
        <v>5882019</v>
      </c>
    </row>
    <row r="29" spans="2:23">
      <c r="B29" s="370"/>
      <c r="C29" s="53" t="s">
        <v>47</v>
      </c>
      <c r="D29" s="24">
        <v>657.91666666666663</v>
      </c>
      <c r="E29" s="25">
        <v>51.083333333333336</v>
      </c>
      <c r="F29" s="22">
        <v>0</v>
      </c>
      <c r="G29" s="22">
        <v>4</v>
      </c>
      <c r="H29" s="22">
        <v>1</v>
      </c>
      <c r="I29" s="23">
        <f t="shared" si="10"/>
        <v>714</v>
      </c>
      <c r="J29" s="12"/>
      <c r="K29" s="21">
        <v>3502190</v>
      </c>
      <c r="L29" s="22">
        <v>568351</v>
      </c>
      <c r="M29" s="22">
        <v>0</v>
      </c>
      <c r="N29" s="22">
        <v>899706</v>
      </c>
      <c r="O29" s="22">
        <v>17043.150000000001</v>
      </c>
      <c r="P29" s="26">
        <f t="shared" si="11"/>
        <v>4987290.1500000004</v>
      </c>
      <c r="Q29" s="12"/>
      <c r="R29" s="27">
        <v>598296.15</v>
      </c>
      <c r="S29" s="28">
        <v>98231.41</v>
      </c>
      <c r="T29" s="28">
        <v>0</v>
      </c>
      <c r="U29" s="28">
        <v>157000.22</v>
      </c>
      <c r="V29" s="57">
        <v>3293.92</v>
      </c>
      <c r="W29" s="58">
        <f t="shared" si="12"/>
        <v>856821.70000000007</v>
      </c>
    </row>
    <row r="30" spans="2:23">
      <c r="B30" s="370"/>
      <c r="C30" s="53" t="s">
        <v>48</v>
      </c>
      <c r="D30" s="24">
        <v>801.83333333333337</v>
      </c>
      <c r="E30" s="25">
        <v>126.41666666666667</v>
      </c>
      <c r="F30" s="22">
        <v>15.333333333333334</v>
      </c>
      <c r="G30" s="22">
        <v>0</v>
      </c>
      <c r="H30" s="22">
        <v>33.083333333333336</v>
      </c>
      <c r="I30" s="23">
        <f t="shared" si="10"/>
        <v>976.66666666666674</v>
      </c>
      <c r="J30" s="12"/>
      <c r="K30" s="21">
        <v>5152902.58</v>
      </c>
      <c r="L30" s="22">
        <v>1594005</v>
      </c>
      <c r="M30" s="22">
        <v>5696986</v>
      </c>
      <c r="N30" s="22">
        <v>0</v>
      </c>
      <c r="O30" s="22">
        <v>65597.41</v>
      </c>
      <c r="P30" s="26">
        <f t="shared" si="11"/>
        <v>12509490.99</v>
      </c>
      <c r="Q30" s="12"/>
      <c r="R30" s="27">
        <v>896541.02999999991</v>
      </c>
      <c r="S30" s="28">
        <v>305065.56</v>
      </c>
      <c r="T30" s="28">
        <v>923855.2</v>
      </c>
      <c r="U30" s="22">
        <v>0</v>
      </c>
      <c r="V30" s="57">
        <v>15573.14</v>
      </c>
      <c r="W30" s="58">
        <f t="shared" si="12"/>
        <v>2141034.9300000002</v>
      </c>
    </row>
    <row r="31" spans="2:23">
      <c r="B31" s="370"/>
      <c r="C31" s="53" t="s">
        <v>49</v>
      </c>
      <c r="D31" s="22">
        <v>3045</v>
      </c>
      <c r="E31" s="30" t="s">
        <v>50</v>
      </c>
      <c r="F31" s="22">
        <v>704</v>
      </c>
      <c r="G31" s="22">
        <v>4</v>
      </c>
      <c r="H31" s="22">
        <v>4</v>
      </c>
      <c r="I31" s="26">
        <f t="shared" si="10"/>
        <v>3757</v>
      </c>
      <c r="J31" s="12"/>
      <c r="K31" s="21">
        <v>17141759</v>
      </c>
      <c r="L31" s="30" t="s">
        <v>50</v>
      </c>
      <c r="M31" s="22">
        <v>16905568</v>
      </c>
      <c r="N31" s="22">
        <v>20126143</v>
      </c>
      <c r="O31" s="22">
        <f>347690+58257</f>
        <v>405947</v>
      </c>
      <c r="P31" s="26">
        <f t="shared" si="11"/>
        <v>54579417</v>
      </c>
      <c r="Q31" s="12"/>
      <c r="R31" s="27">
        <v>2244246</v>
      </c>
      <c r="S31" s="32" t="s">
        <v>50</v>
      </c>
      <c r="T31" s="28">
        <v>2875778</v>
      </c>
      <c r="U31" s="28">
        <v>2859438</v>
      </c>
      <c r="V31" s="28">
        <v>98742</v>
      </c>
      <c r="W31" s="29">
        <f t="shared" si="12"/>
        <v>8078204</v>
      </c>
    </row>
    <row r="32" spans="2:23">
      <c r="B32" s="370"/>
      <c r="C32" s="53" t="s">
        <v>51</v>
      </c>
      <c r="D32" s="21">
        <v>4839.75</v>
      </c>
      <c r="E32" s="22">
        <v>866.25</v>
      </c>
      <c r="F32" s="22">
        <v>41.25</v>
      </c>
      <c r="G32" s="22">
        <v>0</v>
      </c>
      <c r="H32" s="22">
        <v>0</v>
      </c>
      <c r="I32" s="26">
        <f t="shared" si="10"/>
        <v>5747.25</v>
      </c>
      <c r="J32" s="12"/>
      <c r="K32" s="21">
        <v>31156590</v>
      </c>
      <c r="L32" s="22">
        <v>10936043</v>
      </c>
      <c r="M32" s="22">
        <v>15962108</v>
      </c>
      <c r="N32" s="22">
        <v>0</v>
      </c>
      <c r="O32" s="22">
        <v>477849</v>
      </c>
      <c r="P32" s="26">
        <f>SUM(K32:O32)</f>
        <v>58532590</v>
      </c>
      <c r="Q32" s="12"/>
      <c r="R32" s="27">
        <v>4883650.49</v>
      </c>
      <c r="S32" s="28">
        <v>1823677.044</v>
      </c>
      <c r="T32" s="28">
        <v>2400957.9560000002</v>
      </c>
      <c r="U32" s="22">
        <v>0</v>
      </c>
      <c r="V32" s="28">
        <v>99714</v>
      </c>
      <c r="W32" s="29">
        <f t="shared" si="12"/>
        <v>9207999.4900000002</v>
      </c>
    </row>
    <row r="33" spans="2:23">
      <c r="B33" s="370"/>
      <c r="C33" s="53" t="s">
        <v>52</v>
      </c>
      <c r="D33" s="22">
        <v>3568</v>
      </c>
      <c r="E33" s="22">
        <v>648</v>
      </c>
      <c r="F33" s="22">
        <v>0</v>
      </c>
      <c r="G33" s="22">
        <v>0</v>
      </c>
      <c r="H33" s="22">
        <v>3</v>
      </c>
      <c r="I33" s="26">
        <f t="shared" si="10"/>
        <v>4219</v>
      </c>
      <c r="J33" s="12"/>
      <c r="K33" s="21">
        <v>21688925</v>
      </c>
      <c r="L33" s="22">
        <v>24062506</v>
      </c>
      <c r="M33" s="22">
        <v>0</v>
      </c>
      <c r="N33" s="22">
        <v>0</v>
      </c>
      <c r="O33" s="22">
        <v>37441</v>
      </c>
      <c r="P33" s="26">
        <f t="shared" ref="P33" si="13">SUM(K33:O33)</f>
        <v>45788872</v>
      </c>
      <c r="Q33" s="12"/>
      <c r="R33" s="27">
        <v>3365273</v>
      </c>
      <c r="S33" s="28">
        <v>3693441</v>
      </c>
      <c r="T33" s="22">
        <v>0</v>
      </c>
      <c r="U33" s="22">
        <v>0</v>
      </c>
      <c r="V33" s="28">
        <v>22773</v>
      </c>
      <c r="W33" s="29">
        <f t="shared" si="12"/>
        <v>7081487</v>
      </c>
    </row>
    <row r="34" spans="2:23">
      <c r="B34" s="370"/>
      <c r="C34" s="53" t="s">
        <v>53</v>
      </c>
      <c r="D34" s="24">
        <v>1609.8333333333333</v>
      </c>
      <c r="E34" s="25">
        <v>199</v>
      </c>
      <c r="F34" s="22">
        <v>15.833333333333334</v>
      </c>
      <c r="G34" s="22">
        <v>1</v>
      </c>
      <c r="H34" s="22">
        <v>32</v>
      </c>
      <c r="I34" s="23">
        <f t="shared" si="10"/>
        <v>1857.6666666666665</v>
      </c>
      <c r="J34" s="12"/>
      <c r="K34" s="21">
        <v>10189153</v>
      </c>
      <c r="L34" s="22">
        <v>2420080</v>
      </c>
      <c r="M34" s="22">
        <v>6992925</v>
      </c>
      <c r="N34" s="22">
        <v>8525879</v>
      </c>
      <c r="O34" s="22">
        <v>89238</v>
      </c>
      <c r="P34" s="26">
        <f t="shared" si="11"/>
        <v>28217275</v>
      </c>
      <c r="Q34" s="12"/>
      <c r="R34" s="27">
        <v>1407138.15</v>
      </c>
      <c r="S34" s="28">
        <v>390865.08761999995</v>
      </c>
      <c r="T34" s="28">
        <v>879968.19237999979</v>
      </c>
      <c r="U34" s="28">
        <v>1066187.1200000001</v>
      </c>
      <c r="V34" s="57">
        <v>25753.040000000001</v>
      </c>
      <c r="W34" s="58">
        <f t="shared" si="12"/>
        <v>3769911.59</v>
      </c>
    </row>
    <row r="35" spans="2:23">
      <c r="B35" s="370"/>
      <c r="C35" s="53" t="s">
        <v>54</v>
      </c>
      <c r="D35" s="24">
        <v>582</v>
      </c>
      <c r="E35" s="25">
        <v>65</v>
      </c>
      <c r="F35" s="22">
        <v>0</v>
      </c>
      <c r="G35" s="22">
        <v>1</v>
      </c>
      <c r="H35" s="22">
        <v>21</v>
      </c>
      <c r="I35" s="23">
        <f t="shared" si="10"/>
        <v>669</v>
      </c>
      <c r="J35" s="12"/>
      <c r="K35" s="21">
        <v>4164360</v>
      </c>
      <c r="L35" s="22">
        <v>1644934</v>
      </c>
      <c r="M35" s="22">
        <v>0</v>
      </c>
      <c r="N35" s="22">
        <v>7332000</v>
      </c>
      <c r="O35" s="22">
        <v>548763</v>
      </c>
      <c r="P35" s="26">
        <f t="shared" si="11"/>
        <v>13690057</v>
      </c>
      <c r="Q35" s="12"/>
      <c r="R35" s="27">
        <v>537698.6</v>
      </c>
      <c r="S35" s="28">
        <v>232259.58</v>
      </c>
      <c r="T35" s="22">
        <v>0</v>
      </c>
      <c r="U35" s="28">
        <v>1086965.42</v>
      </c>
      <c r="V35" s="57">
        <v>79967.149999999994</v>
      </c>
      <c r="W35" s="58">
        <f t="shared" si="12"/>
        <v>1936890.7499999998</v>
      </c>
    </row>
    <row r="36" spans="2:23">
      <c r="B36" s="370"/>
      <c r="C36" s="59" t="s">
        <v>55</v>
      </c>
      <c r="D36" s="34">
        <v>3259</v>
      </c>
      <c r="E36" s="35">
        <v>509</v>
      </c>
      <c r="F36" s="36">
        <v>0</v>
      </c>
      <c r="G36" s="36">
        <v>0</v>
      </c>
      <c r="H36" s="36">
        <v>13</v>
      </c>
      <c r="I36" s="37">
        <f t="shared" si="10"/>
        <v>3781</v>
      </c>
      <c r="J36" s="12"/>
      <c r="K36" s="60">
        <v>26699555</v>
      </c>
      <c r="L36" s="36">
        <v>26848517</v>
      </c>
      <c r="M36" s="36">
        <v>0</v>
      </c>
      <c r="N36" s="36">
        <v>0</v>
      </c>
      <c r="O36" s="36">
        <v>1071718</v>
      </c>
      <c r="P36" s="38">
        <f t="shared" si="11"/>
        <v>54619790</v>
      </c>
      <c r="Q36" s="12"/>
      <c r="R36" s="27">
        <v>3485460</v>
      </c>
      <c r="S36" s="28">
        <v>3378142</v>
      </c>
      <c r="T36" s="28">
        <v>0</v>
      </c>
      <c r="U36" s="28">
        <v>0</v>
      </c>
      <c r="V36" s="57">
        <v>138781</v>
      </c>
      <c r="W36" s="58">
        <f t="shared" si="12"/>
        <v>7002383</v>
      </c>
    </row>
    <row r="37" spans="2:23" ht="15" thickBot="1">
      <c r="B37" s="382"/>
      <c r="C37" s="61" t="s">
        <v>56</v>
      </c>
      <c r="D37" s="42">
        <f>SUM(D26:D36)</f>
        <v>25902.333333333332</v>
      </c>
      <c r="E37" s="43">
        <f t="shared" ref="E37:G37" si="14">SUM(E26:E36)</f>
        <v>3224.083333333333</v>
      </c>
      <c r="F37" s="43">
        <f t="shared" si="14"/>
        <v>850.33333333333337</v>
      </c>
      <c r="G37" s="43">
        <f t="shared" si="14"/>
        <v>14</v>
      </c>
      <c r="H37" s="43">
        <f>SUM(H26:H36)</f>
        <v>138.91666666666669</v>
      </c>
      <c r="I37" s="44">
        <f t="shared" ref="I37" si="15">SUM(I26:I36)</f>
        <v>30129.666666666668</v>
      </c>
      <c r="J37" s="45"/>
      <c r="K37" s="42">
        <f t="shared" ref="K37:P37" si="16">SUM(K26:K36)</f>
        <v>167906354.26690957</v>
      </c>
      <c r="L37" s="43">
        <f t="shared" si="16"/>
        <v>76381241</v>
      </c>
      <c r="M37" s="43">
        <f t="shared" si="16"/>
        <v>55656573</v>
      </c>
      <c r="N37" s="43">
        <f t="shared" si="16"/>
        <v>43846168</v>
      </c>
      <c r="O37" s="43">
        <f t="shared" si="16"/>
        <v>3174432.2547445907</v>
      </c>
      <c r="P37" s="44">
        <f t="shared" si="16"/>
        <v>346964768.52165419</v>
      </c>
      <c r="Q37" s="45"/>
      <c r="R37" s="62">
        <f>SUM(R26:R36)</f>
        <v>25821575.904799998</v>
      </c>
      <c r="S37" s="63">
        <f t="shared" ref="S37:T37" si="17">SUM(S26:S36)</f>
        <v>11428420.268338187</v>
      </c>
      <c r="T37" s="63">
        <f t="shared" si="17"/>
        <v>8829409.3441818133</v>
      </c>
      <c r="U37" s="63">
        <f>SUM(U26:U36)</f>
        <v>6166576.7708000001</v>
      </c>
      <c r="V37" s="63">
        <f t="shared" ref="V37:W37" si="18">SUM(V26:V36)</f>
        <v>590880.57479999994</v>
      </c>
      <c r="W37" s="64">
        <f t="shared" si="18"/>
        <v>52836862.862920001</v>
      </c>
    </row>
    <row r="38" spans="2:2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  <row r="40" spans="2:23" ht="15" thickBot="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</row>
    <row r="41" spans="2:23" ht="15" thickBot="1">
      <c r="B41" s="369">
        <v>2019</v>
      </c>
      <c r="C41" s="372">
        <v>2019</v>
      </c>
      <c r="D41" s="372"/>
      <c r="E41" s="372"/>
      <c r="F41" s="372"/>
      <c r="G41" s="372"/>
      <c r="H41" s="372"/>
      <c r="I41" s="372"/>
      <c r="J41" s="373"/>
      <c r="K41" s="372"/>
      <c r="L41" s="372"/>
      <c r="M41" s="372"/>
      <c r="N41" s="372"/>
      <c r="O41" s="372"/>
      <c r="P41" s="372"/>
      <c r="Q41" s="373"/>
      <c r="R41" s="372"/>
      <c r="S41" s="372"/>
      <c r="T41" s="372"/>
      <c r="U41" s="372"/>
      <c r="V41" s="372"/>
      <c r="W41" s="374"/>
    </row>
    <row r="42" spans="2:23" ht="22.5" customHeight="1" thickTop="1">
      <c r="B42" s="370"/>
      <c r="C42" s="13"/>
      <c r="D42" s="375" t="s">
        <v>22</v>
      </c>
      <c r="E42" s="375"/>
      <c r="F42" s="375"/>
      <c r="G42" s="375"/>
      <c r="H42" s="375"/>
      <c r="I42" s="375"/>
      <c r="J42" s="14"/>
      <c r="K42" s="376" t="s">
        <v>23</v>
      </c>
      <c r="L42" s="377"/>
      <c r="M42" s="377"/>
      <c r="N42" s="377"/>
      <c r="O42" s="377"/>
      <c r="P42" s="378"/>
      <c r="Q42" s="14"/>
      <c r="R42" s="376" t="s">
        <v>24</v>
      </c>
      <c r="S42" s="377"/>
      <c r="T42" s="377"/>
      <c r="U42" s="377"/>
      <c r="V42" s="377"/>
      <c r="W42" s="378"/>
    </row>
    <row r="43" spans="2:23" ht="28">
      <c r="B43" s="383"/>
      <c r="C43" s="52" t="s">
        <v>25</v>
      </c>
      <c r="D43" s="16" t="s">
        <v>26</v>
      </c>
      <c r="E43" s="17" t="s">
        <v>27</v>
      </c>
      <c r="F43" s="17" t="s">
        <v>28</v>
      </c>
      <c r="G43" s="17" t="s">
        <v>29</v>
      </c>
      <c r="H43" s="17" t="s">
        <v>30</v>
      </c>
      <c r="I43" s="18" t="s">
        <v>31</v>
      </c>
      <c r="J43" s="19"/>
      <c r="K43" s="16" t="s">
        <v>32</v>
      </c>
      <c r="L43" s="17" t="s">
        <v>33</v>
      </c>
      <c r="M43" s="17" t="s">
        <v>34</v>
      </c>
      <c r="N43" s="17" t="s">
        <v>35</v>
      </c>
      <c r="O43" s="17" t="s">
        <v>36</v>
      </c>
      <c r="P43" s="18" t="s">
        <v>37</v>
      </c>
      <c r="Q43" s="19"/>
      <c r="R43" s="16" t="s">
        <v>38</v>
      </c>
      <c r="S43" s="17" t="s">
        <v>39</v>
      </c>
      <c r="T43" s="17" t="s">
        <v>40</v>
      </c>
      <c r="U43" s="17" t="s">
        <v>41</v>
      </c>
      <c r="V43" s="17" t="s">
        <v>42</v>
      </c>
      <c r="W43" s="18" t="s">
        <v>43</v>
      </c>
    </row>
    <row r="44" spans="2:23">
      <c r="B44" s="383"/>
      <c r="C44" s="53" t="s">
        <v>44</v>
      </c>
      <c r="D44" s="24">
        <v>1957</v>
      </c>
      <c r="E44" s="25">
        <v>187.16666666666666</v>
      </c>
      <c r="F44" s="22">
        <v>27</v>
      </c>
      <c r="G44" s="22">
        <v>0</v>
      </c>
      <c r="H44" s="22">
        <v>5</v>
      </c>
      <c r="I44" s="23">
        <f t="shared" ref="I44:I53" si="19">SUM(D44:H44)</f>
        <v>2176.1666666666665</v>
      </c>
      <c r="J44" s="12"/>
      <c r="K44" s="21">
        <v>10099154</v>
      </c>
      <c r="L44" s="22">
        <v>1017070</v>
      </c>
      <c r="M44" s="22">
        <v>2332694</v>
      </c>
      <c r="N44" s="22">
        <v>0</v>
      </c>
      <c r="O44" s="22">
        <v>115951</v>
      </c>
      <c r="P44" s="26">
        <f>SUM(K44:O44)</f>
        <v>13564869</v>
      </c>
      <c r="Q44" s="12"/>
      <c r="R44" s="65">
        <v>1993282.0299999996</v>
      </c>
      <c r="S44" s="66">
        <v>218580.94342981864</v>
      </c>
      <c r="T44" s="66">
        <v>467438.67657018139</v>
      </c>
      <c r="U44" s="55">
        <v>0</v>
      </c>
      <c r="V44" s="67">
        <v>34252.94</v>
      </c>
      <c r="W44" s="68">
        <f>SUM(R44:V44)</f>
        <v>2713554.5899999994</v>
      </c>
    </row>
    <row r="45" spans="2:23">
      <c r="B45" s="383"/>
      <c r="C45" s="53" t="s">
        <v>45</v>
      </c>
      <c r="D45" s="24">
        <v>1544.25</v>
      </c>
      <c r="E45" s="25">
        <v>193.91666666666666</v>
      </c>
      <c r="F45" s="22">
        <v>20.166666666666668</v>
      </c>
      <c r="G45" s="22">
        <v>4</v>
      </c>
      <c r="H45" s="22">
        <v>7</v>
      </c>
      <c r="I45" s="23">
        <f t="shared" si="19"/>
        <v>1769.3333333333335</v>
      </c>
      <c r="J45" s="12"/>
      <c r="K45" s="21">
        <v>13654274.336328056</v>
      </c>
      <c r="L45" s="22">
        <v>2326872</v>
      </c>
      <c r="M45" s="22">
        <v>2943265</v>
      </c>
      <c r="N45" s="22">
        <v>7210800</v>
      </c>
      <c r="O45" s="22">
        <v>126686.00000000001</v>
      </c>
      <c r="P45" s="26">
        <f t="shared" ref="P45:P53" si="20">SUM(K45:O45)</f>
        <v>26261897.336328056</v>
      </c>
      <c r="Q45" s="12"/>
      <c r="R45" s="27">
        <v>2193572.80528</v>
      </c>
      <c r="S45" s="28">
        <v>380468.59943999996</v>
      </c>
      <c r="T45" s="28">
        <v>451034.41065000003</v>
      </c>
      <c r="U45" s="28">
        <v>932148.11199999985</v>
      </c>
      <c r="V45" s="57">
        <v>26797.323460000003</v>
      </c>
      <c r="W45" s="58">
        <f t="shared" ref="W45:W54" si="21">SUM(R45:V45)</f>
        <v>3984021.2508299998</v>
      </c>
    </row>
    <row r="46" spans="2:23">
      <c r="B46" s="383"/>
      <c r="C46" s="53" t="s">
        <v>46</v>
      </c>
      <c r="D46" s="22">
        <v>4020</v>
      </c>
      <c r="E46" s="22">
        <v>398</v>
      </c>
      <c r="F46" s="22">
        <v>29</v>
      </c>
      <c r="G46" s="22">
        <v>0</v>
      </c>
      <c r="H46" s="22">
        <v>20</v>
      </c>
      <c r="I46" s="26">
        <f t="shared" si="19"/>
        <v>4467</v>
      </c>
      <c r="J46" s="12"/>
      <c r="K46" s="21">
        <v>23422104</v>
      </c>
      <c r="L46" s="22">
        <f>5020669</f>
        <v>5020669</v>
      </c>
      <c r="M46" s="22">
        <v>5174088</v>
      </c>
      <c r="N46" s="22">
        <v>0</v>
      </c>
      <c r="O46" s="22">
        <f>122287+45927</f>
        <v>168214</v>
      </c>
      <c r="P46" s="26">
        <f t="shared" si="20"/>
        <v>33785075</v>
      </c>
      <c r="Q46" s="12"/>
      <c r="R46" s="27">
        <v>4230840</v>
      </c>
      <c r="S46" s="28">
        <f>919854</f>
        <v>919854</v>
      </c>
      <c r="T46" s="28">
        <v>911324</v>
      </c>
      <c r="U46" s="28">
        <v>0</v>
      </c>
      <c r="V46" s="28">
        <f>46577+2384+1</f>
        <v>48962</v>
      </c>
      <c r="W46" s="29">
        <f t="shared" si="21"/>
        <v>6110980</v>
      </c>
    </row>
    <row r="47" spans="2:23">
      <c r="B47" s="383"/>
      <c r="C47" s="53" t="s">
        <v>47</v>
      </c>
      <c r="D47" s="24">
        <v>656</v>
      </c>
      <c r="E47" s="25">
        <v>50</v>
      </c>
      <c r="F47" s="22">
        <v>0</v>
      </c>
      <c r="G47" s="22">
        <v>4</v>
      </c>
      <c r="H47" s="22">
        <v>1</v>
      </c>
      <c r="I47" s="23">
        <f t="shared" si="19"/>
        <v>711</v>
      </c>
      <c r="J47" s="12"/>
      <c r="K47" s="21">
        <v>3468887</v>
      </c>
      <c r="L47" s="22">
        <v>555038</v>
      </c>
      <c r="M47" s="22">
        <v>0</v>
      </c>
      <c r="N47" s="22">
        <v>865613</v>
      </c>
      <c r="O47" s="22">
        <v>16961.300000000003</v>
      </c>
      <c r="P47" s="26">
        <f t="shared" si="20"/>
        <v>4906499.3</v>
      </c>
      <c r="Q47" s="12"/>
      <c r="R47" s="27">
        <v>589947.00000000012</v>
      </c>
      <c r="S47" s="28">
        <v>95533.190000000017</v>
      </c>
      <c r="T47" s="28">
        <v>0</v>
      </c>
      <c r="U47" s="28">
        <v>150155.91999999998</v>
      </c>
      <c r="V47" s="57">
        <v>3280.0800000000004</v>
      </c>
      <c r="W47" s="58">
        <f t="shared" si="21"/>
        <v>838916.19000000006</v>
      </c>
    </row>
    <row r="48" spans="2:23">
      <c r="B48" s="383"/>
      <c r="C48" s="53" t="s">
        <v>48</v>
      </c>
      <c r="D48" s="24">
        <v>805</v>
      </c>
      <c r="E48" s="25">
        <v>123</v>
      </c>
      <c r="F48" s="22">
        <v>16</v>
      </c>
      <c r="G48" s="22">
        <v>0</v>
      </c>
      <c r="H48" s="22">
        <v>33.083333333333336</v>
      </c>
      <c r="I48" s="23">
        <f t="shared" si="19"/>
        <v>977.08333333333337</v>
      </c>
      <c r="J48" s="12"/>
      <c r="K48" s="21">
        <v>5134304</v>
      </c>
      <c r="L48" s="22">
        <v>1614204.68</v>
      </c>
      <c r="M48" s="22">
        <v>5770337.3399999999</v>
      </c>
      <c r="N48" s="22">
        <v>0</v>
      </c>
      <c r="O48" s="22">
        <v>63661</v>
      </c>
      <c r="P48" s="26">
        <f t="shared" si="20"/>
        <v>12582507.02</v>
      </c>
      <c r="Q48" s="12"/>
      <c r="R48" s="27">
        <v>892953.86999999988</v>
      </c>
      <c r="S48" s="28">
        <v>309559.67</v>
      </c>
      <c r="T48" s="28">
        <v>930265.24</v>
      </c>
      <c r="U48" s="22">
        <v>0</v>
      </c>
      <c r="V48" s="57">
        <v>15151.86</v>
      </c>
      <c r="W48" s="58">
        <f t="shared" si="21"/>
        <v>2147930.6399999997</v>
      </c>
    </row>
    <row r="49" spans="2:23">
      <c r="B49" s="383"/>
      <c r="C49" s="69" t="s">
        <v>49</v>
      </c>
      <c r="D49" s="22">
        <v>3090</v>
      </c>
      <c r="E49" s="30" t="s">
        <v>50</v>
      </c>
      <c r="F49" s="22">
        <f>607+117-4</f>
        <v>720</v>
      </c>
      <c r="G49" s="22">
        <v>4</v>
      </c>
      <c r="H49" s="22">
        <v>3</v>
      </c>
      <c r="I49" s="26">
        <f t="shared" si="19"/>
        <v>3817</v>
      </c>
      <c r="J49" s="12"/>
      <c r="K49" s="21">
        <v>16822880</v>
      </c>
      <c r="L49" s="30" t="s">
        <v>50</v>
      </c>
      <c r="M49" s="22">
        <v>18343222</v>
      </c>
      <c r="N49" s="22">
        <v>19848414</v>
      </c>
      <c r="O49" s="22">
        <v>324996</v>
      </c>
      <c r="P49" s="26">
        <f t="shared" si="20"/>
        <v>55339512</v>
      </c>
      <c r="Q49" s="12"/>
      <c r="R49" s="27">
        <v>2199505</v>
      </c>
      <c r="S49" s="32" t="s">
        <v>50</v>
      </c>
      <c r="T49" s="28">
        <v>2843271</v>
      </c>
      <c r="U49" s="28">
        <v>3107142</v>
      </c>
      <c r="V49" s="28">
        <v>98236</v>
      </c>
      <c r="W49" s="29">
        <f t="shared" si="21"/>
        <v>8248154</v>
      </c>
    </row>
    <row r="50" spans="2:23">
      <c r="B50" s="383"/>
      <c r="C50" s="53" t="s">
        <v>51</v>
      </c>
      <c r="D50" s="21">
        <v>4836</v>
      </c>
      <c r="E50" s="22">
        <v>882</v>
      </c>
      <c r="F50" s="22">
        <v>41</v>
      </c>
      <c r="G50" s="22">
        <v>0</v>
      </c>
      <c r="H50" s="22">
        <v>0</v>
      </c>
      <c r="I50" s="26">
        <f t="shared" si="19"/>
        <v>5759</v>
      </c>
      <c r="J50" s="12"/>
      <c r="K50" s="21">
        <v>31319238</v>
      </c>
      <c r="L50" s="22">
        <v>12105517</v>
      </c>
      <c r="M50" s="22">
        <v>17952115</v>
      </c>
      <c r="N50" s="22">
        <v>0</v>
      </c>
      <c r="O50" s="22">
        <v>477867</v>
      </c>
      <c r="P50" s="26">
        <f t="shared" si="20"/>
        <v>61854737</v>
      </c>
      <c r="Q50" s="12"/>
      <c r="R50" s="27">
        <v>4813814.802480001</v>
      </c>
      <c r="S50" s="28">
        <v>1840402.9499999997</v>
      </c>
      <c r="T50" s="28">
        <v>2358616.9392400002</v>
      </c>
      <c r="U50" s="22">
        <v>0</v>
      </c>
      <c r="V50" s="28">
        <v>99757.999999999985</v>
      </c>
      <c r="W50" s="29">
        <f t="shared" si="21"/>
        <v>9112592.6917200014</v>
      </c>
    </row>
    <row r="51" spans="2:23">
      <c r="B51" s="383"/>
      <c r="C51" s="53" t="s">
        <v>52</v>
      </c>
      <c r="D51" s="22">
        <v>3498</v>
      </c>
      <c r="E51" s="22">
        <v>550</v>
      </c>
      <c r="F51" s="22">
        <v>94</v>
      </c>
      <c r="G51" s="22">
        <v>0</v>
      </c>
      <c r="H51" s="22">
        <v>4</v>
      </c>
      <c r="I51" s="26">
        <f t="shared" si="19"/>
        <v>4146</v>
      </c>
      <c r="J51" s="12"/>
      <c r="K51" s="21">
        <v>21460395</v>
      </c>
      <c r="L51" s="22">
        <v>5438160</v>
      </c>
      <c r="M51" s="22">
        <v>18243106</v>
      </c>
      <c r="N51" s="22">
        <v>0</v>
      </c>
      <c r="O51" s="22">
        <v>38148</v>
      </c>
      <c r="P51" s="26">
        <f t="shared" si="20"/>
        <v>45179809</v>
      </c>
      <c r="Q51" s="12"/>
      <c r="R51" s="27">
        <v>3374513</v>
      </c>
      <c r="S51" s="28">
        <v>876899</v>
      </c>
      <c r="T51" s="28">
        <v>2761860</v>
      </c>
      <c r="U51" s="22">
        <v>0</v>
      </c>
      <c r="V51" s="28">
        <v>22597</v>
      </c>
      <c r="W51" s="29">
        <f t="shared" si="21"/>
        <v>7035869</v>
      </c>
    </row>
    <row r="52" spans="2:23">
      <c r="B52" s="383"/>
      <c r="C52" s="53" t="s">
        <v>53</v>
      </c>
      <c r="D52" s="24">
        <v>1620.3333333333333</v>
      </c>
      <c r="E52" s="25">
        <v>193.08333333333334</v>
      </c>
      <c r="F52" s="22">
        <v>16.166666666666664</v>
      </c>
      <c r="G52" s="22">
        <v>1</v>
      </c>
      <c r="H52" s="22">
        <v>32</v>
      </c>
      <c r="I52" s="23">
        <f t="shared" si="19"/>
        <v>1862.5833333333333</v>
      </c>
      <c r="J52" s="12"/>
      <c r="K52" s="21">
        <v>10186640</v>
      </c>
      <c r="L52" s="22">
        <v>2384371</v>
      </c>
      <c r="M52" s="22">
        <v>7314434</v>
      </c>
      <c r="N52" s="22">
        <v>8849076</v>
      </c>
      <c r="O52" s="22">
        <v>89453</v>
      </c>
      <c r="P52" s="26">
        <f t="shared" si="20"/>
        <v>28823974</v>
      </c>
      <c r="Q52" s="12"/>
      <c r="R52" s="27">
        <v>1404573.94</v>
      </c>
      <c r="S52" s="28">
        <v>381453.29022000008</v>
      </c>
      <c r="T52" s="28">
        <v>840329.7797800001</v>
      </c>
      <c r="U52" s="28">
        <v>1105238.9499999997</v>
      </c>
      <c r="V52" s="57">
        <v>25796.15</v>
      </c>
      <c r="W52" s="58">
        <f t="shared" si="21"/>
        <v>3757392.11</v>
      </c>
    </row>
    <row r="53" spans="2:23">
      <c r="B53" s="383"/>
      <c r="C53" s="53" t="s">
        <v>54</v>
      </c>
      <c r="D53" s="24">
        <v>575</v>
      </c>
      <c r="E53" s="25">
        <v>68</v>
      </c>
      <c r="F53" s="22">
        <v>0</v>
      </c>
      <c r="G53" s="22">
        <v>1</v>
      </c>
      <c r="H53" s="22">
        <v>21</v>
      </c>
      <c r="I53" s="23">
        <f t="shared" si="19"/>
        <v>665</v>
      </c>
      <c r="J53" s="12"/>
      <c r="K53" s="21">
        <v>3938087</v>
      </c>
      <c r="L53" s="22">
        <v>1571359</v>
      </c>
      <c r="M53" s="22">
        <v>0</v>
      </c>
      <c r="N53" s="22">
        <v>6624000</v>
      </c>
      <c r="O53" s="22">
        <v>554536</v>
      </c>
      <c r="P53" s="26">
        <f t="shared" si="20"/>
        <v>12687982</v>
      </c>
      <c r="Q53" s="12"/>
      <c r="R53" s="27">
        <v>510863.49000000005</v>
      </c>
      <c r="S53" s="28">
        <v>223244.77</v>
      </c>
      <c r="T53" s="22">
        <v>0</v>
      </c>
      <c r="U53" s="28">
        <v>1010195.9200000002</v>
      </c>
      <c r="V53" s="57">
        <v>80854.489999999991</v>
      </c>
      <c r="W53" s="58">
        <f t="shared" si="21"/>
        <v>1825158.6700000002</v>
      </c>
    </row>
    <row r="54" spans="2:23">
      <c r="B54" s="383"/>
      <c r="C54" s="53" t="s">
        <v>55</v>
      </c>
      <c r="D54" s="24">
        <v>3289</v>
      </c>
      <c r="E54" s="25">
        <v>421</v>
      </c>
      <c r="F54" s="22">
        <v>0</v>
      </c>
      <c r="G54" s="22">
        <v>0</v>
      </c>
      <c r="H54" s="22">
        <v>13</v>
      </c>
      <c r="I54" s="23">
        <f>SUM(D54:H54)</f>
        <v>3723</v>
      </c>
      <c r="J54" s="12"/>
      <c r="K54" s="21">
        <v>26143717</v>
      </c>
      <c r="L54" s="22">
        <v>25850209</v>
      </c>
      <c r="M54" s="22">
        <v>0</v>
      </c>
      <c r="N54" s="22">
        <v>0</v>
      </c>
      <c r="O54" s="22">
        <v>1144637</v>
      </c>
      <c r="P54" s="26">
        <f>SUM(K54:O54)</f>
        <v>53138563</v>
      </c>
      <c r="Q54" s="12"/>
      <c r="R54" s="27">
        <v>3402759</v>
      </c>
      <c r="S54" s="28">
        <v>3241062</v>
      </c>
      <c r="T54" s="22">
        <v>0</v>
      </c>
      <c r="U54" s="22">
        <v>0</v>
      </c>
      <c r="V54" s="57">
        <v>144074</v>
      </c>
      <c r="W54" s="58">
        <f t="shared" si="21"/>
        <v>6787895</v>
      </c>
    </row>
    <row r="55" spans="2:23" ht="15" thickBot="1">
      <c r="B55" s="371"/>
      <c r="C55" s="70" t="s">
        <v>56</v>
      </c>
      <c r="D55" s="71">
        <f>SUM(D44:D54)</f>
        <v>25890.583333333332</v>
      </c>
      <c r="E55" s="72">
        <f t="shared" ref="E55:G55" si="22">SUM(E44:E54)</f>
        <v>3066.1666666666665</v>
      </c>
      <c r="F55" s="72">
        <f t="shared" si="22"/>
        <v>963.33333333333326</v>
      </c>
      <c r="G55" s="72">
        <f t="shared" si="22"/>
        <v>14</v>
      </c>
      <c r="H55" s="72">
        <f>SUM(H44:H54)</f>
        <v>139.08333333333334</v>
      </c>
      <c r="I55" s="73">
        <f t="shared" ref="I55" si="23">SUM(I44:I54)</f>
        <v>30073.166666666668</v>
      </c>
      <c r="J55" s="45"/>
      <c r="K55" s="71">
        <f t="shared" ref="K55:P55" si="24">SUM(K44:K54)</f>
        <v>165649680.33632806</v>
      </c>
      <c r="L55" s="72">
        <f t="shared" si="24"/>
        <v>57883469.68</v>
      </c>
      <c r="M55" s="72">
        <f>SUM(M44:M54)</f>
        <v>78073261.340000004</v>
      </c>
      <c r="N55" s="72">
        <f t="shared" si="24"/>
        <v>43397903</v>
      </c>
      <c r="O55" s="72">
        <f t="shared" si="24"/>
        <v>3121110.3</v>
      </c>
      <c r="P55" s="73">
        <f t="shared" si="24"/>
        <v>348125424.65632808</v>
      </c>
      <c r="Q55" s="45"/>
      <c r="R55" s="62">
        <f>SUM(R44:R54)</f>
        <v>25606624.937759999</v>
      </c>
      <c r="S55" s="63">
        <f t="shared" ref="S55:W55" si="25">SUM(S44:S54)</f>
        <v>8487058.4130898174</v>
      </c>
      <c r="T55" s="63">
        <f t="shared" si="25"/>
        <v>11564140.046240181</v>
      </c>
      <c r="U55" s="63">
        <f t="shared" si="25"/>
        <v>6304880.9019999988</v>
      </c>
      <c r="V55" s="63">
        <f t="shared" si="25"/>
        <v>599759.84346</v>
      </c>
      <c r="W55" s="64">
        <f t="shared" si="25"/>
        <v>52562464.142549999</v>
      </c>
    </row>
    <row r="56" spans="2:23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</row>
    <row r="57" spans="2:23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</row>
    <row r="58" spans="2:23" ht="15" thickBot="1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</row>
    <row r="59" spans="2:23" ht="15" thickBot="1">
      <c r="B59" s="369">
        <v>2020</v>
      </c>
      <c r="C59" s="372">
        <v>2020</v>
      </c>
      <c r="D59" s="372"/>
      <c r="E59" s="372"/>
      <c r="F59" s="372"/>
      <c r="G59" s="372"/>
      <c r="H59" s="372"/>
      <c r="I59" s="372"/>
      <c r="J59" s="373"/>
      <c r="K59" s="372"/>
      <c r="L59" s="372"/>
      <c r="M59" s="372"/>
      <c r="N59" s="372"/>
      <c r="O59" s="372"/>
      <c r="P59" s="372"/>
      <c r="Q59" s="373"/>
      <c r="R59" s="372"/>
      <c r="S59" s="372"/>
      <c r="T59" s="372"/>
      <c r="U59" s="372"/>
      <c r="V59" s="372"/>
      <c r="W59" s="374"/>
    </row>
    <row r="60" spans="2:23" ht="30.75" customHeight="1" thickTop="1">
      <c r="B60" s="370"/>
      <c r="C60" s="13"/>
      <c r="D60" s="375" t="s">
        <v>22</v>
      </c>
      <c r="E60" s="375"/>
      <c r="F60" s="375"/>
      <c r="G60" s="375"/>
      <c r="H60" s="375"/>
      <c r="I60" s="375"/>
      <c r="J60" s="14"/>
      <c r="K60" s="376" t="s">
        <v>23</v>
      </c>
      <c r="L60" s="377"/>
      <c r="M60" s="377"/>
      <c r="N60" s="377"/>
      <c r="O60" s="377"/>
      <c r="P60" s="378"/>
      <c r="Q60" s="14"/>
      <c r="R60" s="376" t="s">
        <v>24</v>
      </c>
      <c r="S60" s="377"/>
      <c r="T60" s="377"/>
      <c r="U60" s="377"/>
      <c r="V60" s="377"/>
      <c r="W60" s="378"/>
    </row>
    <row r="61" spans="2:23" ht="29">
      <c r="B61" s="370"/>
      <c r="C61" s="15" t="s">
        <v>25</v>
      </c>
      <c r="D61" s="16" t="s">
        <v>26</v>
      </c>
      <c r="E61" s="17" t="s">
        <v>27</v>
      </c>
      <c r="F61" s="17" t="s">
        <v>28</v>
      </c>
      <c r="G61" s="17" t="s">
        <v>29</v>
      </c>
      <c r="H61" s="17" t="s">
        <v>30</v>
      </c>
      <c r="I61" s="18" t="s">
        <v>31</v>
      </c>
      <c r="J61" s="19"/>
      <c r="K61" s="16" t="s">
        <v>32</v>
      </c>
      <c r="L61" s="17" t="s">
        <v>33</v>
      </c>
      <c r="M61" s="17" t="s">
        <v>34</v>
      </c>
      <c r="N61" s="17" t="s">
        <v>35</v>
      </c>
      <c r="O61" s="17" t="s">
        <v>36</v>
      </c>
      <c r="P61" s="18" t="s">
        <v>37</v>
      </c>
      <c r="Q61" s="19"/>
      <c r="R61" s="16" t="s">
        <v>38</v>
      </c>
      <c r="S61" s="17" t="s">
        <v>39</v>
      </c>
      <c r="T61" s="17" t="s">
        <v>40</v>
      </c>
      <c r="U61" s="17" t="s">
        <v>41</v>
      </c>
      <c r="V61" s="17" t="s">
        <v>42</v>
      </c>
      <c r="W61" s="18" t="s">
        <v>43</v>
      </c>
    </row>
    <row r="62" spans="2:23">
      <c r="B62" s="370"/>
      <c r="C62" s="20" t="s">
        <v>44</v>
      </c>
      <c r="D62" s="24">
        <v>1969.25</v>
      </c>
      <c r="E62" s="25">
        <v>185.91666666666666</v>
      </c>
      <c r="F62" s="22">
        <v>26</v>
      </c>
      <c r="G62" s="22">
        <v>0</v>
      </c>
      <c r="H62" s="22">
        <v>5</v>
      </c>
      <c r="I62" s="23">
        <f t="shared" ref="I62:I71" si="26">SUM(D62:H62)</f>
        <v>2186.1666666666665</v>
      </c>
      <c r="J62" s="12"/>
      <c r="K62" s="24">
        <v>10862720</v>
      </c>
      <c r="L62" s="22">
        <v>902219</v>
      </c>
      <c r="M62" s="22">
        <v>2128822</v>
      </c>
      <c r="N62" s="22">
        <v>0</v>
      </c>
      <c r="O62" s="22">
        <v>130160</v>
      </c>
      <c r="P62" s="26">
        <f>SUM(K62:O62)</f>
        <v>14023921</v>
      </c>
      <c r="Q62" s="12"/>
      <c r="R62" s="27">
        <v>2152392.4900000002</v>
      </c>
      <c r="S62" s="28">
        <v>197282.92592168655</v>
      </c>
      <c r="T62" s="28">
        <v>425107.37407831335</v>
      </c>
      <c r="U62" s="22">
        <v>0</v>
      </c>
      <c r="V62" s="57">
        <v>34982.92</v>
      </c>
      <c r="W62" s="58">
        <f>SUM(R62:V62)</f>
        <v>2809765.71</v>
      </c>
    </row>
    <row r="63" spans="2:23">
      <c r="B63" s="370"/>
      <c r="C63" s="20" t="s">
        <v>45</v>
      </c>
      <c r="D63" s="24">
        <v>1558.8333333333333</v>
      </c>
      <c r="E63" s="25">
        <v>195</v>
      </c>
      <c r="F63" s="22">
        <v>21</v>
      </c>
      <c r="G63" s="22">
        <v>4</v>
      </c>
      <c r="H63" s="22">
        <v>7</v>
      </c>
      <c r="I63" s="23">
        <f t="shared" si="26"/>
        <v>1785.8333333333333</v>
      </c>
      <c r="J63" s="12"/>
      <c r="K63" s="24">
        <v>14305721.120440386</v>
      </c>
      <c r="L63" s="22">
        <v>2129518</v>
      </c>
      <c r="M63" s="22">
        <v>2901605</v>
      </c>
      <c r="N63" s="22">
        <v>6972120</v>
      </c>
      <c r="O63" s="22">
        <v>83813</v>
      </c>
      <c r="P63" s="26">
        <f t="shared" ref="P63:P72" si="27">SUM(K63:O63)</f>
        <v>26392777.120440386</v>
      </c>
      <c r="Q63" s="12"/>
      <c r="R63" s="27">
        <v>2343160.85</v>
      </c>
      <c r="S63" s="28">
        <v>358067.37338999991</v>
      </c>
      <c r="T63" s="28">
        <v>453452.31414999999</v>
      </c>
      <c r="U63" s="28">
        <v>927789.38840000005</v>
      </c>
      <c r="V63" s="57">
        <v>17667.174919999998</v>
      </c>
      <c r="W63" s="58">
        <f t="shared" ref="W63:W72" si="28">SUM(R63:V63)</f>
        <v>4100137.1008600001</v>
      </c>
    </row>
    <row r="64" spans="2:23">
      <c r="B64" s="370"/>
      <c r="C64" s="20" t="s">
        <v>46</v>
      </c>
      <c r="D64" s="24">
        <v>4203</v>
      </c>
      <c r="E64" s="25">
        <v>379</v>
      </c>
      <c r="F64" s="22">
        <v>34</v>
      </c>
      <c r="G64" s="22">
        <v>0</v>
      </c>
      <c r="H64" s="22">
        <v>20</v>
      </c>
      <c r="I64" s="23">
        <f t="shared" si="26"/>
        <v>4636</v>
      </c>
      <c r="J64" s="12"/>
      <c r="K64" s="24">
        <v>24488770</v>
      </c>
      <c r="L64" s="22">
        <v>5037580</v>
      </c>
      <c r="M64" s="22">
        <v>4925179</v>
      </c>
      <c r="N64" s="22">
        <v>0</v>
      </c>
      <c r="O64" s="22">
        <v>154895.65852999999</v>
      </c>
      <c r="P64" s="26">
        <f t="shared" si="27"/>
        <v>34606424.658529997</v>
      </c>
      <c r="Q64" s="12"/>
      <c r="R64" s="27">
        <v>4124407.9700000007</v>
      </c>
      <c r="S64" s="28">
        <v>889550.76000000013</v>
      </c>
      <c r="T64" s="28">
        <v>825124.7</v>
      </c>
      <c r="U64" s="28">
        <v>0</v>
      </c>
      <c r="V64" s="57">
        <v>45241.510000000009</v>
      </c>
      <c r="W64" s="58">
        <f t="shared" si="28"/>
        <v>5884324.9400000004</v>
      </c>
    </row>
    <row r="65" spans="2:23">
      <c r="B65" s="370"/>
      <c r="C65" s="20" t="s">
        <v>47</v>
      </c>
      <c r="D65" s="24">
        <v>663.41666666666663</v>
      </c>
      <c r="E65" s="25">
        <v>50.416666666666664</v>
      </c>
      <c r="F65" s="22">
        <v>0</v>
      </c>
      <c r="G65" s="22">
        <v>4</v>
      </c>
      <c r="H65" s="22">
        <v>1</v>
      </c>
      <c r="I65" s="23">
        <f t="shared" si="26"/>
        <v>718.83333333333326</v>
      </c>
      <c r="J65" s="12"/>
      <c r="K65" s="24">
        <v>3637588</v>
      </c>
      <c r="L65" s="22">
        <v>578354</v>
      </c>
      <c r="M65" s="22">
        <v>0</v>
      </c>
      <c r="N65" s="22">
        <v>732662</v>
      </c>
      <c r="O65" s="22">
        <v>17226</v>
      </c>
      <c r="P65" s="26">
        <f t="shared" si="27"/>
        <v>4965830</v>
      </c>
      <c r="Q65" s="12"/>
      <c r="R65" s="27">
        <v>625211.55999999994</v>
      </c>
      <c r="S65" s="28">
        <v>99444.26999999999</v>
      </c>
      <c r="T65" s="28">
        <v>0</v>
      </c>
      <c r="U65" s="28">
        <v>130909.88</v>
      </c>
      <c r="V65" s="57">
        <v>3311.2200000000007</v>
      </c>
      <c r="W65" s="58">
        <f t="shared" si="28"/>
        <v>858876.92999999993</v>
      </c>
    </row>
    <row r="66" spans="2:23">
      <c r="B66" s="370"/>
      <c r="C66" s="20" t="s">
        <v>48</v>
      </c>
      <c r="D66" s="24">
        <v>810.5</v>
      </c>
      <c r="E66" s="25">
        <v>120.91666666666667</v>
      </c>
      <c r="F66" s="22">
        <v>17</v>
      </c>
      <c r="G66" s="22">
        <v>0</v>
      </c>
      <c r="H66" s="22">
        <v>33</v>
      </c>
      <c r="I66" s="23">
        <f t="shared" si="26"/>
        <v>981.41666666666663</v>
      </c>
      <c r="J66" s="12"/>
      <c r="K66" s="24">
        <v>5474159.2300000004</v>
      </c>
      <c r="L66" s="22">
        <v>1343704.79</v>
      </c>
      <c r="M66" s="22">
        <v>4671221.1500000004</v>
      </c>
      <c r="N66" s="22">
        <v>0</v>
      </c>
      <c r="O66" s="22">
        <v>63776</v>
      </c>
      <c r="P66" s="26">
        <f t="shared" si="27"/>
        <v>11552861.170000002</v>
      </c>
      <c r="Q66" s="12"/>
      <c r="R66" s="27">
        <v>948377.49</v>
      </c>
      <c r="S66" s="28">
        <v>262559.90000000002</v>
      </c>
      <c r="T66" s="28">
        <v>788275.66</v>
      </c>
      <c r="U66" s="22">
        <v>0</v>
      </c>
      <c r="V66" s="57">
        <v>15192.2</v>
      </c>
      <c r="W66" s="58">
        <f t="shared" si="28"/>
        <v>2014405.2500000002</v>
      </c>
    </row>
    <row r="67" spans="2:23">
      <c r="B67" s="370"/>
      <c r="C67" s="20" t="s">
        <v>49</v>
      </c>
      <c r="D67" s="74">
        <v>3085</v>
      </c>
      <c r="E67" s="74">
        <v>642</v>
      </c>
      <c r="F67" s="74">
        <v>117</v>
      </c>
      <c r="G67" s="75" t="s">
        <v>50</v>
      </c>
      <c r="H67" s="74">
        <v>9</v>
      </c>
      <c r="I67" s="23">
        <f t="shared" si="26"/>
        <v>3853</v>
      </c>
      <c r="J67" s="12"/>
      <c r="K67" s="24">
        <v>18985814</v>
      </c>
      <c r="L67" s="74">
        <v>3426226</v>
      </c>
      <c r="M67" s="74">
        <v>27789576</v>
      </c>
      <c r="N67" s="75" t="s">
        <v>50</v>
      </c>
      <c r="O67" s="74">
        <f>319162+1</f>
        <v>319163</v>
      </c>
      <c r="P67" s="26">
        <f t="shared" si="27"/>
        <v>50520779</v>
      </c>
      <c r="Q67" s="12"/>
      <c r="R67" s="27">
        <v>2550667</v>
      </c>
      <c r="S67" s="76">
        <v>661335</v>
      </c>
      <c r="T67" s="76">
        <v>4314820</v>
      </c>
      <c r="U67" s="75" t="s">
        <v>50</v>
      </c>
      <c r="V67" s="76">
        <v>99353</v>
      </c>
      <c r="W67" s="58">
        <f t="shared" si="28"/>
        <v>7626175</v>
      </c>
    </row>
    <row r="68" spans="2:23">
      <c r="B68" s="370"/>
      <c r="C68" s="20" t="s">
        <v>51</v>
      </c>
      <c r="D68" s="21">
        <v>4865.5</v>
      </c>
      <c r="E68" s="22">
        <v>907.66666666666663</v>
      </c>
      <c r="F68" s="22">
        <v>41</v>
      </c>
      <c r="G68" s="22">
        <v>0</v>
      </c>
      <c r="H68" s="22">
        <v>0</v>
      </c>
      <c r="I68" s="26">
        <f t="shared" si="26"/>
        <v>5814.166666666667</v>
      </c>
      <c r="J68" s="12"/>
      <c r="K68" s="21">
        <v>32187261</v>
      </c>
      <c r="L68" s="22">
        <v>11528733</v>
      </c>
      <c r="M68" s="22">
        <v>15791850</v>
      </c>
      <c r="N68" s="22">
        <v>0</v>
      </c>
      <c r="O68" s="22">
        <v>476968</v>
      </c>
      <c r="P68" s="26">
        <f t="shared" si="27"/>
        <v>59984812</v>
      </c>
      <c r="Q68" s="12"/>
      <c r="R68" s="27">
        <v>4979695</v>
      </c>
      <c r="S68" s="28">
        <v>1760149.9790000001</v>
      </c>
      <c r="T68" s="28">
        <v>2150014.0209999997</v>
      </c>
      <c r="U68" s="22">
        <v>0</v>
      </c>
      <c r="V68" s="28">
        <v>100271.00000000001</v>
      </c>
      <c r="W68" s="29">
        <f t="shared" si="28"/>
        <v>8990130</v>
      </c>
    </row>
    <row r="69" spans="2:23">
      <c r="B69" s="370"/>
      <c r="C69" s="20" t="s">
        <v>52</v>
      </c>
      <c r="D69" s="74">
        <v>3602</v>
      </c>
      <c r="E69" s="74">
        <v>564</v>
      </c>
      <c r="F69" s="74">
        <v>98</v>
      </c>
      <c r="G69" s="22">
        <v>0</v>
      </c>
      <c r="H69" s="74">
        <v>4</v>
      </c>
      <c r="I69" s="23">
        <f t="shared" si="26"/>
        <v>4268</v>
      </c>
      <c r="J69" s="12"/>
      <c r="K69" s="24">
        <v>22894833</v>
      </c>
      <c r="L69" s="74">
        <v>5242915</v>
      </c>
      <c r="M69" s="74">
        <v>17889995</v>
      </c>
      <c r="N69" s="22">
        <v>0</v>
      </c>
      <c r="O69" s="74">
        <v>37380</v>
      </c>
      <c r="P69" s="26">
        <f t="shared" si="27"/>
        <v>46065123</v>
      </c>
      <c r="Q69" s="12"/>
      <c r="R69" s="27">
        <v>3572479</v>
      </c>
      <c r="S69" s="76">
        <v>802659</v>
      </c>
      <c r="T69" s="76">
        <v>2710409</v>
      </c>
      <c r="U69" s="22">
        <v>0</v>
      </c>
      <c r="V69" s="76">
        <v>22597</v>
      </c>
      <c r="W69" s="58">
        <f t="shared" si="28"/>
        <v>7108144</v>
      </c>
    </row>
    <row r="70" spans="2:23">
      <c r="B70" s="370"/>
      <c r="C70" s="20" t="s">
        <v>53</v>
      </c>
      <c r="D70" s="24">
        <v>1619.5</v>
      </c>
      <c r="E70" s="25">
        <v>192</v>
      </c>
      <c r="F70" s="22">
        <v>16</v>
      </c>
      <c r="G70" s="22">
        <v>1</v>
      </c>
      <c r="H70" s="22">
        <v>32</v>
      </c>
      <c r="I70" s="23">
        <f t="shared" si="26"/>
        <v>1860.5</v>
      </c>
      <c r="J70" s="12"/>
      <c r="K70" s="24">
        <v>10696038</v>
      </c>
      <c r="L70" s="22">
        <v>2639620.3710927158</v>
      </c>
      <c r="M70" s="22">
        <v>6263633.6289072838</v>
      </c>
      <c r="N70" s="22">
        <v>7241326</v>
      </c>
      <c r="O70" s="22">
        <v>88271</v>
      </c>
      <c r="P70" s="26">
        <f t="shared" si="27"/>
        <v>26928889</v>
      </c>
      <c r="Q70" s="12"/>
      <c r="R70" s="27">
        <v>1473533.26</v>
      </c>
      <c r="S70" s="28">
        <v>388457.75811334804</v>
      </c>
      <c r="T70" s="28">
        <v>714240.99188665173</v>
      </c>
      <c r="U70" s="28">
        <v>915528.91000000015</v>
      </c>
      <c r="V70" s="57">
        <v>25531.510000000002</v>
      </c>
      <c r="W70" s="58">
        <f t="shared" si="28"/>
        <v>3517292.4299999997</v>
      </c>
    </row>
    <row r="71" spans="2:23">
      <c r="B71" s="370"/>
      <c r="C71" s="20" t="s">
        <v>54</v>
      </c>
      <c r="D71" s="24">
        <v>577.08333333333337</v>
      </c>
      <c r="E71" s="25">
        <v>68</v>
      </c>
      <c r="F71" s="22">
        <v>0</v>
      </c>
      <c r="G71" s="22">
        <v>1</v>
      </c>
      <c r="H71" s="22">
        <v>20.916666666666668</v>
      </c>
      <c r="I71" s="23">
        <f t="shared" si="26"/>
        <v>667</v>
      </c>
      <c r="J71" s="12"/>
      <c r="K71" s="24">
        <v>4042098</v>
      </c>
      <c r="L71" s="22">
        <v>1627329</v>
      </c>
      <c r="M71" s="22">
        <v>0</v>
      </c>
      <c r="N71" s="22">
        <v>5743200</v>
      </c>
      <c r="O71" s="22">
        <v>536306</v>
      </c>
      <c r="P71" s="26">
        <f t="shared" si="27"/>
        <v>11948933</v>
      </c>
      <c r="Q71" s="12"/>
      <c r="R71" s="27">
        <v>523072</v>
      </c>
      <c r="S71" s="28">
        <v>230734.74492999999</v>
      </c>
      <c r="T71" s="28">
        <v>0</v>
      </c>
      <c r="U71" s="28">
        <v>903104.8180000002</v>
      </c>
      <c r="V71" s="57">
        <v>78560.212499999994</v>
      </c>
      <c r="W71" s="58">
        <f t="shared" si="28"/>
        <v>1735471.7754300002</v>
      </c>
    </row>
    <row r="72" spans="2:23">
      <c r="B72" s="370"/>
      <c r="C72" s="20" t="s">
        <v>55</v>
      </c>
      <c r="D72" s="24">
        <v>3327</v>
      </c>
      <c r="E72" s="25">
        <v>414</v>
      </c>
      <c r="F72" s="22">
        <v>0</v>
      </c>
      <c r="G72" s="22">
        <v>0</v>
      </c>
      <c r="H72" s="22">
        <v>13</v>
      </c>
      <c r="I72" s="23">
        <f>SUM(D72:H72)</f>
        <v>3754</v>
      </c>
      <c r="J72" s="12"/>
      <c r="K72" s="24">
        <v>27461438</v>
      </c>
      <c r="L72" s="22">
        <v>25143039</v>
      </c>
      <c r="M72" s="22">
        <v>0</v>
      </c>
      <c r="N72" s="22">
        <v>0</v>
      </c>
      <c r="O72" s="22">
        <v>1132655</v>
      </c>
      <c r="P72" s="26">
        <f t="shared" si="27"/>
        <v>53737132</v>
      </c>
      <c r="Q72" s="12"/>
      <c r="R72" s="27">
        <v>3540746</v>
      </c>
      <c r="S72" s="28">
        <v>3181951</v>
      </c>
      <c r="T72" s="28">
        <v>0</v>
      </c>
      <c r="U72" s="28">
        <v>0</v>
      </c>
      <c r="V72" s="57">
        <v>143862</v>
      </c>
      <c r="W72" s="58">
        <f t="shared" si="28"/>
        <v>6866559</v>
      </c>
    </row>
    <row r="73" spans="2:23" ht="15" thickBot="1">
      <c r="B73" s="371"/>
      <c r="C73" s="70" t="s">
        <v>56</v>
      </c>
      <c r="D73" s="71">
        <f>SUM(D62:D72)</f>
        <v>26281.083333333332</v>
      </c>
      <c r="E73" s="72">
        <f t="shared" ref="E73:G73" si="29">SUM(E62:E72)</f>
        <v>3718.9166666666665</v>
      </c>
      <c r="F73" s="72">
        <f t="shared" si="29"/>
        <v>370</v>
      </c>
      <c r="G73" s="72">
        <f t="shared" si="29"/>
        <v>10</v>
      </c>
      <c r="H73" s="72">
        <f>SUM(H62:H72)</f>
        <v>144.91666666666666</v>
      </c>
      <c r="I73" s="73">
        <f>SUM(I62:I72)</f>
        <v>30524.916666666668</v>
      </c>
      <c r="J73" s="45"/>
      <c r="K73" s="71">
        <f t="shared" ref="K73:P73" si="30">SUM(K62:K72)</f>
        <v>175036440.35044038</v>
      </c>
      <c r="L73" s="72">
        <f t="shared" si="30"/>
        <v>59599238.161092713</v>
      </c>
      <c r="M73" s="72">
        <f t="shared" si="30"/>
        <v>82361881.778907284</v>
      </c>
      <c r="N73" s="72">
        <f t="shared" si="30"/>
        <v>20689308</v>
      </c>
      <c r="O73" s="72">
        <f t="shared" si="30"/>
        <v>3040613.6585300001</v>
      </c>
      <c r="P73" s="73">
        <f t="shared" si="30"/>
        <v>340727481.94897038</v>
      </c>
      <c r="Q73" s="45"/>
      <c r="R73" s="62">
        <f>SUM(R62:R72)</f>
        <v>26833742.620000001</v>
      </c>
      <c r="S73" s="63">
        <f t="shared" ref="S73:W73" si="31">SUM(S62:S72)</f>
        <v>8832192.7113550343</v>
      </c>
      <c r="T73" s="63">
        <f t="shared" si="31"/>
        <v>12381444.061114965</v>
      </c>
      <c r="U73" s="63">
        <f t="shared" si="31"/>
        <v>2877332.9964000005</v>
      </c>
      <c r="V73" s="63">
        <f t="shared" si="31"/>
        <v>586569.74742000003</v>
      </c>
      <c r="W73" s="64">
        <f t="shared" si="31"/>
        <v>51511282.136289999</v>
      </c>
    </row>
    <row r="74" spans="2:23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</row>
    <row r="75" spans="2:23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</row>
    <row r="76" spans="2:23" ht="15" thickBot="1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</row>
    <row r="77" spans="2:23" ht="15" thickBot="1">
      <c r="B77" s="379">
        <v>2021</v>
      </c>
      <c r="C77" s="372">
        <v>2021</v>
      </c>
      <c r="D77" s="372"/>
      <c r="E77" s="372"/>
      <c r="F77" s="372"/>
      <c r="G77" s="372"/>
      <c r="H77" s="372"/>
      <c r="I77" s="372"/>
      <c r="J77" s="373"/>
      <c r="K77" s="372"/>
      <c r="L77" s="372"/>
      <c r="M77" s="372"/>
      <c r="N77" s="372"/>
      <c r="O77" s="372"/>
      <c r="P77" s="372"/>
      <c r="Q77" s="373"/>
      <c r="R77" s="372"/>
      <c r="S77" s="372"/>
      <c r="T77" s="372"/>
      <c r="U77" s="372"/>
      <c r="V77" s="372"/>
      <c r="W77" s="374"/>
    </row>
    <row r="78" spans="2:23" ht="37.5" customHeight="1" thickTop="1">
      <c r="B78" s="380"/>
      <c r="C78" s="13"/>
      <c r="D78" s="375" t="s">
        <v>22</v>
      </c>
      <c r="E78" s="375"/>
      <c r="F78" s="375"/>
      <c r="G78" s="375"/>
      <c r="H78" s="375"/>
      <c r="I78" s="375"/>
      <c r="J78" s="14"/>
      <c r="K78" s="376" t="s">
        <v>23</v>
      </c>
      <c r="L78" s="377"/>
      <c r="M78" s="377"/>
      <c r="N78" s="377"/>
      <c r="O78" s="377"/>
      <c r="P78" s="378"/>
      <c r="Q78" s="14"/>
      <c r="R78" s="376" t="s">
        <v>57</v>
      </c>
      <c r="S78" s="377"/>
      <c r="T78" s="377"/>
      <c r="U78" s="377"/>
      <c r="V78" s="377"/>
      <c r="W78" s="378"/>
    </row>
    <row r="79" spans="2:23" ht="29">
      <c r="B79" s="380"/>
      <c r="C79" s="15" t="s">
        <v>25</v>
      </c>
      <c r="D79" s="16" t="s">
        <v>26</v>
      </c>
      <c r="E79" s="17" t="s">
        <v>27</v>
      </c>
      <c r="F79" s="17" t="s">
        <v>28</v>
      </c>
      <c r="G79" s="17" t="s">
        <v>29</v>
      </c>
      <c r="H79" s="17" t="s">
        <v>30</v>
      </c>
      <c r="I79" s="18" t="s">
        <v>31</v>
      </c>
      <c r="J79" s="19"/>
      <c r="K79" s="16" t="s">
        <v>32</v>
      </c>
      <c r="L79" s="17" t="s">
        <v>33</v>
      </c>
      <c r="M79" s="17" t="s">
        <v>34</v>
      </c>
      <c r="N79" s="17" t="s">
        <v>35</v>
      </c>
      <c r="O79" s="17" t="s">
        <v>36</v>
      </c>
      <c r="P79" s="18" t="s">
        <v>37</v>
      </c>
      <c r="Q79" s="19"/>
      <c r="R79" s="16" t="s">
        <v>38</v>
      </c>
      <c r="S79" s="17" t="s">
        <v>39</v>
      </c>
      <c r="T79" s="17" t="s">
        <v>40</v>
      </c>
      <c r="U79" s="17" t="s">
        <v>41</v>
      </c>
      <c r="V79" s="17" t="s">
        <v>42</v>
      </c>
      <c r="W79" s="18" t="s">
        <v>43</v>
      </c>
    </row>
    <row r="80" spans="2:23">
      <c r="B80" s="380"/>
      <c r="C80" s="20" t="s">
        <v>44</v>
      </c>
      <c r="D80" s="24">
        <v>1977.5</v>
      </c>
      <c r="E80" s="25">
        <v>184.25</v>
      </c>
      <c r="F80" s="22">
        <v>26.333333333333332</v>
      </c>
      <c r="G80" s="22">
        <v>0</v>
      </c>
      <c r="H80" s="22">
        <v>5</v>
      </c>
      <c r="I80" s="23">
        <f t="shared" ref="I80:I90" si="32">SUM(D80:H80)</f>
        <v>2193.0833333333335</v>
      </c>
      <c r="J80" s="12"/>
      <c r="K80" s="24">
        <v>10936635</v>
      </c>
      <c r="L80" s="25">
        <v>969661</v>
      </c>
      <c r="M80" s="22">
        <v>2207167</v>
      </c>
      <c r="N80" s="22">
        <v>0</v>
      </c>
      <c r="O80" s="22">
        <v>118088</v>
      </c>
      <c r="P80" s="26">
        <f>SUM(K80:O80)</f>
        <v>14231551</v>
      </c>
      <c r="Q80" s="12"/>
      <c r="R80" s="65">
        <v>2092075.5265714286</v>
      </c>
      <c r="S80" s="66">
        <v>204305.7924100504</v>
      </c>
      <c r="T80" s="66">
        <v>428074.7015899496</v>
      </c>
      <c r="U80" s="55">
        <v>0</v>
      </c>
      <c r="V80" s="67">
        <v>30637.24971428571</v>
      </c>
      <c r="W80" s="68">
        <f>SUM(R80:V80)</f>
        <v>2755093.270285714</v>
      </c>
    </row>
    <row r="81" spans="2:23">
      <c r="B81" s="380"/>
      <c r="C81" s="20" t="s">
        <v>45</v>
      </c>
      <c r="D81" s="24">
        <v>1569.5833333333333</v>
      </c>
      <c r="E81" s="25">
        <v>195.66666666666666</v>
      </c>
      <c r="F81" s="22">
        <v>20.416666666666668</v>
      </c>
      <c r="G81" s="22">
        <v>4</v>
      </c>
      <c r="H81" s="22">
        <v>7</v>
      </c>
      <c r="I81" s="23">
        <f t="shared" si="32"/>
        <v>1796.6666666666667</v>
      </c>
      <c r="J81" s="12"/>
      <c r="K81" s="24">
        <v>14365658.582324499</v>
      </c>
      <c r="L81" s="25">
        <v>2226114</v>
      </c>
      <c r="M81" s="22">
        <v>2938576</v>
      </c>
      <c r="N81" s="22">
        <v>7007520</v>
      </c>
      <c r="O81" s="22">
        <v>64260</v>
      </c>
      <c r="P81" s="26">
        <f t="shared" ref="P81:P90" si="33">SUM(K81:O81)</f>
        <v>26602128.582324497</v>
      </c>
      <c r="Q81" s="12"/>
      <c r="R81" s="27">
        <v>2420802.5825200002</v>
      </c>
      <c r="S81" s="28">
        <v>383512.66712</v>
      </c>
      <c r="T81" s="28">
        <v>471775.97055999999</v>
      </c>
      <c r="U81" s="28">
        <v>1031816.3984000001</v>
      </c>
      <c r="V81" s="57">
        <v>14763.496209999998</v>
      </c>
      <c r="W81" s="58">
        <f t="shared" ref="W81:W90" si="34">SUM(R81:V81)</f>
        <v>4322671.1148099992</v>
      </c>
    </row>
    <row r="82" spans="2:23">
      <c r="B82" s="380"/>
      <c r="C82" s="20" t="s">
        <v>46</v>
      </c>
      <c r="D82" s="24">
        <v>3929.5</v>
      </c>
      <c r="E82" s="25">
        <v>364</v>
      </c>
      <c r="F82" s="22">
        <v>22.5</v>
      </c>
      <c r="G82" s="22">
        <v>0</v>
      </c>
      <c r="H82" s="22">
        <v>11</v>
      </c>
      <c r="I82" s="23">
        <f t="shared" si="32"/>
        <v>4327</v>
      </c>
      <c r="J82" s="12"/>
      <c r="K82" s="24">
        <v>24869917</v>
      </c>
      <c r="L82" s="25">
        <v>4937456</v>
      </c>
      <c r="M82" s="22">
        <v>5527444</v>
      </c>
      <c r="N82" s="22">
        <v>0</v>
      </c>
      <c r="O82" s="22">
        <v>153435</v>
      </c>
      <c r="P82" s="26">
        <f t="shared" si="33"/>
        <v>35488252</v>
      </c>
      <c r="Q82" s="12"/>
      <c r="R82" s="27">
        <v>4246816.1400000006</v>
      </c>
      <c r="S82" s="28">
        <v>902411.75</v>
      </c>
      <c r="T82" s="28">
        <v>946819.50999999989</v>
      </c>
      <c r="U82" s="28">
        <v>0</v>
      </c>
      <c r="V82" s="57">
        <v>41053.65</v>
      </c>
      <c r="W82" s="58">
        <f t="shared" si="34"/>
        <v>6137101.0500000007</v>
      </c>
    </row>
    <row r="83" spans="2:23">
      <c r="B83" s="380"/>
      <c r="C83" s="20" t="s">
        <v>47</v>
      </c>
      <c r="D83" s="24">
        <v>670.16666666666663</v>
      </c>
      <c r="E83" s="25">
        <v>53.416666666666664</v>
      </c>
      <c r="F83" s="22">
        <v>0</v>
      </c>
      <c r="G83" s="22">
        <v>4</v>
      </c>
      <c r="H83" s="22">
        <v>1</v>
      </c>
      <c r="I83" s="23">
        <f t="shared" si="32"/>
        <v>728.58333333333326</v>
      </c>
      <c r="J83" s="12"/>
      <c r="K83" s="24">
        <v>3793058</v>
      </c>
      <c r="L83" s="25">
        <v>593617</v>
      </c>
      <c r="M83" s="22">
        <v>0</v>
      </c>
      <c r="N83" s="22">
        <v>790907</v>
      </c>
      <c r="O83" s="22">
        <v>17172</v>
      </c>
      <c r="P83" s="26">
        <f t="shared" si="33"/>
        <v>5194754</v>
      </c>
      <c r="Q83" s="12"/>
      <c r="R83" s="27">
        <v>651209.07999999996</v>
      </c>
      <c r="S83" s="28">
        <v>102041.65999999997</v>
      </c>
      <c r="T83" s="28">
        <v>0</v>
      </c>
      <c r="U83" s="28">
        <v>140374.59000000003</v>
      </c>
      <c r="V83" s="57">
        <v>3300.8400000000006</v>
      </c>
      <c r="W83" s="58">
        <f t="shared" si="34"/>
        <v>896926.17</v>
      </c>
    </row>
    <row r="84" spans="2:23">
      <c r="B84" s="380"/>
      <c r="C84" s="20" t="s">
        <v>48</v>
      </c>
      <c r="D84" s="24">
        <v>821</v>
      </c>
      <c r="E84" s="25">
        <v>123</v>
      </c>
      <c r="F84" s="22">
        <v>18</v>
      </c>
      <c r="G84" s="22">
        <v>0</v>
      </c>
      <c r="H84" s="22">
        <v>34</v>
      </c>
      <c r="I84" s="23">
        <f t="shared" si="32"/>
        <v>996</v>
      </c>
      <c r="J84" s="12"/>
      <c r="K84" s="24">
        <v>5396836</v>
      </c>
      <c r="L84" s="25">
        <v>1302901</v>
      </c>
      <c r="M84" s="22">
        <v>5334938</v>
      </c>
      <c r="N84" s="22">
        <v>0</v>
      </c>
      <c r="O84" s="22">
        <v>63993</v>
      </c>
      <c r="P84" s="26">
        <f t="shared" si="33"/>
        <v>12098668</v>
      </c>
      <c r="Q84" s="12"/>
      <c r="R84" s="27">
        <v>936988.88</v>
      </c>
      <c r="S84" s="28">
        <v>254243.5</v>
      </c>
      <c r="T84" s="28">
        <v>871044.24</v>
      </c>
      <c r="U84" s="22">
        <v>0</v>
      </c>
      <c r="V84" s="57">
        <v>15226.84</v>
      </c>
      <c r="W84" s="58">
        <f t="shared" si="34"/>
        <v>2077503.46</v>
      </c>
    </row>
    <row r="85" spans="2:23">
      <c r="B85" s="380"/>
      <c r="C85" s="20" t="s">
        <v>49</v>
      </c>
      <c r="D85" s="22">
        <v>2975</v>
      </c>
      <c r="E85" s="22">
        <v>585</v>
      </c>
      <c r="F85" s="22">
        <v>121</v>
      </c>
      <c r="G85" s="30" t="s">
        <v>50</v>
      </c>
      <c r="H85" s="22">
        <v>11</v>
      </c>
      <c r="I85" s="26">
        <f t="shared" si="32"/>
        <v>3692</v>
      </c>
      <c r="J85" s="12"/>
      <c r="K85" s="21">
        <v>17416982</v>
      </c>
      <c r="L85" s="22">
        <v>5007407</v>
      </c>
      <c r="M85" s="22">
        <v>28168429</v>
      </c>
      <c r="N85" s="30" t="s">
        <v>50</v>
      </c>
      <c r="O85" s="22">
        <v>180496</v>
      </c>
      <c r="P85" s="26">
        <f t="shared" si="33"/>
        <v>50773314</v>
      </c>
      <c r="Q85" s="12"/>
      <c r="R85" s="27">
        <v>2325768</v>
      </c>
      <c r="S85" s="28">
        <v>924325</v>
      </c>
      <c r="T85" s="28">
        <v>4183104</v>
      </c>
      <c r="U85" s="32" t="s">
        <v>50</v>
      </c>
      <c r="V85" s="28">
        <v>92365</v>
      </c>
      <c r="W85" s="29">
        <f t="shared" si="34"/>
        <v>7525562</v>
      </c>
    </row>
    <row r="86" spans="2:23">
      <c r="B86" s="380"/>
      <c r="C86" s="20" t="s">
        <v>51</v>
      </c>
      <c r="D86" s="21">
        <v>4905</v>
      </c>
      <c r="E86" s="22">
        <v>938</v>
      </c>
      <c r="F86" s="22">
        <v>40</v>
      </c>
      <c r="G86" s="22">
        <v>0</v>
      </c>
      <c r="H86" s="22">
        <v>0</v>
      </c>
      <c r="I86" s="26">
        <f t="shared" si="32"/>
        <v>5883</v>
      </c>
      <c r="J86" s="12"/>
      <c r="K86" s="21">
        <v>32753090</v>
      </c>
      <c r="L86" s="22">
        <v>11903747</v>
      </c>
      <c r="M86" s="22">
        <v>16943526</v>
      </c>
      <c r="N86" s="22">
        <v>0</v>
      </c>
      <c r="O86" s="22">
        <v>476514</v>
      </c>
      <c r="P86" s="26">
        <f t="shared" si="33"/>
        <v>62076877</v>
      </c>
      <c r="Q86" s="12"/>
      <c r="R86" s="27">
        <v>5047890.348473073</v>
      </c>
      <c r="S86" s="28">
        <v>1836012.5485402625</v>
      </c>
      <c r="T86" s="28">
        <v>2339927.3246154985</v>
      </c>
      <c r="U86" s="22">
        <v>0</v>
      </c>
      <c r="V86" s="28">
        <v>100728.28259940955</v>
      </c>
      <c r="W86" s="29">
        <f t="shared" si="34"/>
        <v>9324558.5042282436</v>
      </c>
    </row>
    <row r="87" spans="2:23">
      <c r="B87" s="380"/>
      <c r="C87" s="20" t="s">
        <v>52</v>
      </c>
      <c r="D87" s="22">
        <v>3593</v>
      </c>
      <c r="E87" s="22">
        <v>567</v>
      </c>
      <c r="F87" s="22">
        <v>99</v>
      </c>
      <c r="G87" s="22">
        <v>0</v>
      </c>
      <c r="H87" s="22">
        <v>11</v>
      </c>
      <c r="I87" s="26">
        <f t="shared" si="32"/>
        <v>4270</v>
      </c>
      <c r="J87" s="12"/>
      <c r="K87" s="21">
        <v>23068072</v>
      </c>
      <c r="L87" s="22">
        <v>5172574</v>
      </c>
      <c r="M87" s="22">
        <v>18080775</v>
      </c>
      <c r="N87" s="22">
        <v>0</v>
      </c>
      <c r="O87" s="22">
        <v>68699</v>
      </c>
      <c r="P87" s="26">
        <f t="shared" si="33"/>
        <v>46390120</v>
      </c>
      <c r="Q87" s="12"/>
      <c r="R87" s="27">
        <v>3603031</v>
      </c>
      <c r="S87" s="28">
        <v>708145</v>
      </c>
      <c r="T87" s="28">
        <v>2756750</v>
      </c>
      <c r="U87" s="22">
        <v>0</v>
      </c>
      <c r="V87" s="28">
        <v>33205</v>
      </c>
      <c r="W87" s="29">
        <f t="shared" si="34"/>
        <v>7101131</v>
      </c>
    </row>
    <row r="88" spans="2:23">
      <c r="B88" s="380"/>
      <c r="C88" s="20" t="s">
        <v>53</v>
      </c>
      <c r="D88" s="24">
        <v>1621.5833333333333</v>
      </c>
      <c r="E88" s="25">
        <v>193.16666666666666</v>
      </c>
      <c r="F88" s="22">
        <v>16.5</v>
      </c>
      <c r="G88" s="22">
        <v>1</v>
      </c>
      <c r="H88" s="22">
        <v>32</v>
      </c>
      <c r="I88" s="23">
        <f t="shared" si="32"/>
        <v>1864.25</v>
      </c>
      <c r="J88" s="12"/>
      <c r="K88" s="24">
        <v>10594021</v>
      </c>
      <c r="L88" s="25">
        <v>2565390.879994587</v>
      </c>
      <c r="M88" s="22">
        <v>7218841.120005413</v>
      </c>
      <c r="N88" s="22">
        <v>7896119</v>
      </c>
      <c r="O88" s="22">
        <v>88147</v>
      </c>
      <c r="P88" s="26">
        <f t="shared" si="33"/>
        <v>28362519</v>
      </c>
      <c r="Q88" s="12"/>
      <c r="R88" s="27">
        <v>1459091.99</v>
      </c>
      <c r="S88" s="28">
        <v>359395.10517135472</v>
      </c>
      <c r="T88" s="28">
        <v>849989.90482864541</v>
      </c>
      <c r="U88" s="28">
        <v>989038.19000000018</v>
      </c>
      <c r="V88" s="57">
        <v>25476.22</v>
      </c>
      <c r="W88" s="58">
        <f t="shared" si="34"/>
        <v>3682991.4100000006</v>
      </c>
    </row>
    <row r="89" spans="2:23">
      <c r="B89" s="380"/>
      <c r="C89" s="20" t="s">
        <v>54</v>
      </c>
      <c r="D89" s="24">
        <v>579.58333333333337</v>
      </c>
      <c r="E89" s="25">
        <v>68</v>
      </c>
      <c r="F89" s="22">
        <v>0</v>
      </c>
      <c r="G89" s="22">
        <v>1</v>
      </c>
      <c r="H89" s="22">
        <v>22.833333333333332</v>
      </c>
      <c r="I89" s="23">
        <f t="shared" si="32"/>
        <v>671.41666666666674</v>
      </c>
      <c r="J89" s="12"/>
      <c r="K89" s="24">
        <v>4065215</v>
      </c>
      <c r="L89" s="25">
        <v>1677040</v>
      </c>
      <c r="M89" s="22">
        <v>0</v>
      </c>
      <c r="N89" s="22">
        <v>6616800</v>
      </c>
      <c r="O89" s="22">
        <v>499552</v>
      </c>
      <c r="P89" s="26">
        <f t="shared" si="33"/>
        <v>12858607</v>
      </c>
      <c r="Q89" s="12"/>
      <c r="R89" s="27">
        <v>525695.5</v>
      </c>
      <c r="S89" s="28">
        <v>237276.52000000002</v>
      </c>
      <c r="T89" s="22">
        <v>0</v>
      </c>
      <c r="U89" s="28">
        <v>992702.12</v>
      </c>
      <c r="V89" s="57">
        <v>74484.91</v>
      </c>
      <c r="W89" s="58">
        <f t="shared" si="34"/>
        <v>1830159.05</v>
      </c>
    </row>
    <row r="90" spans="2:23">
      <c r="B90" s="380"/>
      <c r="C90" s="20" t="s">
        <v>55</v>
      </c>
      <c r="D90" s="24">
        <v>3340</v>
      </c>
      <c r="E90" s="25">
        <v>332</v>
      </c>
      <c r="F90" s="22">
        <v>85</v>
      </c>
      <c r="G90" s="22">
        <v>0</v>
      </c>
      <c r="H90" s="22">
        <v>13</v>
      </c>
      <c r="I90" s="23">
        <f t="shared" si="32"/>
        <v>3770</v>
      </c>
      <c r="J90" s="12"/>
      <c r="K90" s="24">
        <v>27226447</v>
      </c>
      <c r="L90" s="25">
        <v>2886433</v>
      </c>
      <c r="M90" s="22">
        <v>21258466</v>
      </c>
      <c r="N90" s="22">
        <v>0</v>
      </c>
      <c r="O90" s="22">
        <v>1199706</v>
      </c>
      <c r="P90" s="26">
        <f t="shared" si="33"/>
        <v>52571052</v>
      </c>
      <c r="Q90" s="12"/>
      <c r="R90" s="27">
        <v>3604429</v>
      </c>
      <c r="S90" s="28">
        <v>433386</v>
      </c>
      <c r="T90" s="28">
        <v>2683290</v>
      </c>
      <c r="U90" s="28">
        <v>0</v>
      </c>
      <c r="V90" s="57">
        <v>159974</v>
      </c>
      <c r="W90" s="58">
        <f t="shared" si="34"/>
        <v>6881079</v>
      </c>
    </row>
    <row r="91" spans="2:23">
      <c r="B91" s="381"/>
      <c r="C91" s="77" t="s">
        <v>56</v>
      </c>
      <c r="D91" s="71">
        <f>SUM(D80:D90)</f>
        <v>25981.916666666664</v>
      </c>
      <c r="E91" s="72">
        <f t="shared" ref="E91:G91" si="35">SUM(E80:E90)</f>
        <v>3603.4999999999995</v>
      </c>
      <c r="F91" s="72">
        <f t="shared" si="35"/>
        <v>448.75</v>
      </c>
      <c r="G91" s="72">
        <f t="shared" si="35"/>
        <v>10</v>
      </c>
      <c r="H91" s="72">
        <f>SUM(H80:H90)</f>
        <v>147.83333333333334</v>
      </c>
      <c r="I91" s="73">
        <f t="shared" ref="I91" si="36">SUM(I80:I90)</f>
        <v>30192.000000000004</v>
      </c>
      <c r="J91" s="45"/>
      <c r="K91" s="71">
        <f t="shared" ref="K91:P91" si="37">SUM(K80:K90)</f>
        <v>174485931.5823245</v>
      </c>
      <c r="L91" s="72">
        <f t="shared" si="37"/>
        <v>39242340.879994586</v>
      </c>
      <c r="M91" s="72">
        <f t="shared" si="37"/>
        <v>107678162.12000541</v>
      </c>
      <c r="N91" s="72">
        <f t="shared" si="37"/>
        <v>22311346</v>
      </c>
      <c r="O91" s="72">
        <f t="shared" si="37"/>
        <v>2930062</v>
      </c>
      <c r="P91" s="73">
        <f t="shared" si="37"/>
        <v>346647842.5823245</v>
      </c>
      <c r="Q91" s="45"/>
      <c r="R91" s="62">
        <f>SUM(R80:R90)</f>
        <v>26913798.047564503</v>
      </c>
      <c r="S91" s="63">
        <f t="shared" ref="S91:V91" si="38">SUM(S80:S90)</f>
        <v>6345055.5432416666</v>
      </c>
      <c r="T91" s="63">
        <f t="shared" si="38"/>
        <v>15530775.651594093</v>
      </c>
      <c r="U91" s="63">
        <f t="shared" si="38"/>
        <v>3153931.2984000007</v>
      </c>
      <c r="V91" s="63">
        <f t="shared" si="38"/>
        <v>591215.48852369527</v>
      </c>
      <c r="W91" s="64">
        <f>SUM(W80:W90)</f>
        <v>52534776.029323958</v>
      </c>
    </row>
    <row r="92" spans="2:23">
      <c r="B92" s="12"/>
      <c r="C92" s="78" t="s">
        <v>58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</row>
    <row r="93" spans="2:23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</row>
    <row r="94" spans="2:23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</row>
    <row r="95" spans="2:23" ht="29">
      <c r="B95" s="12" t="s">
        <v>65</v>
      </c>
      <c r="C95" s="15" t="s">
        <v>25</v>
      </c>
      <c r="D95" s="16" t="s">
        <v>26</v>
      </c>
      <c r="E95" s="17" t="s">
        <v>27</v>
      </c>
      <c r="F95" s="17" t="s">
        <v>28</v>
      </c>
      <c r="G95" s="17" t="s">
        <v>29</v>
      </c>
      <c r="H95" s="17" t="s">
        <v>30</v>
      </c>
      <c r="I95" s="18" t="s">
        <v>31</v>
      </c>
      <c r="J95" s="12"/>
      <c r="K95" s="16" t="s">
        <v>32</v>
      </c>
      <c r="L95" s="17" t="s">
        <v>33</v>
      </c>
      <c r="M95" s="17" t="s">
        <v>34</v>
      </c>
      <c r="N95" s="17" t="s">
        <v>35</v>
      </c>
      <c r="O95" s="17" t="s">
        <v>36</v>
      </c>
      <c r="P95" s="18" t="s">
        <v>37</v>
      </c>
      <c r="Q95" s="19"/>
      <c r="R95" s="16" t="s">
        <v>38</v>
      </c>
      <c r="S95" s="17" t="s">
        <v>39</v>
      </c>
      <c r="T95" s="17" t="s">
        <v>40</v>
      </c>
      <c r="U95" s="17" t="s">
        <v>41</v>
      </c>
      <c r="V95" s="17" t="s">
        <v>42</v>
      </c>
      <c r="W95" s="18" t="s">
        <v>43</v>
      </c>
    </row>
    <row r="96" spans="2:23">
      <c r="B96" s="12"/>
      <c r="C96" s="20" t="s">
        <v>44</v>
      </c>
      <c r="D96" s="79">
        <f>AVERAGE(D8, D26,D44,D62,D80)</f>
        <v>1959.55</v>
      </c>
      <c r="E96" s="79">
        <f t="shared" ref="E96:H96" si="39">AVERAGE(E8, E26,E44,E62,E80)</f>
        <v>186.86666666666665</v>
      </c>
      <c r="F96" s="79">
        <f t="shared" si="39"/>
        <v>25.866666666666667</v>
      </c>
      <c r="G96" s="79">
        <f t="shared" si="39"/>
        <v>0</v>
      </c>
      <c r="H96" s="79">
        <f t="shared" si="39"/>
        <v>4.9666666666666668</v>
      </c>
      <c r="I96" s="79">
        <f>AVERAGE(I8, I26,I44,I62,I80)</f>
        <v>2177.25</v>
      </c>
      <c r="J96" s="79"/>
      <c r="K96" s="79">
        <f>AVERAGE(K8, K26,K44,K62,K80)</f>
        <v>10428160</v>
      </c>
      <c r="L96" s="79">
        <f t="shared" ref="L96:W97" si="40">AVERAGE(L8, L26,L44,L62,L80)</f>
        <v>969742</v>
      </c>
      <c r="M96" s="79">
        <f t="shared" si="40"/>
        <v>2274334.7999999998</v>
      </c>
      <c r="N96" s="79">
        <f t="shared" si="40"/>
        <v>0</v>
      </c>
      <c r="O96" s="79">
        <f t="shared" si="40"/>
        <v>123556.8</v>
      </c>
      <c r="P96" s="79">
        <f t="shared" si="40"/>
        <v>13795793.6</v>
      </c>
      <c r="Q96" s="79"/>
      <c r="R96" s="79">
        <f t="shared" si="40"/>
        <v>2061452.3693142857</v>
      </c>
      <c r="S96" s="79">
        <f t="shared" si="40"/>
        <v>210182.85488794843</v>
      </c>
      <c r="T96" s="79">
        <f t="shared" si="40"/>
        <v>453136.44564901275</v>
      </c>
      <c r="U96" s="79">
        <f t="shared" si="40"/>
        <v>0</v>
      </c>
      <c r="V96" s="79">
        <f t="shared" si="40"/>
        <v>33591.367942857141</v>
      </c>
      <c r="W96" s="79">
        <f t="shared" si="40"/>
        <v>2758363.0377941043</v>
      </c>
    </row>
    <row r="97" spans="2:23">
      <c r="B97" s="12"/>
      <c r="C97" s="20" t="s">
        <v>45</v>
      </c>
      <c r="D97" s="79">
        <f t="shared" ref="D97:S106" si="41">AVERAGE(D9, D27,D45,D63,D81)</f>
        <v>1544.4166666666665</v>
      </c>
      <c r="E97" s="79">
        <f t="shared" si="41"/>
        <v>192.34999999999997</v>
      </c>
      <c r="F97" s="79">
        <f t="shared" si="41"/>
        <v>20.56666666666667</v>
      </c>
      <c r="G97" s="79">
        <f t="shared" si="41"/>
        <v>4</v>
      </c>
      <c r="H97" s="79">
        <f t="shared" si="41"/>
        <v>7</v>
      </c>
      <c r="I97" s="79">
        <f t="shared" si="41"/>
        <v>1768.3333333333333</v>
      </c>
      <c r="J97" s="79"/>
      <c r="K97" s="79">
        <f t="shared" si="41"/>
        <v>14076983.559846867</v>
      </c>
      <c r="L97" s="79">
        <f t="shared" si="41"/>
        <v>2239332.2000000002</v>
      </c>
      <c r="M97" s="79">
        <f t="shared" si="41"/>
        <v>2958502</v>
      </c>
      <c r="N97" s="79">
        <f t="shared" si="41"/>
        <v>7063560</v>
      </c>
      <c r="O97" s="79">
        <f t="shared" si="41"/>
        <v>117082.84944077628</v>
      </c>
      <c r="P97" s="79">
        <f t="shared" si="41"/>
        <v>26455460.609287642</v>
      </c>
      <c r="Q97" s="79"/>
      <c r="R97" s="79">
        <f t="shared" si="41"/>
        <v>2283009.3766000001</v>
      </c>
      <c r="S97" s="79">
        <f t="shared" si="41"/>
        <v>372064.23476799997</v>
      </c>
      <c r="T97" s="79">
        <f t="shared" si="40"/>
        <v>460881.73892000003</v>
      </c>
      <c r="U97" s="79">
        <f t="shared" si="40"/>
        <v>965413.13479999988</v>
      </c>
      <c r="V97" s="79">
        <f t="shared" si="40"/>
        <v>22917.521161999997</v>
      </c>
      <c r="W97" s="79">
        <f t="shared" si="40"/>
        <v>4104286.0062500001</v>
      </c>
    </row>
    <row r="98" spans="2:23">
      <c r="B98" s="12"/>
      <c r="C98" s="20" t="s">
        <v>46</v>
      </c>
      <c r="D98" s="79">
        <f>AVERAGE(D10, D28,D46,D64,D82)</f>
        <v>4055.9</v>
      </c>
      <c r="E98" s="79">
        <f t="shared" ref="E98:W106" si="42">AVERAGE(E10, E28,E46,E64,E82)</f>
        <v>381.4</v>
      </c>
      <c r="F98" s="79">
        <f t="shared" si="42"/>
        <v>28.9</v>
      </c>
      <c r="G98" s="79">
        <f t="shared" si="42"/>
        <v>0</v>
      </c>
      <c r="H98" s="79">
        <f t="shared" si="42"/>
        <v>24.2</v>
      </c>
      <c r="I98" s="79">
        <f t="shared" si="42"/>
        <v>4490.3999999999996</v>
      </c>
      <c r="J98" s="79"/>
      <c r="K98" s="79">
        <f t="shared" si="42"/>
        <v>23890226.800000001</v>
      </c>
      <c r="L98" s="79">
        <f t="shared" si="42"/>
        <v>4998399.5999999996</v>
      </c>
      <c r="M98" s="79">
        <f t="shared" si="42"/>
        <v>5109030.8</v>
      </c>
      <c r="N98" s="79">
        <f t="shared" si="42"/>
        <v>0</v>
      </c>
      <c r="O98" s="79">
        <f t="shared" si="42"/>
        <v>168404.13170600001</v>
      </c>
      <c r="P98" s="79">
        <f t="shared" si="42"/>
        <v>34166061.331706002</v>
      </c>
      <c r="Q98" s="79"/>
      <c r="R98" s="79">
        <f t="shared" si="42"/>
        <v>4159662.4219999998</v>
      </c>
      <c r="S98" s="79">
        <f t="shared" si="42"/>
        <v>908119.50199999998</v>
      </c>
      <c r="T98" s="79">
        <f t="shared" si="42"/>
        <v>869292.04200000002</v>
      </c>
      <c r="U98" s="79">
        <f t="shared" si="42"/>
        <v>0</v>
      </c>
      <c r="V98" s="79">
        <f t="shared" si="42"/>
        <v>45020.031999999999</v>
      </c>
      <c r="W98" s="79">
        <f t="shared" si="42"/>
        <v>5982093.9980000006</v>
      </c>
    </row>
    <row r="99" spans="2:23">
      <c r="B99" s="12"/>
      <c r="C99" s="20" t="s">
        <v>47</v>
      </c>
      <c r="D99" s="79">
        <f t="shared" si="41"/>
        <v>660.13333333333333</v>
      </c>
      <c r="E99" s="79">
        <f t="shared" si="41"/>
        <v>51.266666666666666</v>
      </c>
      <c r="F99" s="79">
        <f t="shared" si="41"/>
        <v>0</v>
      </c>
      <c r="G99" s="79">
        <f t="shared" si="41"/>
        <v>4</v>
      </c>
      <c r="H99" s="79">
        <f t="shared" si="41"/>
        <v>1</v>
      </c>
      <c r="I99" s="79">
        <f t="shared" si="41"/>
        <v>716.39999999999986</v>
      </c>
      <c r="J99" s="79"/>
      <c r="K99" s="79">
        <f t="shared" si="41"/>
        <v>3580407.2</v>
      </c>
      <c r="L99" s="79">
        <f t="shared" si="41"/>
        <v>573252.19999999995</v>
      </c>
      <c r="M99" s="79">
        <f t="shared" si="41"/>
        <v>0</v>
      </c>
      <c r="N99" s="79">
        <f t="shared" si="41"/>
        <v>830993.8</v>
      </c>
      <c r="O99" s="79">
        <f t="shared" si="41"/>
        <v>17099.32</v>
      </c>
      <c r="P99" s="79">
        <f t="shared" si="41"/>
        <v>5001752.5200000005</v>
      </c>
      <c r="Q99" s="79"/>
      <c r="R99" s="79">
        <f t="shared" si="41"/>
        <v>607185.05000000005</v>
      </c>
      <c r="S99" s="79">
        <f t="shared" si="41"/>
        <v>98862.69</v>
      </c>
      <c r="T99" s="79">
        <f t="shared" si="42"/>
        <v>0</v>
      </c>
      <c r="U99" s="79">
        <f t="shared" si="42"/>
        <v>145646.38400000002</v>
      </c>
      <c r="V99" s="79">
        <f t="shared" si="42"/>
        <v>3298.7640000000006</v>
      </c>
      <c r="W99" s="79">
        <f t="shared" si="42"/>
        <v>854992.88799999992</v>
      </c>
    </row>
    <row r="100" spans="2:23">
      <c r="B100" s="12"/>
      <c r="C100" s="20" t="s">
        <v>48</v>
      </c>
      <c r="D100" s="79">
        <f t="shared" si="41"/>
        <v>805.26666666666665</v>
      </c>
      <c r="E100" s="79">
        <f t="shared" si="41"/>
        <v>123.46666666666667</v>
      </c>
      <c r="F100" s="79">
        <f t="shared" si="41"/>
        <v>15.866666666666669</v>
      </c>
      <c r="G100" s="79">
        <f t="shared" si="41"/>
        <v>0</v>
      </c>
      <c r="H100" s="79">
        <f t="shared" si="41"/>
        <v>33.233333333333334</v>
      </c>
      <c r="I100" s="79">
        <f t="shared" si="41"/>
        <v>977.83333333333326</v>
      </c>
      <c r="J100" s="79"/>
      <c r="K100" s="79">
        <f t="shared" si="41"/>
        <v>5217251.3620000007</v>
      </c>
      <c r="L100" s="79">
        <f t="shared" si="41"/>
        <v>1529267.848</v>
      </c>
      <c r="M100" s="79">
        <f t="shared" si="41"/>
        <v>5387115.898</v>
      </c>
      <c r="N100" s="79">
        <f t="shared" si="41"/>
        <v>0</v>
      </c>
      <c r="O100" s="79">
        <f t="shared" si="41"/>
        <v>64847.082000000009</v>
      </c>
      <c r="P100" s="79">
        <f t="shared" si="41"/>
        <v>12198482.190000001</v>
      </c>
      <c r="Q100" s="79"/>
      <c r="R100" s="79">
        <f t="shared" si="41"/>
        <v>907410.89399999997</v>
      </c>
      <c r="S100" s="79">
        <f t="shared" si="41"/>
        <v>294764.68</v>
      </c>
      <c r="T100" s="79">
        <f t="shared" si="42"/>
        <v>878793.86600000004</v>
      </c>
      <c r="U100" s="79">
        <f t="shared" si="42"/>
        <v>0</v>
      </c>
      <c r="V100" s="79">
        <f t="shared" si="42"/>
        <v>15431.938</v>
      </c>
      <c r="W100" s="79">
        <f t="shared" si="42"/>
        <v>2096401.378</v>
      </c>
    </row>
    <row r="101" spans="2:23">
      <c r="B101" s="12"/>
      <c r="C101" s="20" t="s">
        <v>49</v>
      </c>
      <c r="D101" s="79">
        <f t="shared" si="41"/>
        <v>3045.8</v>
      </c>
      <c r="E101" s="79">
        <f t="shared" si="41"/>
        <v>613.5</v>
      </c>
      <c r="F101" s="79">
        <f t="shared" si="41"/>
        <v>473</v>
      </c>
      <c r="G101" s="79">
        <f t="shared" si="41"/>
        <v>4</v>
      </c>
      <c r="H101" s="79">
        <f t="shared" si="41"/>
        <v>6.2</v>
      </c>
      <c r="I101" s="79">
        <f t="shared" si="41"/>
        <v>3772.8</v>
      </c>
      <c r="J101" s="79"/>
      <c r="K101" s="79">
        <f>AVERAGE(K13, K31,K49,K67,K85)</f>
        <v>17269118.199999999</v>
      </c>
      <c r="L101" s="79">
        <f t="shared" si="41"/>
        <v>4216816.5</v>
      </c>
      <c r="M101" s="79">
        <f t="shared" si="41"/>
        <v>21788980.600000001</v>
      </c>
      <c r="N101" s="79">
        <f>AVERAGE(N13, N31,N49,N67,N85)</f>
        <v>17752572.333333332</v>
      </c>
      <c r="O101" s="79">
        <f t="shared" si="41"/>
        <v>330308.40000000002</v>
      </c>
      <c r="P101" s="79">
        <f t="shared" si="41"/>
        <v>51726677.200000003</v>
      </c>
      <c r="Q101" s="79"/>
      <c r="R101" s="79">
        <f t="shared" si="41"/>
        <v>2291905.6</v>
      </c>
      <c r="S101" s="79">
        <f t="shared" si="41"/>
        <v>792830</v>
      </c>
      <c r="T101" s="79">
        <f t="shared" si="42"/>
        <v>3423060.4</v>
      </c>
      <c r="U101" s="79">
        <f t="shared" si="42"/>
        <v>2773268.3333333335</v>
      </c>
      <c r="V101" s="79">
        <f t="shared" si="42"/>
        <v>97838</v>
      </c>
      <c r="W101" s="79">
        <f t="shared" si="42"/>
        <v>7793897</v>
      </c>
    </row>
    <row r="102" spans="2:23">
      <c r="B102" s="12"/>
      <c r="C102" s="20" t="s">
        <v>51</v>
      </c>
      <c r="D102" s="79">
        <f t="shared" si="41"/>
        <v>4854.1000000000004</v>
      </c>
      <c r="E102" s="79">
        <f t="shared" si="41"/>
        <v>889.28333333333319</v>
      </c>
      <c r="F102" s="79">
        <f t="shared" si="41"/>
        <v>41.05</v>
      </c>
      <c r="G102" s="79">
        <f t="shared" si="41"/>
        <v>0</v>
      </c>
      <c r="H102" s="79">
        <f t="shared" si="41"/>
        <v>0</v>
      </c>
      <c r="I102" s="79">
        <f t="shared" si="41"/>
        <v>5785.6333333333332</v>
      </c>
      <c r="J102" s="79"/>
      <c r="K102" s="79">
        <f t="shared" si="41"/>
        <v>31562109.399999999</v>
      </c>
      <c r="L102" s="79">
        <f t="shared" si="41"/>
        <v>11695058.800000001</v>
      </c>
      <c r="M102" s="79">
        <f t="shared" si="41"/>
        <v>16936564.399999999</v>
      </c>
      <c r="N102" s="79">
        <f t="shared" si="41"/>
        <v>0</v>
      </c>
      <c r="O102" s="79">
        <f t="shared" si="41"/>
        <v>479246.6</v>
      </c>
      <c r="P102" s="79">
        <f t="shared" si="41"/>
        <v>60672979.200000003</v>
      </c>
      <c r="Q102" s="79"/>
      <c r="R102" s="79">
        <f t="shared" si="41"/>
        <v>4894476.5281906147</v>
      </c>
      <c r="S102" s="79">
        <f t="shared" si="41"/>
        <v>1826212.7103080526</v>
      </c>
      <c r="T102" s="79">
        <f t="shared" si="42"/>
        <v>2344261.8421711</v>
      </c>
      <c r="U102" s="79">
        <f t="shared" si="42"/>
        <v>0</v>
      </c>
      <c r="V102" s="79">
        <f t="shared" si="42"/>
        <v>100689.85651988191</v>
      </c>
      <c r="W102" s="79">
        <f t="shared" si="42"/>
        <v>9165640.9371896498</v>
      </c>
    </row>
    <row r="103" spans="2:23">
      <c r="B103" s="12"/>
      <c r="C103" s="20" t="s">
        <v>52</v>
      </c>
      <c r="D103" s="79">
        <f t="shared" si="41"/>
        <v>3544.8</v>
      </c>
      <c r="E103" s="79">
        <f t="shared" si="41"/>
        <v>594.20000000000005</v>
      </c>
      <c r="F103" s="79">
        <f t="shared" si="41"/>
        <v>58.2</v>
      </c>
      <c r="G103" s="79">
        <f t="shared" si="41"/>
        <v>0</v>
      </c>
      <c r="H103" s="79">
        <f t="shared" si="41"/>
        <v>5</v>
      </c>
      <c r="I103" s="79">
        <f t="shared" si="41"/>
        <v>4202.2</v>
      </c>
      <c r="J103" s="79"/>
      <c r="K103" s="79">
        <f t="shared" si="41"/>
        <v>21976026</v>
      </c>
      <c r="L103" s="79">
        <f t="shared" si="41"/>
        <v>12632608.4</v>
      </c>
      <c r="M103" s="79">
        <f t="shared" si="41"/>
        <v>10842775.199999999</v>
      </c>
      <c r="N103" s="79">
        <f t="shared" si="41"/>
        <v>0</v>
      </c>
      <c r="O103" s="79">
        <f t="shared" si="41"/>
        <v>43813.599999999999</v>
      </c>
      <c r="P103" s="79">
        <f t="shared" si="41"/>
        <v>45495223.200000003</v>
      </c>
      <c r="Q103" s="79"/>
      <c r="R103" s="79">
        <f t="shared" si="41"/>
        <v>3437523</v>
      </c>
      <c r="S103" s="79">
        <f t="shared" si="41"/>
        <v>1945230.8</v>
      </c>
      <c r="T103" s="79">
        <f t="shared" si="42"/>
        <v>1645803.8</v>
      </c>
      <c r="U103" s="79">
        <f t="shared" si="42"/>
        <v>0</v>
      </c>
      <c r="V103" s="79">
        <f t="shared" si="42"/>
        <v>24770.400000000001</v>
      </c>
      <c r="W103" s="79">
        <f t="shared" si="42"/>
        <v>7053328</v>
      </c>
    </row>
    <row r="104" spans="2:23">
      <c r="B104" s="12"/>
      <c r="C104" s="20" t="s">
        <v>53</v>
      </c>
      <c r="D104" s="79">
        <f t="shared" si="41"/>
        <v>1615.0166666666667</v>
      </c>
      <c r="E104" s="79">
        <f t="shared" si="41"/>
        <v>195.63333333333333</v>
      </c>
      <c r="F104" s="79">
        <f t="shared" si="41"/>
        <v>16.083333333333332</v>
      </c>
      <c r="G104" s="79">
        <f t="shared" si="41"/>
        <v>1</v>
      </c>
      <c r="H104" s="79">
        <f t="shared" si="41"/>
        <v>32</v>
      </c>
      <c r="I104" s="79">
        <f t="shared" si="41"/>
        <v>1859.7333333333331</v>
      </c>
      <c r="J104" s="79"/>
      <c r="K104" s="79">
        <f t="shared" si="41"/>
        <v>10305696.6</v>
      </c>
      <c r="L104" s="79">
        <f t="shared" si="41"/>
        <v>2482916.4502174607</v>
      </c>
      <c r="M104" s="79">
        <f t="shared" si="41"/>
        <v>6927681.7497825399</v>
      </c>
      <c r="N104" s="79">
        <f t="shared" si="41"/>
        <v>8180824.7999999998</v>
      </c>
      <c r="O104" s="79">
        <f t="shared" si="41"/>
        <v>89409.4</v>
      </c>
      <c r="P104" s="79">
        <f t="shared" si="41"/>
        <v>27986529</v>
      </c>
      <c r="Q104" s="79"/>
      <c r="R104" s="79">
        <f t="shared" si="41"/>
        <v>1421000.5020000001</v>
      </c>
      <c r="S104" s="79">
        <f t="shared" si="41"/>
        <v>381598.52174094052</v>
      </c>
      <c r="T104" s="79">
        <f t="shared" si="42"/>
        <v>834282.0082590594</v>
      </c>
      <c r="U104" s="79">
        <f t="shared" si="42"/>
        <v>1025473.922</v>
      </c>
      <c r="V104" s="79">
        <f t="shared" si="42"/>
        <v>25792.167999999998</v>
      </c>
      <c r="W104" s="79">
        <f t="shared" si="42"/>
        <v>3688147.122</v>
      </c>
    </row>
    <row r="105" spans="2:23">
      <c r="B105" s="12"/>
      <c r="C105" s="20" t="s">
        <v>54</v>
      </c>
      <c r="D105" s="79">
        <f t="shared" si="41"/>
        <v>579.13333333333344</v>
      </c>
      <c r="E105" s="79">
        <f t="shared" si="41"/>
        <v>66.8</v>
      </c>
      <c r="F105" s="79">
        <f t="shared" si="41"/>
        <v>0</v>
      </c>
      <c r="G105" s="79">
        <f t="shared" si="41"/>
        <v>1</v>
      </c>
      <c r="H105" s="79">
        <f t="shared" si="41"/>
        <v>21.35</v>
      </c>
      <c r="I105" s="79">
        <f t="shared" si="41"/>
        <v>668.28333333333342</v>
      </c>
      <c r="J105" s="79"/>
      <c r="K105" s="79">
        <f t="shared" si="41"/>
        <v>4026253</v>
      </c>
      <c r="L105" s="79">
        <f t="shared" si="41"/>
        <v>1621318.2</v>
      </c>
      <c r="M105" s="79">
        <f t="shared" si="41"/>
        <v>0</v>
      </c>
      <c r="N105" s="79">
        <f t="shared" si="41"/>
        <v>6655200</v>
      </c>
      <c r="O105" s="79">
        <f t="shared" si="41"/>
        <v>533567</v>
      </c>
      <c r="P105" s="79">
        <f t="shared" si="41"/>
        <v>12836338.199999999</v>
      </c>
      <c r="Q105" s="79"/>
      <c r="R105" s="79">
        <f t="shared" si="41"/>
        <v>521194.908</v>
      </c>
      <c r="S105" s="79">
        <f t="shared" si="41"/>
        <v>229522.30898600002</v>
      </c>
      <c r="T105" s="79">
        <f t="shared" si="42"/>
        <v>0</v>
      </c>
      <c r="U105" s="79">
        <f t="shared" si="42"/>
        <v>1008170.7716</v>
      </c>
      <c r="V105" s="79">
        <f t="shared" si="42"/>
        <v>78239.596500000014</v>
      </c>
      <c r="W105" s="79">
        <f t="shared" si="42"/>
        <v>1837127.5850859999</v>
      </c>
    </row>
    <row r="106" spans="2:23">
      <c r="B106" s="12"/>
      <c r="C106" s="33" t="s">
        <v>55</v>
      </c>
      <c r="D106" s="79">
        <f t="shared" si="41"/>
        <v>3295.6</v>
      </c>
      <c r="E106" s="79">
        <f t="shared" si="41"/>
        <v>401.6</v>
      </c>
      <c r="F106" s="79">
        <f t="shared" si="41"/>
        <v>31</v>
      </c>
      <c r="G106" s="79">
        <f t="shared" si="41"/>
        <v>0</v>
      </c>
      <c r="H106" s="79">
        <f t="shared" si="41"/>
        <v>13</v>
      </c>
      <c r="I106" s="79">
        <f t="shared" si="41"/>
        <v>3741.2</v>
      </c>
      <c r="J106" s="79"/>
      <c r="K106" s="79">
        <f t="shared" si="41"/>
        <v>26510905</v>
      </c>
      <c r="L106" s="79">
        <f t="shared" si="41"/>
        <v>16977842.600000001</v>
      </c>
      <c r="M106" s="79">
        <f t="shared" si="41"/>
        <v>8808733.5999999996</v>
      </c>
      <c r="N106" s="79">
        <f t="shared" si="41"/>
        <v>0</v>
      </c>
      <c r="O106" s="79">
        <f t="shared" si="41"/>
        <v>1115889.6000000001</v>
      </c>
      <c r="P106" s="79">
        <f t="shared" si="41"/>
        <v>53413370.799999997</v>
      </c>
      <c r="Q106" s="79"/>
      <c r="R106" s="79">
        <f t="shared" si="41"/>
        <v>3466814.4</v>
      </c>
      <c r="S106" s="79">
        <f t="shared" si="41"/>
        <v>2169391.4</v>
      </c>
      <c r="T106" s="79">
        <f t="shared" si="42"/>
        <v>1142213.2</v>
      </c>
      <c r="U106" s="79">
        <f t="shared" si="42"/>
        <v>0</v>
      </c>
      <c r="V106" s="79">
        <f t="shared" si="42"/>
        <v>144253.79999999999</v>
      </c>
      <c r="W106" s="79">
        <f t="shared" si="42"/>
        <v>6922672.7999999998</v>
      </c>
    </row>
    <row r="107" spans="2:23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1">
        <f t="shared" ref="R107:V107" si="43">SUM(R96:R106)</f>
        <v>26051635.050104897</v>
      </c>
      <c r="S107" s="122">
        <f t="shared" si="43"/>
        <v>9228779.7026909404</v>
      </c>
      <c r="T107" s="122">
        <f t="shared" si="43"/>
        <v>12051725.342999173</v>
      </c>
      <c r="U107" s="122">
        <f t="shared" si="43"/>
        <v>5917972.5457333336</v>
      </c>
      <c r="V107" s="122">
        <f t="shared" si="43"/>
        <v>591843.44412473915</v>
      </c>
      <c r="W107" s="123">
        <f>SUM(W96:W106)</f>
        <v>52256950.752319761</v>
      </c>
    </row>
    <row r="108" spans="2:23">
      <c r="B108" s="12"/>
      <c r="C108" s="12"/>
      <c r="D108" s="79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</row>
    <row r="109" spans="2:23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</row>
    <row r="110" spans="2:23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</row>
    <row r="111" spans="2:23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</row>
    <row r="112" spans="2:23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</row>
    <row r="113" spans="2:23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</row>
    <row r="114" spans="2:23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</row>
    <row r="115" spans="2:23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</row>
    <row r="116" spans="2:23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</row>
    <row r="117" spans="2:23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</row>
    <row r="118" spans="2:23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</row>
    <row r="119" spans="2:23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</row>
    <row r="120" spans="2:23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</row>
    <row r="121" spans="2:23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</row>
    <row r="122" spans="2:23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</row>
    <row r="123" spans="2:23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</row>
    <row r="124" spans="2:23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</row>
    <row r="125" spans="2:23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</row>
    <row r="126" spans="2:23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</row>
    <row r="127" spans="2:23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</row>
    <row r="128" spans="2:23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</row>
    <row r="129" spans="2:23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</row>
  </sheetData>
  <mergeCells count="26">
    <mergeCell ref="B4:B19"/>
    <mergeCell ref="C4:W4"/>
    <mergeCell ref="C5:W5"/>
    <mergeCell ref="D6:I6"/>
    <mergeCell ref="K6:P6"/>
    <mergeCell ref="R6:W6"/>
    <mergeCell ref="B41:B55"/>
    <mergeCell ref="C41:W41"/>
    <mergeCell ref="D42:I42"/>
    <mergeCell ref="K42:P42"/>
    <mergeCell ref="R42:W42"/>
    <mergeCell ref="B23:B37"/>
    <mergeCell ref="C23:W23"/>
    <mergeCell ref="D24:I24"/>
    <mergeCell ref="K24:P24"/>
    <mergeCell ref="R24:W24"/>
    <mergeCell ref="B77:B91"/>
    <mergeCell ref="C77:W77"/>
    <mergeCell ref="D78:I78"/>
    <mergeCell ref="K78:P78"/>
    <mergeCell ref="R78:W78"/>
    <mergeCell ref="B59:B73"/>
    <mergeCell ref="C59:W59"/>
    <mergeCell ref="D60:I60"/>
    <mergeCell ref="K60:P60"/>
    <mergeCell ref="R60:W6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F3A2B-E665-488D-B75B-2B1D831479D7}">
  <dimension ref="A2:M31"/>
  <sheetViews>
    <sheetView zoomScale="90" zoomScaleNormal="90" workbookViewId="0">
      <pane xSplit="2" topLeftCell="C1" activePane="topRight" state="frozen"/>
      <selection activeCell="A5" sqref="A5"/>
      <selection pane="topRight" activeCell="E32" sqref="E32"/>
    </sheetView>
  </sheetViews>
  <sheetFormatPr defaultRowHeight="14.5"/>
  <cols>
    <col min="2" max="2" width="22.7265625" customWidth="1"/>
    <col min="3" max="3" width="20.7265625" style="4" bestFit="1" customWidth="1"/>
    <col min="4" max="5" width="20.1796875" customWidth="1"/>
    <col min="6" max="6" width="21.1796875" style="83" bestFit="1" customWidth="1"/>
    <col min="7" max="7" width="20.26953125" customWidth="1"/>
    <col min="8" max="8" width="14.36328125" customWidth="1"/>
    <col min="9" max="9" width="21.7265625" bestFit="1" customWidth="1"/>
    <col min="10" max="10" width="11.26953125" style="3" bestFit="1" customWidth="1"/>
    <col min="11" max="11" width="11.7265625" style="3" bestFit="1" customWidth="1"/>
    <col min="12" max="12" width="22.26953125" style="6" bestFit="1" customWidth="1"/>
  </cols>
  <sheetData>
    <row r="2" spans="1:13">
      <c r="A2" s="1" t="s">
        <v>0</v>
      </c>
      <c r="G2" s="93"/>
    </row>
    <row r="3" spans="1:13">
      <c r="B3" t="s">
        <v>68</v>
      </c>
      <c r="C3" s="2">
        <v>0.3</v>
      </c>
      <c r="H3" s="6"/>
      <c r="I3" s="3"/>
      <c r="K3"/>
      <c r="L3"/>
    </row>
    <row r="4" spans="1:13">
      <c r="B4" t="s">
        <v>69</v>
      </c>
      <c r="C4" s="2">
        <v>0.25</v>
      </c>
      <c r="H4" s="6"/>
      <c r="I4" s="3"/>
      <c r="K4"/>
      <c r="L4"/>
    </row>
    <row r="5" spans="1:13" ht="29">
      <c r="B5" s="92" t="s">
        <v>70</v>
      </c>
      <c r="C5" s="117">
        <v>0</v>
      </c>
      <c r="H5" s="6"/>
      <c r="I5" s="3"/>
      <c r="K5"/>
      <c r="L5"/>
    </row>
    <row r="6" spans="1:13">
      <c r="G6" s="3"/>
    </row>
    <row r="7" spans="1:13">
      <c r="A7" s="1" t="s">
        <v>1</v>
      </c>
    </row>
    <row r="8" spans="1:13" s="87" customFormat="1">
      <c r="B8" s="87" t="s">
        <v>2</v>
      </c>
      <c r="C8" s="88" t="s">
        <v>19</v>
      </c>
      <c r="D8" s="87" t="s">
        <v>13</v>
      </c>
      <c r="E8" s="87" t="s">
        <v>16</v>
      </c>
      <c r="F8" s="111" t="s">
        <v>59</v>
      </c>
      <c r="G8" s="101" t="s">
        <v>9</v>
      </c>
      <c r="H8" s="89" t="s">
        <v>15</v>
      </c>
      <c r="I8" s="87" t="s">
        <v>21</v>
      </c>
      <c r="J8" s="90" t="s">
        <v>63</v>
      </c>
      <c r="K8" s="90" t="s">
        <v>64</v>
      </c>
      <c r="L8" s="91" t="s">
        <v>18</v>
      </c>
      <c r="M8" s="91"/>
    </row>
    <row r="9" spans="1:13">
      <c r="B9" t="s">
        <v>3</v>
      </c>
      <c r="C9" s="4">
        <f>'Raw data'!H7</f>
        <v>266400.8</v>
      </c>
      <c r="D9" s="4">
        <f>'Raw data'!H8</f>
        <v>222678</v>
      </c>
      <c r="E9" s="4">
        <f>'Raw data'!H9</f>
        <v>284254061.80000001</v>
      </c>
      <c r="F9" s="83">
        <v>0.221</v>
      </c>
      <c r="G9" s="102">
        <f>(D9*F9)+((F9*$C$5)*D9)</f>
        <v>49211.838000000003</v>
      </c>
      <c r="H9" s="6">
        <f>(E9/D9)/12</f>
        <v>106.37709375570705</v>
      </c>
      <c r="I9" s="6">
        <f>(G9*$C$3)*(H9*$C$4*12)</f>
        <v>4711511.0743350005</v>
      </c>
      <c r="J9" s="96">
        <f>(I9/C9)/12</f>
        <v>1.4738166058857558</v>
      </c>
      <c r="K9" s="10">
        <f>J9/H9</f>
        <v>1.3854642516088542E-2</v>
      </c>
      <c r="L9" s="9">
        <f>-(H9+J9)*0.25</f>
        <v>-26.962727590398202</v>
      </c>
    </row>
    <row r="10" spans="1:13">
      <c r="B10" t="s">
        <v>4</v>
      </c>
      <c r="C10" s="4">
        <f>'Raw data'!H11</f>
        <v>39629.599999999999</v>
      </c>
      <c r="D10" s="4">
        <f>'Raw data'!H12</f>
        <v>34916</v>
      </c>
      <c r="E10" s="4">
        <f>'Raw data'!H13</f>
        <v>43666638.600000001</v>
      </c>
      <c r="F10" s="83">
        <v>0.217</v>
      </c>
      <c r="G10" s="102">
        <f t="shared" ref="G10:G14" si="0">(D10*F10)+((F10*$C$5)*D10)</f>
        <v>7576.7719999999999</v>
      </c>
      <c r="H10" s="6">
        <f t="shared" ref="H10:H26" si="1">(E10/D10)/12</f>
        <v>104.21831108947187</v>
      </c>
      <c r="I10" s="6">
        <f t="shared" ref="I10:I11" si="2">(G10*$C$3)*(H10*$C$4*12)</f>
        <v>710674.54321499995</v>
      </c>
      <c r="J10" s="96">
        <f t="shared" ref="J10:J27" si="3">(I10/C10)/12</f>
        <v>1.4944102035158062</v>
      </c>
      <c r="K10" s="10">
        <f>J10/H10</f>
        <v>1.4339228758301875E-2</v>
      </c>
      <c r="L10" s="9">
        <f t="shared" ref="L10:L14" si="4">-(H10+J10)*0.25</f>
        <v>-26.42818032324692</v>
      </c>
    </row>
    <row r="11" spans="1:13">
      <c r="B11" t="s">
        <v>5</v>
      </c>
      <c r="C11" s="4">
        <f>'Raw data'!H15</f>
        <v>11538</v>
      </c>
      <c r="D11" s="4">
        <f>'Raw data'!H16</f>
        <v>10962.4</v>
      </c>
      <c r="E11" s="4">
        <f>'Raw data'!H17</f>
        <v>14012083.6</v>
      </c>
      <c r="F11" s="83">
        <v>0.23599999999999999</v>
      </c>
      <c r="G11" s="102">
        <f t="shared" si="0"/>
        <v>2587.1263999999996</v>
      </c>
      <c r="H11" s="6">
        <f t="shared" si="1"/>
        <v>106.5162403609915</v>
      </c>
      <c r="I11" s="6">
        <f t="shared" si="2"/>
        <v>248013.87971999994</v>
      </c>
      <c r="J11" s="96">
        <f t="shared" si="3"/>
        <v>1.7912830048535271</v>
      </c>
      <c r="K11" s="10">
        <f t="shared" ref="K11:K28" si="5">J11/H11</f>
        <v>1.6816994279771187E-2</v>
      </c>
      <c r="L11" s="9">
        <f t="shared" si="4"/>
        <v>-27.076880841461257</v>
      </c>
    </row>
    <row r="12" spans="1:13">
      <c r="B12" t="s">
        <v>6</v>
      </c>
      <c r="C12" s="4">
        <f>'Raw data'!H3</f>
        <v>21152.6</v>
      </c>
      <c r="D12" s="4">
        <f>'Raw data'!H4</f>
        <v>17202.2</v>
      </c>
      <c r="E12" s="4">
        <f>'Raw data'!H5</f>
        <v>13426942.800000001</v>
      </c>
      <c r="F12" s="83">
        <v>0.39500000000000002</v>
      </c>
      <c r="G12" s="102">
        <f t="shared" si="0"/>
        <v>6794.8690000000006</v>
      </c>
      <c r="H12" s="6">
        <f t="shared" si="1"/>
        <v>65.044697771215311</v>
      </c>
      <c r="I12" s="6">
        <f>(G12*$C$3)*(H12*$C$4*12)</f>
        <v>397773.18045000004</v>
      </c>
      <c r="J12" s="96">
        <f t="shared" si="3"/>
        <v>1.5670775714332992</v>
      </c>
      <c r="K12" s="10">
        <f t="shared" si="5"/>
        <v>2.4092318438395283E-2</v>
      </c>
      <c r="L12" s="9">
        <f t="shared" si="4"/>
        <v>-16.652943835662153</v>
      </c>
    </row>
    <row r="13" spans="1:13">
      <c r="B13" s="80" t="s">
        <v>7</v>
      </c>
      <c r="C13" s="4">
        <f>'Raw data'!H19</f>
        <v>4261.2</v>
      </c>
      <c r="D13" s="4">
        <f>'Raw data'!H20</f>
        <v>3453.4</v>
      </c>
      <c r="E13" s="4">
        <f>'Raw data'!H21</f>
        <v>4495620</v>
      </c>
      <c r="F13" s="83">
        <v>0.25600000000000001</v>
      </c>
      <c r="G13" s="102">
        <f t="shared" si="0"/>
        <v>884.07040000000006</v>
      </c>
      <c r="H13" s="6">
        <f t="shared" si="1"/>
        <v>108.48294434470377</v>
      </c>
      <c r="I13" s="6">
        <f t="shared" ref="I13:I14" si="6">(G13*$C$3)*(H13*$C$4*12)</f>
        <v>86315.903999999995</v>
      </c>
      <c r="J13" s="96">
        <f t="shared" si="3"/>
        <v>1.6880202759785974</v>
      </c>
      <c r="K13" s="10">
        <f t="shared" si="5"/>
        <v>1.5560236553083638E-2</v>
      </c>
      <c r="L13" s="9">
        <f t="shared" si="4"/>
        <v>-27.542741155170592</v>
      </c>
    </row>
    <row r="14" spans="1:13">
      <c r="B14" s="80" t="s">
        <v>8</v>
      </c>
      <c r="C14" s="4">
        <f>'Raw data'!H23</f>
        <v>1354.4</v>
      </c>
      <c r="D14" s="4">
        <f>'Raw data'!H24</f>
        <v>1196.5999999999999</v>
      </c>
      <c r="E14" s="4">
        <f>'Raw data'!H25</f>
        <v>1474153.6</v>
      </c>
      <c r="F14" s="83">
        <v>0.20599999999999999</v>
      </c>
      <c r="G14" s="102">
        <f t="shared" si="0"/>
        <v>246.49959999999996</v>
      </c>
      <c r="H14" s="6">
        <f t="shared" si="1"/>
        <v>102.662655301131</v>
      </c>
      <c r="I14" s="6">
        <f t="shared" si="6"/>
        <v>22775.673119999996</v>
      </c>
      <c r="J14" s="96">
        <f t="shared" si="3"/>
        <v>1.4013384229178969</v>
      </c>
      <c r="K14" s="10">
        <f t="shared" si="5"/>
        <v>1.3649933549911395E-2</v>
      </c>
      <c r="L14" s="9">
        <f t="shared" si="4"/>
        <v>-26.015998431012225</v>
      </c>
    </row>
    <row r="15" spans="1:13">
      <c r="B15" s="81" t="s">
        <v>44</v>
      </c>
      <c r="C15" s="4">
        <f>'VPPSA data'!I96</f>
        <v>2177.25</v>
      </c>
      <c r="D15" s="4">
        <f>'VPPSA data'!D96</f>
        <v>1959.55</v>
      </c>
      <c r="E15" s="103">
        <f>'VPPSA data'!R96</f>
        <v>2061452.3693142857</v>
      </c>
      <c r="F15" s="110">
        <v>0.38988621997471556</v>
      </c>
      <c r="G15" s="102">
        <f t="shared" ref="G15:G25" si="7">(D15*F15)+((F15*$C$5)*D15)</f>
        <v>764.00154235145385</v>
      </c>
      <c r="H15" s="128">
        <f t="shared" ref="H15:H25" si="8">(E15/D15)/12</f>
        <v>87.666912016971821</v>
      </c>
      <c r="I15" s="128">
        <f t="shared" ref="I15:I25" si="9">(G15*$C$3)*(H15*$C$4*12)</f>
        <v>60279.890394740105</v>
      </c>
      <c r="J15" s="142">
        <f t="shared" ref="J15:J25" si="10">(I15/C15)/12</f>
        <v>2.3071875988341604</v>
      </c>
      <c r="K15" s="143">
        <f t="shared" ref="K15:K25" si="11">J15/H15</f>
        <v>2.6317655609764169E-2</v>
      </c>
      <c r="L15" s="126">
        <f t="shared" ref="L15:L25" si="12">-(H15+J15)*0.25</f>
        <v>-22.493524903951496</v>
      </c>
    </row>
    <row r="16" spans="1:13">
      <c r="B16" s="81" t="s">
        <v>45</v>
      </c>
      <c r="C16" s="4">
        <f>'VPPSA data'!I97</f>
        <v>1768.3333333333333</v>
      </c>
      <c r="D16" s="4">
        <f>'VPPSA data'!D97</f>
        <v>1544.4166666666665</v>
      </c>
      <c r="E16" s="103">
        <f>'VPPSA data'!R97</f>
        <v>2283009.3766000001</v>
      </c>
      <c r="F16" s="110">
        <v>0.22808601008760285</v>
      </c>
      <c r="G16" s="102">
        <f t="shared" si="7"/>
        <v>352.25983541279527</v>
      </c>
      <c r="H16" s="128">
        <f t="shared" si="8"/>
        <v>123.18617474774727</v>
      </c>
      <c r="I16" s="128">
        <f t="shared" si="9"/>
        <v>39054.187477595966</v>
      </c>
      <c r="J16" s="142">
        <f t="shared" si="10"/>
        <v>1.8404423881996215</v>
      </c>
      <c r="K16" s="143">
        <f t="shared" si="11"/>
        <v>1.4940332321937595E-2</v>
      </c>
      <c r="L16" s="126">
        <f t="shared" si="12"/>
        <v>-31.256654283986723</v>
      </c>
    </row>
    <row r="17" spans="1:13">
      <c r="B17" s="81" t="s">
        <v>46</v>
      </c>
      <c r="C17" s="4">
        <f>'VPPSA data'!I98</f>
        <v>4490.3999999999996</v>
      </c>
      <c r="D17" s="4">
        <f>'VPPSA data'!D98</f>
        <v>4055.9</v>
      </c>
      <c r="E17" s="103">
        <f>'VPPSA data'!R98</f>
        <v>4159662.4219999998</v>
      </c>
      <c r="F17" s="110">
        <v>0.24045801526717558</v>
      </c>
      <c r="G17" s="102">
        <f t="shared" si="7"/>
        <v>975.27366412213746</v>
      </c>
      <c r="H17" s="128">
        <f t="shared" si="8"/>
        <v>85.465256827502301</v>
      </c>
      <c r="I17" s="128">
        <f t="shared" si="9"/>
        <v>75016.812763167924</v>
      </c>
      <c r="J17" s="142">
        <f t="shared" si="10"/>
        <v>1.3921701994471156</v>
      </c>
      <c r="K17" s="143">
        <f t="shared" si="11"/>
        <v>1.6289311600115874E-2</v>
      </c>
      <c r="L17" s="126">
        <f t="shared" si="12"/>
        <v>-21.714356756737356</v>
      </c>
    </row>
    <row r="18" spans="1:13">
      <c r="B18" s="81" t="s">
        <v>47</v>
      </c>
      <c r="C18" s="4">
        <f>'VPPSA data'!I99</f>
        <v>716.39999999999986</v>
      </c>
      <c r="D18" s="4">
        <f>'VPPSA data'!D99</f>
        <v>660.13333333333333</v>
      </c>
      <c r="E18" s="103">
        <f>'VPPSA data'!R99</f>
        <v>607185.05000000005</v>
      </c>
      <c r="F18" s="110">
        <v>0.28351156428749069</v>
      </c>
      <c r="G18" s="102">
        <f t="shared" si="7"/>
        <v>187.15543397164885</v>
      </c>
      <c r="H18" s="128">
        <f t="shared" si="8"/>
        <v>76.649294334477887</v>
      </c>
      <c r="I18" s="128">
        <f t="shared" si="9"/>
        <v>12910.798750310869</v>
      </c>
      <c r="J18" s="142">
        <f t="shared" si="10"/>
        <v>1.5018144833322715</v>
      </c>
      <c r="K18" s="143">
        <f t="shared" si="11"/>
        <v>1.9593324327015167E-2</v>
      </c>
      <c r="L18" s="126">
        <f t="shared" si="12"/>
        <v>-19.537777204452539</v>
      </c>
    </row>
    <row r="19" spans="1:13">
      <c r="B19" s="81" t="s">
        <v>48</v>
      </c>
      <c r="C19" s="4">
        <f>'VPPSA data'!I100</f>
        <v>977.83333333333326</v>
      </c>
      <c r="D19" s="4">
        <f>'VPPSA data'!D100</f>
        <v>805.26666666666665</v>
      </c>
      <c r="E19" s="103">
        <f>'VPPSA data'!R100</f>
        <v>907410.89399999997</v>
      </c>
      <c r="F19" s="110">
        <v>0.32034104750304504</v>
      </c>
      <c r="G19" s="102">
        <f t="shared" si="7"/>
        <v>257.95996751928539</v>
      </c>
      <c r="H19" s="128">
        <f t="shared" si="8"/>
        <v>93.903768316913656</v>
      </c>
      <c r="I19" s="128">
        <f t="shared" si="9"/>
        <v>21801.071722472589</v>
      </c>
      <c r="J19" s="142">
        <f t="shared" si="10"/>
        <v>1.8579403206470591</v>
      </c>
      <c r="K19" s="143">
        <f t="shared" si="11"/>
        <v>1.97855778734751E-2</v>
      </c>
      <c r="L19" s="126">
        <f t="shared" si="12"/>
        <v>-23.940427159390179</v>
      </c>
    </row>
    <row r="20" spans="1:13">
      <c r="A20" s="124"/>
      <c r="B20" s="81" t="s">
        <v>49</v>
      </c>
      <c r="C20" s="120">
        <f>'VPPSA data'!I101</f>
        <v>3772.8</v>
      </c>
      <c r="D20" s="120">
        <f>'VPPSA data'!D101</f>
        <v>3045.8</v>
      </c>
      <c r="E20" s="230">
        <f>'VPPSA data'!R101</f>
        <v>2291905.6</v>
      </c>
      <c r="F20" s="388">
        <v>0.2857142857142857</v>
      </c>
      <c r="G20" s="231">
        <f t="shared" si="7"/>
        <v>870.2285714285714</v>
      </c>
      <c r="H20" s="129">
        <f t="shared" si="8"/>
        <v>62.706721824589046</v>
      </c>
      <c r="I20" s="129">
        <f t="shared" si="9"/>
        <v>49112.262857142858</v>
      </c>
      <c r="J20" s="144">
        <f t="shared" si="10"/>
        <v>1.0847881073549013</v>
      </c>
      <c r="K20" s="145">
        <f t="shared" si="11"/>
        <v>1.7299391130498002E-2</v>
      </c>
      <c r="L20" s="146">
        <f t="shared" si="12"/>
        <v>-15.947877482985987</v>
      </c>
      <c r="M20" s="124"/>
    </row>
    <row r="21" spans="1:13">
      <c r="B21" s="81" t="s">
        <v>51</v>
      </c>
      <c r="C21" s="4">
        <f>'VPPSA data'!I102</f>
        <v>5785.6333333333332</v>
      </c>
      <c r="D21" s="4">
        <f>'VPPSA data'!D102</f>
        <v>4854.1000000000004</v>
      </c>
      <c r="E21" s="103">
        <f>'VPPSA data'!R102</f>
        <v>4894476.5281906147</v>
      </c>
      <c r="F21" s="110">
        <v>0.29007270503499361</v>
      </c>
      <c r="G21" s="102">
        <f t="shared" si="7"/>
        <v>1408.0419175103625</v>
      </c>
      <c r="H21" s="128">
        <f t="shared" si="8"/>
        <v>84.026502135490517</v>
      </c>
      <c r="I21" s="128">
        <f t="shared" si="9"/>
        <v>106481.55346969017</v>
      </c>
      <c r="J21" s="142">
        <f t="shared" si="10"/>
        <v>1.5337063857844744</v>
      </c>
      <c r="K21" s="143">
        <f t="shared" si="11"/>
        <v>1.8252650613867199E-2</v>
      </c>
      <c r="L21" s="126">
        <f t="shared" si="12"/>
        <v>-21.390052130318747</v>
      </c>
    </row>
    <row r="22" spans="1:13">
      <c r="B22" s="81" t="s">
        <v>52</v>
      </c>
      <c r="C22" s="4">
        <f>'VPPSA data'!I103</f>
        <v>4202.2</v>
      </c>
      <c r="D22" s="4">
        <f>'VPPSA data'!D103</f>
        <v>3544.8</v>
      </c>
      <c r="E22" s="103">
        <f>'VPPSA data'!R103</f>
        <v>3437523</v>
      </c>
      <c r="F22" s="110">
        <v>0.24506037321624588</v>
      </c>
      <c r="G22" s="102">
        <f t="shared" si="7"/>
        <v>868.69001097694843</v>
      </c>
      <c r="H22" s="128">
        <f t="shared" si="8"/>
        <v>80.811399796885567</v>
      </c>
      <c r="I22" s="128">
        <f t="shared" si="9"/>
        <v>63180.050198957186</v>
      </c>
      <c r="J22" s="142">
        <f t="shared" si="10"/>
        <v>1.2529161351783429</v>
      </c>
      <c r="K22" s="143">
        <f t="shared" si="11"/>
        <v>1.5504200376771962E-2</v>
      </c>
      <c r="L22" s="126">
        <f t="shared" si="12"/>
        <v>-20.516078983015976</v>
      </c>
    </row>
    <row r="23" spans="1:13">
      <c r="B23" s="81" t="s">
        <v>53</v>
      </c>
      <c r="C23" s="4">
        <f>'VPPSA data'!I104</f>
        <v>1859.7333333333331</v>
      </c>
      <c r="D23" s="4">
        <f>'VPPSA data'!D104</f>
        <v>1615.0166666666667</v>
      </c>
      <c r="E23" s="103">
        <f>'VPPSA data'!R104</f>
        <v>1421000.5020000001</v>
      </c>
      <c r="F23" s="110">
        <v>0.22688039457459927</v>
      </c>
      <c r="G23" s="102">
        <f t="shared" si="7"/>
        <v>366.41561857788741</v>
      </c>
      <c r="H23" s="128">
        <f t="shared" si="8"/>
        <v>73.32228263898206</v>
      </c>
      <c r="I23" s="128">
        <f t="shared" si="9"/>
        <v>24179.786593834775</v>
      </c>
      <c r="J23" s="142">
        <f t="shared" si="10"/>
        <v>1.0834791096319714</v>
      </c>
      <c r="K23" s="143">
        <f t="shared" si="11"/>
        <v>1.4776941887730263E-2</v>
      </c>
      <c r="L23" s="126">
        <f t="shared" si="12"/>
        <v>-18.601440437153506</v>
      </c>
    </row>
    <row r="24" spans="1:13">
      <c r="B24" s="81" t="s">
        <v>54</v>
      </c>
      <c r="C24" s="4">
        <f>'VPPSA data'!I105</f>
        <v>668.28333333333342</v>
      </c>
      <c r="D24" s="4">
        <f>'VPPSA data'!D105</f>
        <v>579.13333333333344</v>
      </c>
      <c r="E24" s="103">
        <f>'VPPSA data'!R105</f>
        <v>521194.908</v>
      </c>
      <c r="F24" s="110">
        <v>0.37958303378864122</v>
      </c>
      <c r="G24" s="102">
        <f t="shared" si="7"/>
        <v>219.82918763479512</v>
      </c>
      <c r="H24" s="128">
        <f t="shared" si="8"/>
        <v>74.996389432485316</v>
      </c>
      <c r="I24" s="128">
        <f t="shared" si="9"/>
        <v>14837.755828037381</v>
      </c>
      <c r="J24" s="142">
        <f t="shared" si="10"/>
        <v>1.8502326642937599</v>
      </c>
      <c r="K24" s="143">
        <f t="shared" si="11"/>
        <v>2.4670956539306624E-2</v>
      </c>
      <c r="L24" s="126">
        <f t="shared" si="12"/>
        <v>-19.211655524194768</v>
      </c>
    </row>
    <row r="25" spans="1:13" s="85" customFormat="1">
      <c r="B25" s="82" t="s">
        <v>55</v>
      </c>
      <c r="C25" s="86">
        <f>'VPPSA data'!I106</f>
        <v>3741.2</v>
      </c>
      <c r="D25" s="86">
        <f>'VPPSA data'!D106</f>
        <v>3295.6</v>
      </c>
      <c r="E25" s="232">
        <f>'VPPSA data'!R106</f>
        <v>3466814.4</v>
      </c>
      <c r="F25" s="389">
        <v>0.23770501681107725</v>
      </c>
      <c r="G25" s="233">
        <f t="shared" si="7"/>
        <v>783.38065340258618</v>
      </c>
      <c r="H25" s="234">
        <f t="shared" si="8"/>
        <v>87.662701784197111</v>
      </c>
      <c r="I25" s="234">
        <f t="shared" si="9"/>
        <v>61805.938142466344</v>
      </c>
      <c r="J25" s="235">
        <f t="shared" si="10"/>
        <v>1.3766959385238771</v>
      </c>
      <c r="K25" s="236">
        <f t="shared" si="11"/>
        <v>1.5704466215437283E-2</v>
      </c>
      <c r="L25" s="237">
        <f t="shared" si="12"/>
        <v>-22.259849430680248</v>
      </c>
    </row>
    <row r="26" spans="1:13">
      <c r="B26" s="1" t="s">
        <v>60</v>
      </c>
      <c r="C26" s="4">
        <f>SUM(C9:C25)</f>
        <v>374496.66666666669</v>
      </c>
      <c r="D26" s="4">
        <f>SUM(D9:D25)</f>
        <v>316368.31666666671</v>
      </c>
      <c r="E26" s="4">
        <f>SUM(E9:E25)</f>
        <v>387381135.45010501</v>
      </c>
      <c r="G26" s="103">
        <f>SUM(G9:G25)</f>
        <v>74354.411802908464</v>
      </c>
      <c r="H26" s="6">
        <f t="shared" si="1"/>
        <v>102.03854048229992</v>
      </c>
      <c r="I26" s="6">
        <f t="shared" ref="I26:I28" si="13">(G26*$C$3)*(H26*$C$4*12)</f>
        <v>6828314.0929098064</v>
      </c>
      <c r="J26" s="96">
        <f t="shared" si="3"/>
        <v>1.5194425613289406</v>
      </c>
      <c r="K26" s="10">
        <f t="shared" ref="K26" si="14">J26/H26</f>
        <v>1.4890869216151814E-2</v>
      </c>
      <c r="L26" s="9">
        <f t="shared" ref="L26:L28" si="15">-(H26+J26)*0.25</f>
        <v>-25.889495760907216</v>
      </c>
    </row>
    <row r="27" spans="1:13">
      <c r="B27" s="1" t="s">
        <v>20</v>
      </c>
      <c r="C27" s="4">
        <f>SUM(C10:C25)</f>
        <v>108095.86666666664</v>
      </c>
      <c r="D27" s="4">
        <f>SUM(D10:D25)</f>
        <v>93690.31666666668</v>
      </c>
      <c r="E27" s="4">
        <f>SUM(E10:E25)</f>
        <v>103127073.6501049</v>
      </c>
      <c r="G27" s="103">
        <f>SUM(G10:G25)</f>
        <v>25142.573802908471</v>
      </c>
      <c r="H27" s="6">
        <f>(E27/D27)/12</f>
        <v>91.726905297492394</v>
      </c>
      <c r="I27" s="6">
        <f t="shared" si="13"/>
        <v>2075625.4375391386</v>
      </c>
      <c r="J27" s="96">
        <f t="shared" si="3"/>
        <v>1.6001424642347866</v>
      </c>
      <c r="K27" s="10">
        <f t="shared" si="5"/>
        <v>1.7444635890038369E-2</v>
      </c>
      <c r="L27" s="9">
        <f t="shared" si="15"/>
        <v>-23.331761940431797</v>
      </c>
    </row>
    <row r="28" spans="1:13">
      <c r="B28" s="118" t="s">
        <v>79</v>
      </c>
      <c r="C28" s="119">
        <f>SUM(C15:C25)</f>
        <v>30160.066666666669</v>
      </c>
      <c r="D28" s="119">
        <f t="shared" ref="D28:E28" si="16">SUM(D15:D25)</f>
        <v>25959.716666666664</v>
      </c>
      <c r="E28" s="119">
        <f t="shared" si="16"/>
        <v>26051635.050104897</v>
      </c>
      <c r="F28" s="110"/>
      <c r="G28" s="112">
        <f>SUM(G15:G25)</f>
        <v>7053.2364029084711</v>
      </c>
      <c r="H28" s="113">
        <f>(E28/D28)/12</f>
        <v>83.628400701936599</v>
      </c>
      <c r="I28" s="113">
        <f t="shared" si="13"/>
        <v>530865.79213312396</v>
      </c>
      <c r="J28" s="114">
        <f>(I28/C28)/12</f>
        <v>1.4668010021339584</v>
      </c>
      <c r="K28" s="115">
        <f t="shared" si="5"/>
        <v>1.7539507987984176E-2</v>
      </c>
      <c r="L28" s="116">
        <f t="shared" si="15"/>
        <v>-21.27380042601764</v>
      </c>
    </row>
    <row r="29" spans="1:13">
      <c r="D29" s="5"/>
      <c r="G29" s="7"/>
    </row>
    <row r="30" spans="1:13">
      <c r="A30" s="4"/>
    </row>
    <row r="31" spans="1:13">
      <c r="A31" s="4"/>
    </row>
  </sheetData>
  <sortState xmlns:xlrd2="http://schemas.microsoft.com/office/spreadsheetml/2017/richdata2" ref="A15:M25">
    <sortCondition ref="B15:B25"/>
  </sortState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C6181-1D77-4074-8633-657A4EAFE5D6}">
  <dimension ref="A4:N84"/>
  <sheetViews>
    <sheetView workbookViewId="0">
      <selection activeCell="B26" sqref="B26"/>
    </sheetView>
  </sheetViews>
  <sheetFormatPr defaultRowHeight="14.5"/>
  <cols>
    <col min="1" max="1" width="19.7265625" bestFit="1" customWidth="1"/>
  </cols>
  <sheetData>
    <row r="4" spans="1:6">
      <c r="B4" t="s">
        <v>66</v>
      </c>
    </row>
    <row r="7" spans="1:6" s="105" customFormat="1">
      <c r="B7" s="105" t="s">
        <v>71</v>
      </c>
      <c r="C7" s="105" t="s">
        <v>72</v>
      </c>
      <c r="E7" s="105" t="s">
        <v>73</v>
      </c>
      <c r="F7" s="105" t="s">
        <v>61</v>
      </c>
    </row>
    <row r="8" spans="1:6">
      <c r="A8" s="106" t="s">
        <v>3</v>
      </c>
      <c r="B8" s="96">
        <v>1.3264349452971802</v>
      </c>
      <c r="C8" s="96">
        <v>1.6211982664743312</v>
      </c>
      <c r="E8" s="94">
        <v>1.2469178264479687E-2</v>
      </c>
      <c r="F8" s="94">
        <v>1.5240106767697393E-2</v>
      </c>
    </row>
    <row r="9" spans="1:6">
      <c r="A9" s="107" t="s">
        <v>4</v>
      </c>
      <c r="B9" s="96">
        <v>1.3449691831642256</v>
      </c>
      <c r="C9" s="96">
        <v>1.6438512238673868</v>
      </c>
      <c r="E9" s="94">
        <v>1.2905305882471688E-2</v>
      </c>
      <c r="F9" s="94">
        <v>1.5773151634132062E-2</v>
      </c>
    </row>
    <row r="10" spans="1:6">
      <c r="A10" s="107" t="s">
        <v>5</v>
      </c>
      <c r="B10" s="96">
        <v>1.6121547043681741</v>
      </c>
      <c r="C10" s="96">
        <v>1.9704113053388799</v>
      </c>
      <c r="E10" s="94">
        <v>1.5135294851794066E-2</v>
      </c>
      <c r="F10" s="94">
        <v>1.8498693707748308E-2</v>
      </c>
    </row>
    <row r="11" spans="1:6">
      <c r="A11" s="107" t="s">
        <v>6</v>
      </c>
      <c r="B11" s="96">
        <v>1.4103698142899697</v>
      </c>
      <c r="C11" s="96">
        <v>1.7237853285766294</v>
      </c>
      <c r="E11" s="94">
        <v>2.168308659455576E-2</v>
      </c>
      <c r="F11" s="94">
        <v>2.6501550282234814E-2</v>
      </c>
    </row>
    <row r="12" spans="1:6">
      <c r="A12" s="81" t="s">
        <v>7</v>
      </c>
      <c r="B12" s="96">
        <v>1.5192182483807377</v>
      </c>
      <c r="C12" s="96">
        <v>1.8568223035764575</v>
      </c>
      <c r="E12" s="94">
        <v>1.4004212897775275E-2</v>
      </c>
      <c r="F12" s="94">
        <v>1.7116260208392003E-2</v>
      </c>
    </row>
    <row r="13" spans="1:6">
      <c r="A13" s="81" t="s">
        <v>8</v>
      </c>
      <c r="B13" s="96">
        <v>1.2612045806261072</v>
      </c>
      <c r="C13" s="96">
        <v>1.5414722652096866</v>
      </c>
      <c r="E13" s="94">
        <v>1.2284940194920255E-2</v>
      </c>
      <c r="F13" s="94">
        <v>1.5014926904902534E-2</v>
      </c>
    </row>
    <row r="14" spans="1:6" ht="16.25" customHeight="1">
      <c r="A14" s="81" t="s">
        <v>44</v>
      </c>
      <c r="B14" s="96">
        <v>1.8533898325560747</v>
      </c>
      <c r="C14" s="96">
        <v>2.2652542397907576</v>
      </c>
      <c r="E14" s="94">
        <v>2.1141269720978295E-2</v>
      </c>
      <c r="F14" s="94">
        <v>2.5839329658973467E-2</v>
      </c>
    </row>
    <row r="15" spans="1:6" ht="16.25" customHeight="1">
      <c r="A15" s="81" t="s">
        <v>45</v>
      </c>
      <c r="B15" s="96">
        <v>1.7429195052271444</v>
      </c>
      <c r="C15" s="96">
        <v>2.1302349508331764</v>
      </c>
      <c r="E15" s="94">
        <v>1.41486616399623E-2</v>
      </c>
      <c r="F15" s="94">
        <v>1.7292808671065033E-2</v>
      </c>
    </row>
    <row r="16" spans="1:6" ht="16.25" customHeight="1">
      <c r="A16" s="81" t="s">
        <v>46</v>
      </c>
      <c r="B16" s="96">
        <v>1.0734030000651387</v>
      </c>
      <c r="C16" s="96">
        <v>1.3119370000796142</v>
      </c>
      <c r="E16" s="94">
        <v>1.2559524652592196E-2</v>
      </c>
      <c r="F16" s="94">
        <v>1.5350530130946021E-2</v>
      </c>
    </row>
    <row r="17" spans="1:14">
      <c r="A17" s="81" t="s">
        <v>47</v>
      </c>
      <c r="B17" s="96">
        <v>1.2776821089824124</v>
      </c>
      <c r="C17" s="96">
        <v>1.5616114665340597</v>
      </c>
      <c r="E17" s="94">
        <v>1.6669195979899503E-2</v>
      </c>
      <c r="F17" s="94">
        <v>2.0373461753210503E-2</v>
      </c>
    </row>
    <row r="18" spans="1:14">
      <c r="A18" s="81" t="s">
        <v>48</v>
      </c>
      <c r="B18" s="96">
        <v>1.9157010713835865</v>
      </c>
      <c r="C18" s="96">
        <v>2.3414124205799385</v>
      </c>
      <c r="E18" s="94">
        <v>2.0400683654337823E-2</v>
      </c>
      <c r="F18" s="94">
        <v>2.4934168910857334E-2</v>
      </c>
      <c r="J18" s="5"/>
      <c r="K18" s="5"/>
      <c r="L18" s="5"/>
      <c r="M18" s="5"/>
      <c r="N18" s="5"/>
    </row>
    <row r="19" spans="1:14">
      <c r="A19" s="81" t="s">
        <v>49</v>
      </c>
      <c r="B19" s="96">
        <v>0.94311478053435127</v>
      </c>
      <c r="C19" s="96">
        <v>1.152695842875318</v>
      </c>
      <c r="E19" s="94">
        <v>1.5040090648854965E-2</v>
      </c>
      <c r="F19" s="94">
        <v>1.8382333015267177E-2</v>
      </c>
      <c r="G19" s="94"/>
      <c r="J19" s="95"/>
      <c r="K19" s="5"/>
      <c r="L19" s="5"/>
      <c r="M19" s="5"/>
      <c r="N19" s="5"/>
    </row>
    <row r="20" spans="1:14">
      <c r="A20" s="81" t="s">
        <v>51</v>
      </c>
      <c r="B20" s="96">
        <v>1.4228170429369167</v>
      </c>
      <c r="C20" s="96">
        <v>1.7389986080340094</v>
      </c>
      <c r="E20" s="94">
        <v>1.693295575534802E-2</v>
      </c>
      <c r="F20" s="94">
        <v>2.0695834812092022E-2</v>
      </c>
      <c r="G20" s="94"/>
      <c r="J20" s="5"/>
      <c r="K20" s="5"/>
      <c r="L20" s="5"/>
      <c r="M20" s="5"/>
      <c r="N20" s="5"/>
    </row>
    <row r="21" spans="1:14">
      <c r="A21" s="81" t="s">
        <v>52</v>
      </c>
      <c r="B21" s="96">
        <v>1.104339643520061</v>
      </c>
      <c r="C21" s="96">
        <v>1.3497484531911856</v>
      </c>
      <c r="E21" s="94">
        <v>1.3665641806672698E-2</v>
      </c>
      <c r="F21" s="94">
        <v>1.6702451097044407E-2</v>
      </c>
      <c r="G21" s="94"/>
      <c r="J21" s="5"/>
      <c r="K21" s="5"/>
      <c r="L21" s="5"/>
      <c r="M21" s="5"/>
      <c r="N21" s="5"/>
    </row>
    <row r="22" spans="1:14">
      <c r="A22" s="81" t="s">
        <v>53</v>
      </c>
      <c r="B22" s="96">
        <v>1.0616051974115912</v>
      </c>
      <c r="C22" s="96">
        <v>1.2975174635030562</v>
      </c>
      <c r="E22" s="94">
        <v>1.4478616311478346E-2</v>
      </c>
      <c r="F22" s="94">
        <v>1.7696086602917983E-2</v>
      </c>
      <c r="G22" s="94"/>
      <c r="J22" s="5"/>
      <c r="K22" s="5"/>
      <c r="L22" s="5"/>
      <c r="M22" s="5"/>
      <c r="N22" s="5"/>
    </row>
    <row r="23" spans="1:14">
      <c r="A23" s="81" t="s">
        <v>54</v>
      </c>
      <c r="B23" s="96">
        <v>1.7460035917175849</v>
      </c>
      <c r="C23" s="96">
        <v>2.134004389877048</v>
      </c>
      <c r="E23" s="94">
        <v>2.3281168665984991E-2</v>
      </c>
      <c r="F23" s="94">
        <v>2.8454761702870538E-2</v>
      </c>
      <c r="G23" s="94"/>
      <c r="J23" s="5"/>
      <c r="K23" s="5"/>
      <c r="L23" s="5"/>
      <c r="M23" s="5"/>
      <c r="N23" s="5"/>
    </row>
    <row r="24" spans="1:14">
      <c r="A24" s="82" t="s">
        <v>55</v>
      </c>
      <c r="B24" s="97">
        <v>1.1936518494066075</v>
      </c>
      <c r="C24" s="97">
        <v>1.4589078159414093</v>
      </c>
      <c r="D24" s="105"/>
      <c r="E24" s="109">
        <v>1.3616416390462953E-2</v>
      </c>
      <c r="F24" s="109">
        <v>1.6642286699454722E-2</v>
      </c>
      <c r="G24" s="94"/>
      <c r="J24" s="5"/>
      <c r="K24" s="5"/>
      <c r="L24" s="5"/>
      <c r="M24" s="5"/>
      <c r="N24" s="5"/>
    </row>
    <row r="25" spans="1:14">
      <c r="A25" s="108" t="s">
        <v>60</v>
      </c>
      <c r="B25" s="96">
        <v>1.3644485378724696</v>
      </c>
      <c r="C25" s="96">
        <v>1.6676593240663526</v>
      </c>
      <c r="E25" s="94">
        <v>1.3371893908156724E-2</v>
      </c>
      <c r="F25" s="94">
        <v>1.6343425887747117E-2</v>
      </c>
      <c r="G25" s="94"/>
      <c r="J25" s="5"/>
      <c r="K25" s="5"/>
      <c r="L25" s="5"/>
      <c r="M25" s="5"/>
      <c r="N25" s="5"/>
    </row>
    <row r="26" spans="1:14">
      <c r="A26" s="108" t="s">
        <v>20</v>
      </c>
      <c r="B26" s="96">
        <v>1.4306300884783854</v>
      </c>
      <c r="C26" s="96">
        <v>1.7485478859180257</v>
      </c>
      <c r="E26" s="94">
        <v>1.5596624391049804E-2</v>
      </c>
      <c r="F26" s="94">
        <v>1.9062540922394195E-2</v>
      </c>
      <c r="G26" s="94"/>
      <c r="J26" s="5"/>
      <c r="K26" s="5"/>
      <c r="L26" s="5"/>
      <c r="M26" s="5"/>
      <c r="N26" s="5"/>
    </row>
    <row r="27" spans="1:14">
      <c r="G27" s="94"/>
      <c r="J27" s="5"/>
      <c r="K27" s="5"/>
      <c r="L27" s="5"/>
      <c r="M27" s="5"/>
      <c r="N27" s="5"/>
    </row>
    <row r="28" spans="1:14">
      <c r="G28" s="94"/>
    </row>
    <row r="29" spans="1:14">
      <c r="G29" s="94"/>
    </row>
    <row r="30" spans="1:14">
      <c r="G30" s="94"/>
    </row>
    <row r="31" spans="1:14">
      <c r="G31" s="94"/>
    </row>
    <row r="32" spans="1:14">
      <c r="G32" s="94"/>
    </row>
    <row r="33" spans="2:7">
      <c r="G33" s="94"/>
    </row>
    <row r="34" spans="2:7">
      <c r="G34" s="94"/>
    </row>
    <row r="35" spans="2:7">
      <c r="G35" s="94"/>
    </row>
    <row r="36" spans="2:7">
      <c r="G36" s="94"/>
    </row>
    <row r="37" spans="2:7">
      <c r="G37" s="94"/>
    </row>
    <row r="42" spans="2:7">
      <c r="B42" s="98"/>
      <c r="C42" s="98"/>
      <c r="E42" s="99"/>
      <c r="F42" s="99"/>
      <c r="G42" s="99"/>
    </row>
    <row r="43" spans="2:7">
      <c r="B43" s="98"/>
      <c r="C43" s="98"/>
      <c r="E43" s="99"/>
      <c r="F43" s="99"/>
      <c r="G43" s="99"/>
    </row>
    <row r="44" spans="2:7">
      <c r="B44" s="98"/>
      <c r="C44" s="98"/>
      <c r="E44" s="99"/>
      <c r="F44" s="99"/>
      <c r="G44" s="99"/>
    </row>
    <row r="45" spans="2:7">
      <c r="B45" s="98"/>
      <c r="C45" s="98"/>
      <c r="E45" s="99"/>
      <c r="F45" s="99"/>
      <c r="G45" s="99"/>
    </row>
    <row r="46" spans="2:7">
      <c r="B46" s="98"/>
      <c r="C46" s="98"/>
      <c r="E46" s="99"/>
      <c r="F46" s="99"/>
      <c r="G46" s="99"/>
    </row>
    <row r="47" spans="2:7">
      <c r="B47" s="98"/>
      <c r="C47" s="98"/>
      <c r="E47" s="99"/>
      <c r="F47" s="99"/>
      <c r="G47" s="99"/>
    </row>
    <row r="48" spans="2:7">
      <c r="B48" s="98"/>
      <c r="C48" s="98"/>
      <c r="E48" s="99"/>
      <c r="F48" s="99"/>
      <c r="G48" s="99"/>
    </row>
    <row r="49" spans="2:7">
      <c r="B49" s="98"/>
      <c r="C49" s="98"/>
      <c r="E49" s="99"/>
      <c r="F49" s="99"/>
      <c r="G49" s="99"/>
    </row>
    <row r="50" spans="2:7">
      <c r="B50" s="98"/>
      <c r="C50" s="98"/>
      <c r="E50" s="99"/>
      <c r="F50" s="99"/>
      <c r="G50" s="99"/>
    </row>
    <row r="51" spans="2:7">
      <c r="B51" s="98"/>
      <c r="C51" s="98"/>
      <c r="E51" s="99"/>
      <c r="F51" s="99"/>
      <c r="G51" s="99"/>
    </row>
    <row r="52" spans="2:7">
      <c r="B52" s="98"/>
      <c r="C52" s="98"/>
      <c r="E52" s="99"/>
      <c r="F52" s="99"/>
      <c r="G52" s="99"/>
    </row>
    <row r="53" spans="2:7">
      <c r="B53" s="98"/>
      <c r="C53" s="98"/>
      <c r="E53" s="99"/>
      <c r="F53" s="99"/>
      <c r="G53" s="99"/>
    </row>
    <row r="54" spans="2:7">
      <c r="B54" s="98"/>
      <c r="C54" s="98"/>
      <c r="E54" s="99"/>
      <c r="F54" s="99"/>
      <c r="G54" s="99"/>
    </row>
    <row r="55" spans="2:7">
      <c r="B55" s="98"/>
      <c r="C55" s="98"/>
      <c r="E55" s="99"/>
      <c r="F55" s="99"/>
      <c r="G55" s="99"/>
    </row>
    <row r="56" spans="2:7">
      <c r="B56" s="98"/>
      <c r="C56" s="98"/>
      <c r="E56" s="99"/>
      <c r="F56" s="99"/>
      <c r="G56" s="99"/>
    </row>
    <row r="57" spans="2:7">
      <c r="B57" s="98"/>
      <c r="C57" s="98"/>
      <c r="E57" s="99"/>
      <c r="F57" s="99"/>
      <c r="G57" s="99"/>
    </row>
    <row r="58" spans="2:7">
      <c r="B58" s="98"/>
      <c r="C58" s="98"/>
      <c r="E58" s="99"/>
      <c r="F58" s="99"/>
      <c r="G58" s="99"/>
    </row>
    <row r="59" spans="2:7">
      <c r="B59" s="98"/>
      <c r="C59" s="98"/>
      <c r="E59" s="99"/>
      <c r="F59" s="99"/>
      <c r="G59" s="99"/>
    </row>
    <row r="60" spans="2:7">
      <c r="B60" s="98"/>
      <c r="C60" s="98"/>
      <c r="E60" s="99"/>
      <c r="F60" s="99"/>
      <c r="G60" s="99"/>
    </row>
    <row r="63" spans="2:7">
      <c r="B63" s="84"/>
    </row>
    <row r="66" spans="2:9">
      <c r="B66" s="98"/>
      <c r="C66" s="98"/>
      <c r="E66" s="98"/>
      <c r="F66" s="98"/>
      <c r="H66" s="100"/>
      <c r="I66" s="100"/>
    </row>
    <row r="67" spans="2:9">
      <c r="B67" s="98"/>
      <c r="C67" s="98"/>
      <c r="E67" s="98"/>
      <c r="F67" s="98"/>
      <c r="H67" s="100"/>
      <c r="I67" s="100"/>
    </row>
    <row r="68" spans="2:9">
      <c r="B68" s="98"/>
      <c r="C68" s="98"/>
      <c r="E68" s="98"/>
      <c r="F68" s="98"/>
      <c r="H68" s="100"/>
      <c r="I68" s="100"/>
    </row>
    <row r="69" spans="2:9">
      <c r="B69" s="98"/>
      <c r="C69" s="98"/>
      <c r="E69" s="98"/>
      <c r="F69" s="98"/>
      <c r="H69" s="100"/>
      <c r="I69" s="100"/>
    </row>
    <row r="70" spans="2:9">
      <c r="B70" s="98"/>
      <c r="C70" s="98"/>
      <c r="E70" s="98"/>
      <c r="F70" s="98"/>
      <c r="H70" s="100"/>
      <c r="I70" s="100"/>
    </row>
    <row r="71" spans="2:9">
      <c r="B71" s="98"/>
      <c r="C71" s="98"/>
      <c r="E71" s="98"/>
      <c r="F71" s="98"/>
      <c r="H71" s="100"/>
      <c r="I71" s="100"/>
    </row>
    <row r="72" spans="2:9">
      <c r="B72" s="98"/>
      <c r="C72" s="98"/>
      <c r="E72" s="98"/>
      <c r="F72" s="98"/>
      <c r="H72" s="100"/>
      <c r="I72" s="100"/>
    </row>
    <row r="73" spans="2:9">
      <c r="B73" s="98"/>
      <c r="C73" s="98"/>
      <c r="E73" s="98"/>
      <c r="F73" s="98"/>
      <c r="H73" s="100"/>
      <c r="I73" s="100"/>
    </row>
    <row r="74" spans="2:9">
      <c r="B74" s="98"/>
      <c r="C74" s="98"/>
      <c r="E74" s="98"/>
      <c r="F74" s="98"/>
      <c r="H74" s="100"/>
      <c r="I74" s="100"/>
    </row>
    <row r="75" spans="2:9">
      <c r="B75" s="98"/>
      <c r="C75" s="98"/>
      <c r="E75" s="98"/>
      <c r="F75" s="98"/>
      <c r="H75" s="100"/>
      <c r="I75" s="100"/>
    </row>
    <row r="76" spans="2:9">
      <c r="B76" s="98"/>
      <c r="C76" s="98"/>
      <c r="E76" s="98"/>
      <c r="F76" s="98"/>
      <c r="H76" s="100"/>
      <c r="I76" s="100"/>
    </row>
    <row r="77" spans="2:9">
      <c r="B77" s="98"/>
      <c r="C77" s="98"/>
      <c r="E77" s="98"/>
      <c r="F77" s="98"/>
      <c r="H77" s="100"/>
      <c r="I77" s="100"/>
    </row>
    <row r="78" spans="2:9">
      <c r="B78" s="98"/>
      <c r="C78" s="98"/>
      <c r="E78" s="98"/>
      <c r="F78" s="98"/>
      <c r="H78" s="100"/>
      <c r="I78" s="100"/>
    </row>
    <row r="79" spans="2:9">
      <c r="B79" s="98"/>
      <c r="C79" s="98"/>
      <c r="E79" s="98"/>
      <c r="F79" s="98"/>
      <c r="H79" s="100"/>
      <c r="I79" s="100"/>
    </row>
    <row r="80" spans="2:9">
      <c r="B80" s="98"/>
      <c r="C80" s="98"/>
      <c r="E80" s="98"/>
      <c r="F80" s="98"/>
      <c r="H80" s="100"/>
      <c r="I80" s="100"/>
    </row>
    <row r="81" spans="2:9">
      <c r="B81" s="98"/>
      <c r="C81" s="98"/>
      <c r="E81" s="98"/>
      <c r="F81" s="98"/>
      <c r="H81" s="100"/>
      <c r="I81" s="100"/>
    </row>
    <row r="82" spans="2:9">
      <c r="B82" s="98"/>
      <c r="C82" s="98"/>
      <c r="E82" s="98"/>
      <c r="F82" s="98"/>
      <c r="H82" s="100"/>
      <c r="I82" s="100"/>
    </row>
    <row r="83" spans="2:9">
      <c r="B83" s="98"/>
      <c r="C83" s="98"/>
      <c r="E83" s="98"/>
      <c r="F83" s="98"/>
      <c r="H83" s="100"/>
      <c r="I83" s="100"/>
    </row>
    <row r="84" spans="2:9">
      <c r="B84" s="98"/>
      <c r="C84" s="98"/>
      <c r="E84" s="98"/>
      <c r="F84" s="98"/>
      <c r="H84" s="100"/>
      <c r="I84" s="100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8A754-53F1-46E7-A410-C66019E7CE80}">
  <sheetPr>
    <pageSetUpPr fitToPage="1"/>
  </sheetPr>
  <dimension ref="A1:K22"/>
  <sheetViews>
    <sheetView zoomScale="80" zoomScaleNormal="80" workbookViewId="0">
      <selection activeCell="Q16" sqref="Q16"/>
    </sheetView>
  </sheetViews>
  <sheetFormatPr defaultColWidth="9.26953125" defaultRowHeight="15.5"/>
  <cols>
    <col min="1" max="1" width="32.90625" style="130" bestFit="1" customWidth="1"/>
    <col min="2" max="2" width="1.6328125" style="130" customWidth="1"/>
    <col min="3" max="3" width="13.1796875" style="130" customWidth="1"/>
    <col min="4" max="4" width="1.7265625" style="130" customWidth="1"/>
    <col min="5" max="5" width="32.90625" style="130" bestFit="1" customWidth="1"/>
    <col min="6" max="6" width="2.26953125" style="130" customWidth="1"/>
    <col min="7" max="7" width="9.26953125" style="130"/>
    <col min="8" max="8" width="2.6328125" style="130" customWidth="1"/>
    <col min="9" max="9" width="32.90625" style="130" bestFit="1" customWidth="1"/>
    <col min="10" max="10" width="2.26953125" style="130" customWidth="1"/>
    <col min="11" max="11" width="9.6328125" style="130" bestFit="1" customWidth="1"/>
    <col min="12" max="16384" width="9.26953125" style="130"/>
  </cols>
  <sheetData>
    <row r="1" spans="1:11" ht="20">
      <c r="A1" s="386" t="s">
        <v>84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</row>
    <row r="2" spans="1:11" ht="20">
      <c r="A2" s="387" t="s">
        <v>105</v>
      </c>
      <c r="B2" s="387"/>
      <c r="C2" s="387"/>
      <c r="D2" s="387"/>
      <c r="E2" s="387"/>
      <c r="F2" s="387"/>
      <c r="G2" s="387"/>
      <c r="H2" s="387"/>
      <c r="I2" s="387"/>
      <c r="J2" s="387"/>
      <c r="K2" s="387"/>
    </row>
    <row r="3" spans="1:11" ht="20">
      <c r="A3" s="131"/>
    </row>
    <row r="4" spans="1:11">
      <c r="A4" s="132"/>
      <c r="B4" s="133"/>
      <c r="C4" s="133">
        <v>200</v>
      </c>
      <c r="D4" s="133"/>
      <c r="E4" s="133"/>
      <c r="F4" s="133"/>
      <c r="G4" s="133">
        <v>600</v>
      </c>
      <c r="H4" s="133"/>
      <c r="I4" s="134"/>
      <c r="J4" s="134"/>
      <c r="K4" s="135">
        <v>1000</v>
      </c>
    </row>
    <row r="5" spans="1:11">
      <c r="A5" s="136" t="s">
        <v>85</v>
      </c>
      <c r="B5" s="137"/>
      <c r="C5" s="137" t="s">
        <v>86</v>
      </c>
      <c r="D5" s="137"/>
      <c r="E5" s="137" t="s">
        <v>2</v>
      </c>
      <c r="F5" s="137"/>
      <c r="G5" s="137" t="s">
        <v>86</v>
      </c>
      <c r="H5" s="137"/>
      <c r="I5" s="138" t="s">
        <v>2</v>
      </c>
      <c r="J5" s="138"/>
      <c r="K5" s="137" t="s">
        <v>86</v>
      </c>
    </row>
    <row r="6" spans="1:11">
      <c r="I6" s="139"/>
      <c r="J6" s="139"/>
      <c r="K6" s="139"/>
    </row>
    <row r="7" spans="1:11">
      <c r="A7" s="130" t="str">
        <f>'[1]200 rank'!A21</f>
        <v>Stowe</v>
      </c>
      <c r="C7" s="140">
        <f>'[1]200 rank'!C21</f>
        <v>44.411200000000001</v>
      </c>
      <c r="E7" s="130" t="str">
        <f>'[1]600 rank'!A21</f>
        <v>Barton</v>
      </c>
      <c r="G7" s="140">
        <f>'[1]600 rank'!C21</f>
        <v>123.64899999999999</v>
      </c>
      <c r="I7" s="139" t="str">
        <f>'[1]1000 rank'!A21</f>
        <v>Vermont Electric Cooperative</v>
      </c>
      <c r="J7" s="139"/>
      <c r="K7" s="141">
        <f>'[1]1000 rank'!C21</f>
        <v>202.47700000000003</v>
      </c>
    </row>
    <row r="8" spans="1:11">
      <c r="A8" s="130" t="str">
        <f>'[1]200 rank'!A15</f>
        <v>Lyndonville</v>
      </c>
      <c r="C8" s="140">
        <f>'[1]200 rank'!C15</f>
        <v>35.866499999999995</v>
      </c>
      <c r="E8" s="130" t="str">
        <f>'[1]600 rank'!A15</f>
        <v>Burlington Electric</v>
      </c>
      <c r="G8" s="140">
        <f>'[1]600 rank'!C15</f>
        <v>101.50183800000001</v>
      </c>
      <c r="I8" s="139" t="str">
        <f>'[1]1000 rank'!A15</f>
        <v>Morrisville</v>
      </c>
      <c r="J8" s="139"/>
      <c r="K8" s="141">
        <f>'[1]1000 rank'!C15</f>
        <v>167.11199999999999</v>
      </c>
    </row>
    <row r="9" spans="1:11">
      <c r="A9" s="130" t="str">
        <f>'[1]200 rank'!A17</f>
        <v>Burlington Electric</v>
      </c>
      <c r="C9" s="140">
        <f>'[1]200 rank'!C17</f>
        <v>36.761477999999997</v>
      </c>
      <c r="E9" s="130" t="str">
        <f>'[1]600 rank'!A17</f>
        <v>Enosburg Falls</v>
      </c>
      <c r="G9" s="140">
        <f>'[1]600 rank'!C17</f>
        <v>107.69399999999999</v>
      </c>
      <c r="I9" s="139" t="str">
        <f>'[1]1000 rank'!A17</f>
        <v>Johnson</v>
      </c>
      <c r="J9" s="139"/>
      <c r="K9" s="141">
        <f>'[1]1000 rank'!C17</f>
        <v>180.34</v>
      </c>
    </row>
    <row r="10" spans="1:11">
      <c r="A10" s="130" t="str">
        <f>'[1]200 rank'!A23</f>
        <v>Green Mountain Power</v>
      </c>
      <c r="C10" s="140">
        <f>'[1]200 rank'!C23</f>
        <v>53.340583333333328</v>
      </c>
      <c r="E10" s="130" t="str">
        <f>'[1]600 rank'!A23</f>
        <v>Green Mountain Power</v>
      </c>
      <c r="G10" s="140">
        <f>'[1]600 rank'!C23</f>
        <v>128.69258333333335</v>
      </c>
      <c r="I10" s="139" t="str">
        <f>'[1]1000 rank'!A23</f>
        <v>Barton</v>
      </c>
      <c r="J10" s="139"/>
      <c r="K10" s="141">
        <f>'[1]1000 rank'!C23</f>
        <v>205.97300000000001</v>
      </c>
    </row>
    <row r="11" spans="1:11">
      <c r="A11" s="130" t="str">
        <f>'[1]200 rank'!A19</f>
        <v>Johnson</v>
      </c>
      <c r="C11" s="140">
        <f>'[1]200 rank'!C19</f>
        <v>41.235999999999997</v>
      </c>
      <c r="E11" s="130" t="str">
        <f>'[1]600 rank'!A19</f>
        <v>Hardwick</v>
      </c>
      <c r="G11" s="140">
        <f>'[1]600 rank'!C19</f>
        <v>114.66800000000002</v>
      </c>
      <c r="I11" s="139" t="str">
        <f>'[1]1000 rank'!A19</f>
        <v>Stowe</v>
      </c>
      <c r="J11" s="139"/>
      <c r="K11" s="141">
        <f>'[1]1000 rank'!C19</f>
        <v>189.7552</v>
      </c>
    </row>
    <row r="12" spans="1:11">
      <c r="A12" s="130" t="str">
        <f>'[1]200 rank'!A16</f>
        <v>Enosburg Falls</v>
      </c>
      <c r="C12" s="140">
        <f>'[1]200 rank'!C16</f>
        <v>35.917999999999999</v>
      </c>
      <c r="E12" s="130" t="str">
        <f>'[1]600 rank'!A16</f>
        <v>Jacksonville</v>
      </c>
      <c r="G12" s="140">
        <f>'[1]600 rank'!C16</f>
        <v>107.63225</v>
      </c>
      <c r="I12" s="139" t="str">
        <f>'[1]1000 rank'!A16</f>
        <v>Enosburg Falls</v>
      </c>
      <c r="J12" s="139"/>
      <c r="K12" s="141">
        <f>'[1]1000 rank'!C16</f>
        <v>179.47</v>
      </c>
    </row>
    <row r="13" spans="1:11">
      <c r="A13" s="130" t="str">
        <f>'[1]200 rank'!A18</f>
        <v>Hardwick</v>
      </c>
      <c r="C13" s="140">
        <f>'[1]200 rank'!C18</f>
        <v>38.375999999999998</v>
      </c>
      <c r="E13" s="130" t="str">
        <f>'[1]600 rank'!A18</f>
        <v>Johnson</v>
      </c>
      <c r="G13" s="140">
        <f>'[1]600 rank'!C18</f>
        <v>110.788</v>
      </c>
      <c r="I13" s="139" t="str">
        <f>'[1]1000 rank'!A18</f>
        <v>Jacksonville</v>
      </c>
      <c r="J13" s="139"/>
      <c r="K13" s="141">
        <f>'[1]1000 rank'!C18</f>
        <v>186.74025</v>
      </c>
    </row>
    <row r="14" spans="1:11">
      <c r="A14" s="130" t="str">
        <f>'[1]200 rank'!A9</f>
        <v>Ludlow</v>
      </c>
      <c r="C14" s="140">
        <f>'[1]200 rank'!C9</f>
        <v>26.316000000000003</v>
      </c>
      <c r="E14" s="130" t="str">
        <f>'[1]600 rank'!A9</f>
        <v>Ludlow</v>
      </c>
      <c r="G14" s="140">
        <f>'[1]600 rank'!C9</f>
        <v>78.228000000000009</v>
      </c>
      <c r="I14" s="139" t="str">
        <f>'[1]1000 rank'!A9</f>
        <v>Ludlow</v>
      </c>
      <c r="J14" s="139"/>
      <c r="K14" s="141">
        <f>'[1]1000 rank'!C9</f>
        <v>130.14000000000001</v>
      </c>
    </row>
    <row r="15" spans="1:11">
      <c r="A15" s="130" t="str">
        <f>'[1]200 rank'!A13</f>
        <v>Swanton</v>
      </c>
      <c r="C15" s="140">
        <f>'[1]200 rank'!C13</f>
        <v>33.491999999999997</v>
      </c>
      <c r="E15" s="130" t="str">
        <f>'[1]600 rank'!A13</f>
        <v>Lyndonville</v>
      </c>
      <c r="G15" s="140">
        <f>'[1]600 rank'!C13</f>
        <v>100.43049999999999</v>
      </c>
      <c r="I15" s="139" t="str">
        <f>'[1]1000 rank'!A13</f>
        <v>Lyndonville</v>
      </c>
      <c r="J15" s="139"/>
      <c r="K15" s="141">
        <f>'[1]1000 rank'!C13</f>
        <v>164.99449999999999</v>
      </c>
    </row>
    <row r="16" spans="1:11">
      <c r="A16" s="130" t="str">
        <f>'[1]200 rank'!A14</f>
        <v>Morrisville</v>
      </c>
      <c r="C16" s="140">
        <f>'[1]200 rank'!C14</f>
        <v>34.743999999999993</v>
      </c>
      <c r="E16" s="130" t="str">
        <f>'[1]600 rank'!A14</f>
        <v>Morrisville</v>
      </c>
      <c r="G16" s="140">
        <f>'[1]600 rank'!C14</f>
        <v>100.92799999999998</v>
      </c>
      <c r="I16" s="139" t="str">
        <f>'[1]1000 rank'!A14</f>
        <v>Burlington Electric</v>
      </c>
      <c r="J16" s="139"/>
      <c r="K16" s="141">
        <f>'[1]1000 rank'!C14</f>
        <v>166.24219799999997</v>
      </c>
    </row>
    <row r="17" spans="1:11">
      <c r="A17" s="130" t="str">
        <f>'[1]200 rank'!A12</f>
        <v>Orleans</v>
      </c>
      <c r="C17" s="140">
        <f>'[1]200 rank'!C12</f>
        <v>31.747000000000003</v>
      </c>
      <c r="E17" s="130" t="str">
        <f>'[1]600 rank'!A12</f>
        <v>Northfield</v>
      </c>
      <c r="G17" s="140">
        <f>'[1]600 rank'!C12</f>
        <v>90.01400000000001</v>
      </c>
      <c r="I17" s="139" t="str">
        <f>'[1]1000 rank'!A12</f>
        <v>Northfield</v>
      </c>
      <c r="J17" s="139"/>
      <c r="K17" s="141">
        <f>'[1]1000 rank'!C12</f>
        <v>149.58599999999998</v>
      </c>
    </row>
    <row r="18" spans="1:11">
      <c r="A18" s="130" t="str">
        <f>'[1]200 rank'!A10</f>
        <v>Jacksonville</v>
      </c>
      <c r="C18" s="140">
        <f>'[1]200 rank'!C10</f>
        <v>28.524250000000002</v>
      </c>
      <c r="E18" s="130" t="str">
        <f>'[1]600 rank'!A10</f>
        <v>Orleans</v>
      </c>
      <c r="G18" s="140">
        <f>'[1]600 rank'!C10</f>
        <v>84.231000000000009</v>
      </c>
      <c r="I18" s="139" t="str">
        <f>'[1]1000 rank'!A10</f>
        <v>Orleans</v>
      </c>
      <c r="J18" s="139"/>
      <c r="K18" s="141">
        <f>'[1]1000 rank'!C10</f>
        <v>136.715</v>
      </c>
    </row>
    <row r="19" spans="1:11">
      <c r="A19" s="130" t="str">
        <f>'[1]200 rank'!A20</f>
        <v>Barton</v>
      </c>
      <c r="C19" s="140">
        <f>'[1]200 rank'!C20</f>
        <v>41.324999999999996</v>
      </c>
      <c r="E19" s="130" t="str">
        <f>'[1]600 rank'!A20</f>
        <v>Stowe</v>
      </c>
      <c r="G19" s="140">
        <f>'[1]600 rank'!C20</f>
        <v>117.08320000000001</v>
      </c>
      <c r="I19" s="139" t="str">
        <f>'[1]1000 rank'!A20</f>
        <v>Hardwick</v>
      </c>
      <c r="J19" s="139"/>
      <c r="K19" s="141">
        <f>'[1]1000 rank'!C20</f>
        <v>190.96</v>
      </c>
    </row>
    <row r="20" spans="1:11">
      <c r="A20" s="130" t="str">
        <f>'[1]200 rank'!A11</f>
        <v>Northfield</v>
      </c>
      <c r="C20" s="140">
        <f>'[1]200 rank'!C11</f>
        <v>30.442000000000004</v>
      </c>
      <c r="E20" s="130" t="str">
        <f>'[1]600 rank'!A11</f>
        <v>Swanton</v>
      </c>
      <c r="G20" s="140">
        <f>'[1]600 rank'!C11</f>
        <v>86.775999999999996</v>
      </c>
      <c r="I20" s="139" t="str">
        <f>'[1]1000 rank'!A11</f>
        <v>Swanton</v>
      </c>
      <c r="J20" s="139"/>
      <c r="K20" s="141">
        <f>'[1]1000 rank'!C11</f>
        <v>140.06</v>
      </c>
    </row>
    <row r="21" spans="1:11">
      <c r="A21" s="130" t="str">
        <f>'[1]200 rank'!A22</f>
        <v>Vermont Electric Cooperative</v>
      </c>
      <c r="C21" s="140">
        <f>'[1]200 rank'!C22</f>
        <v>47.380999999999993</v>
      </c>
      <c r="E21" s="130" t="str">
        <f>'[1]600 rank'!A22</f>
        <v>Vermont Electric Cooperative</v>
      </c>
      <c r="G21" s="140">
        <f>'[1]600 rank'!C22</f>
        <v>124.929</v>
      </c>
      <c r="I21" s="139" t="str">
        <f>'[1]1000 rank'!A22</f>
        <v>Green Mountain Power</v>
      </c>
      <c r="J21" s="139"/>
      <c r="K21" s="141">
        <f>'[1]1000 rank'!C22</f>
        <v>204.04458333333332</v>
      </c>
    </row>
    <row r="22" spans="1:11">
      <c r="A22" s="130" t="str">
        <f>'[1]200 rank'!A24</f>
        <v>Washington Electric Cooperative</v>
      </c>
      <c r="C22" s="140">
        <f>'[1]200 rank'!C24</f>
        <v>55.321999999999996</v>
      </c>
      <c r="E22" s="130" t="str">
        <f>'[1]600 rank'!A24</f>
        <v>Washington Electric Cooperative</v>
      </c>
      <c r="G22" s="140">
        <f>'[1]600 rank'!C24</f>
        <v>148.95400000000001</v>
      </c>
      <c r="I22" s="139" t="str">
        <f>'[1]1000 rank'!A24</f>
        <v>Washington Electric Cooperative</v>
      </c>
      <c r="J22" s="139"/>
      <c r="K22" s="141">
        <f>'[1]1000 rank'!C24</f>
        <v>242.58600000000001</v>
      </c>
    </row>
  </sheetData>
  <sortState xmlns:xlrd2="http://schemas.microsoft.com/office/spreadsheetml/2017/richdata2" ref="A7:K22">
    <sortCondition ref="E7:E22"/>
  </sortState>
  <mergeCells count="2">
    <mergeCell ref="A1:K1"/>
    <mergeCell ref="A2:K2"/>
  </mergeCells>
  <pageMargins left="0.7" right="0.7" top="0.75" bottom="0.75" header="0.3" footer="0.3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Instructions</vt:lpstr>
      <vt:lpstr>VPPSA Data Model</vt:lpstr>
      <vt:lpstr>VPPSA Data Analysis</vt:lpstr>
      <vt:lpstr>Raw data</vt:lpstr>
      <vt:lpstr>VPPSA data</vt:lpstr>
      <vt:lpstr>PUC Data Model</vt:lpstr>
      <vt:lpstr>Outputs</vt:lpstr>
      <vt:lpstr>RANKINGS</vt:lpstr>
      <vt:lpstr>RANKINGS!Print_Area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</dc:creator>
  <cp:lastModifiedBy>Sarah Braese</cp:lastModifiedBy>
  <dcterms:created xsi:type="dcterms:W3CDTF">2022-07-19T18:32:24Z</dcterms:created>
  <dcterms:modified xsi:type="dcterms:W3CDTF">2022-10-28T20:02:41Z</dcterms:modified>
</cp:coreProperties>
</file>