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PSB - WIP\ESchilling\20-0203-INV, Low income proceeding\"/>
    </mc:Choice>
  </mc:AlternateContent>
  <xr:revisionPtr revIDLastSave="0" documentId="8_{0868F0EF-E58F-4FCF-A7B6-4E267397C325}" xr6:coauthVersionLast="47" xr6:coauthVersionMax="47" xr10:uidLastSave="{00000000-0000-0000-0000-000000000000}"/>
  <bookViews>
    <workbookView xWindow="20370" yWindow="-120" windowWidth="29040" windowHeight="17640" xr2:uid="{57BC8F5B-A2CD-46E3-A59B-69350E5EE4D7}"/>
  </bookViews>
  <sheets>
    <sheet name="Instructions" sheetId="8" r:id="rId1"/>
    <sheet name="Model" sheetId="4" r:id="rId2"/>
    <sheet name="Raw data" sheetId="3" r:id="rId3"/>
    <sheet name="VPPSA data" sheetId="5" r:id="rId4"/>
    <sheet name="Outputs" sheetId="2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96" i="5" l="1"/>
  <c r="D15" i="4" s="1"/>
  <c r="G15" i="4" s="1"/>
  <c r="H26" i="3"/>
  <c r="H22" i="3"/>
  <c r="H18" i="3"/>
  <c r="H14" i="3"/>
  <c r="H10" i="3"/>
  <c r="H6" i="3"/>
  <c r="G16" i="4"/>
  <c r="G20" i="4"/>
  <c r="G24" i="4"/>
  <c r="E16" i="4"/>
  <c r="E17" i="4"/>
  <c r="H17" i="4" s="1"/>
  <c r="E18" i="4"/>
  <c r="E19" i="4"/>
  <c r="E20" i="4"/>
  <c r="E21" i="4"/>
  <c r="H21" i="4" s="1"/>
  <c r="E22" i="4"/>
  <c r="E23" i="4"/>
  <c r="E24" i="4"/>
  <c r="E25" i="4"/>
  <c r="H25" i="4" s="1"/>
  <c r="E15" i="4"/>
  <c r="D16" i="4"/>
  <c r="D17" i="4"/>
  <c r="G17" i="4" s="1"/>
  <c r="D18" i="4"/>
  <c r="G18" i="4" s="1"/>
  <c r="D19" i="4"/>
  <c r="G19" i="4" s="1"/>
  <c r="D20" i="4"/>
  <c r="D21" i="4"/>
  <c r="G21" i="4" s="1"/>
  <c r="D22" i="4"/>
  <c r="G22" i="4" s="1"/>
  <c r="D23" i="4"/>
  <c r="G23" i="4" s="1"/>
  <c r="D24" i="4"/>
  <c r="D25" i="4"/>
  <c r="G25" i="4" s="1"/>
  <c r="C17" i="4"/>
  <c r="C16" i="4"/>
  <c r="C18" i="4"/>
  <c r="C19" i="4"/>
  <c r="C20" i="4"/>
  <c r="C21" i="4"/>
  <c r="C22" i="4"/>
  <c r="C23" i="4"/>
  <c r="C24" i="4"/>
  <c r="C25" i="4"/>
  <c r="C15" i="4"/>
  <c r="K101" i="5"/>
  <c r="K106" i="5"/>
  <c r="L106" i="5"/>
  <c r="M106" i="5"/>
  <c r="N106" i="5"/>
  <c r="O106" i="5"/>
  <c r="P106" i="5"/>
  <c r="R106" i="5"/>
  <c r="S106" i="5"/>
  <c r="T106" i="5"/>
  <c r="U106" i="5"/>
  <c r="V106" i="5"/>
  <c r="W106" i="5"/>
  <c r="K105" i="5"/>
  <c r="L105" i="5"/>
  <c r="M105" i="5"/>
  <c r="N105" i="5"/>
  <c r="O105" i="5"/>
  <c r="P105" i="5"/>
  <c r="R105" i="5"/>
  <c r="S105" i="5"/>
  <c r="T105" i="5"/>
  <c r="U105" i="5"/>
  <c r="V105" i="5"/>
  <c r="W105" i="5"/>
  <c r="K104" i="5"/>
  <c r="L104" i="5"/>
  <c r="M104" i="5"/>
  <c r="N104" i="5"/>
  <c r="O104" i="5"/>
  <c r="P104" i="5"/>
  <c r="R104" i="5"/>
  <c r="S104" i="5"/>
  <c r="T104" i="5"/>
  <c r="U104" i="5"/>
  <c r="V104" i="5"/>
  <c r="W104" i="5"/>
  <c r="K103" i="5"/>
  <c r="L103" i="5"/>
  <c r="M103" i="5"/>
  <c r="N103" i="5"/>
  <c r="O103" i="5"/>
  <c r="P103" i="5"/>
  <c r="R103" i="5"/>
  <c r="S103" i="5"/>
  <c r="T103" i="5"/>
  <c r="U103" i="5"/>
  <c r="V103" i="5"/>
  <c r="W103" i="5"/>
  <c r="K102" i="5"/>
  <c r="L102" i="5"/>
  <c r="M102" i="5"/>
  <c r="N102" i="5"/>
  <c r="O102" i="5"/>
  <c r="P102" i="5"/>
  <c r="R102" i="5"/>
  <c r="S102" i="5"/>
  <c r="T102" i="5"/>
  <c r="U102" i="5"/>
  <c r="V102" i="5"/>
  <c r="W102" i="5"/>
  <c r="L101" i="5"/>
  <c r="M101" i="5"/>
  <c r="N101" i="5"/>
  <c r="O101" i="5"/>
  <c r="P101" i="5"/>
  <c r="R101" i="5"/>
  <c r="S101" i="5"/>
  <c r="T101" i="5"/>
  <c r="U101" i="5"/>
  <c r="V101" i="5"/>
  <c r="W101" i="5"/>
  <c r="K100" i="5"/>
  <c r="L100" i="5"/>
  <c r="M100" i="5"/>
  <c r="N100" i="5"/>
  <c r="O100" i="5"/>
  <c r="P100" i="5"/>
  <c r="R100" i="5"/>
  <c r="S100" i="5"/>
  <c r="T100" i="5"/>
  <c r="U100" i="5"/>
  <c r="V100" i="5"/>
  <c r="W100" i="5"/>
  <c r="K99" i="5"/>
  <c r="L99" i="5"/>
  <c r="M99" i="5"/>
  <c r="N99" i="5"/>
  <c r="O99" i="5"/>
  <c r="P99" i="5"/>
  <c r="R99" i="5"/>
  <c r="S99" i="5"/>
  <c r="T99" i="5"/>
  <c r="U99" i="5"/>
  <c r="V99" i="5"/>
  <c r="W99" i="5"/>
  <c r="K98" i="5"/>
  <c r="L98" i="5"/>
  <c r="M98" i="5"/>
  <c r="N98" i="5"/>
  <c r="O98" i="5"/>
  <c r="P98" i="5"/>
  <c r="R98" i="5"/>
  <c r="S98" i="5"/>
  <c r="T98" i="5"/>
  <c r="U98" i="5"/>
  <c r="V98" i="5"/>
  <c r="W98" i="5"/>
  <c r="K97" i="5"/>
  <c r="L97" i="5"/>
  <c r="M97" i="5"/>
  <c r="N97" i="5"/>
  <c r="O97" i="5"/>
  <c r="P97" i="5"/>
  <c r="R97" i="5"/>
  <c r="S97" i="5"/>
  <c r="T97" i="5"/>
  <c r="U97" i="5"/>
  <c r="V97" i="5"/>
  <c r="W97" i="5"/>
  <c r="K96" i="5"/>
  <c r="L96" i="5"/>
  <c r="M96" i="5"/>
  <c r="N96" i="5"/>
  <c r="O96" i="5"/>
  <c r="P96" i="5"/>
  <c r="R96" i="5"/>
  <c r="S96" i="5"/>
  <c r="T96" i="5"/>
  <c r="U96" i="5"/>
  <c r="V96" i="5"/>
  <c r="W96" i="5"/>
  <c r="I96" i="5"/>
  <c r="E106" i="5"/>
  <c r="F106" i="5"/>
  <c r="G106" i="5"/>
  <c r="H106" i="5"/>
  <c r="I106" i="5"/>
  <c r="E105" i="5"/>
  <c r="F105" i="5"/>
  <c r="G105" i="5"/>
  <c r="H105" i="5"/>
  <c r="I105" i="5"/>
  <c r="E104" i="5"/>
  <c r="F104" i="5"/>
  <c r="G104" i="5"/>
  <c r="H104" i="5"/>
  <c r="I104" i="5"/>
  <c r="E103" i="5"/>
  <c r="F103" i="5"/>
  <c r="G103" i="5"/>
  <c r="H103" i="5"/>
  <c r="I103" i="5"/>
  <c r="E102" i="5"/>
  <c r="F102" i="5"/>
  <c r="G102" i="5"/>
  <c r="H102" i="5"/>
  <c r="I102" i="5"/>
  <c r="E101" i="5"/>
  <c r="F101" i="5"/>
  <c r="G101" i="5"/>
  <c r="H101" i="5"/>
  <c r="I101" i="5"/>
  <c r="E100" i="5"/>
  <c r="F100" i="5"/>
  <c r="G100" i="5"/>
  <c r="H100" i="5"/>
  <c r="I100" i="5"/>
  <c r="E99" i="5"/>
  <c r="F99" i="5"/>
  <c r="G99" i="5"/>
  <c r="H99" i="5"/>
  <c r="I99" i="5"/>
  <c r="E98" i="5"/>
  <c r="F98" i="5"/>
  <c r="G98" i="5"/>
  <c r="H98" i="5"/>
  <c r="I98" i="5"/>
  <c r="E97" i="5"/>
  <c r="F97" i="5"/>
  <c r="G97" i="5"/>
  <c r="H97" i="5"/>
  <c r="I97" i="5"/>
  <c r="E96" i="5"/>
  <c r="F96" i="5"/>
  <c r="G96" i="5"/>
  <c r="H96" i="5"/>
  <c r="D98" i="5"/>
  <c r="D97" i="5"/>
  <c r="D99" i="5"/>
  <c r="D100" i="5"/>
  <c r="D101" i="5"/>
  <c r="D102" i="5"/>
  <c r="D103" i="5"/>
  <c r="D104" i="5"/>
  <c r="D105" i="5"/>
  <c r="D106" i="5"/>
  <c r="V91" i="5"/>
  <c r="U91" i="5"/>
  <c r="T91" i="5"/>
  <c r="S91" i="5"/>
  <c r="R91" i="5"/>
  <c r="O91" i="5"/>
  <c r="N91" i="5"/>
  <c r="M91" i="5"/>
  <c r="L91" i="5"/>
  <c r="K91" i="5"/>
  <c r="H91" i="5"/>
  <c r="G91" i="5"/>
  <c r="F91" i="5"/>
  <c r="E91" i="5"/>
  <c r="D91" i="5"/>
  <c r="W90" i="5"/>
  <c r="P90" i="5"/>
  <c r="I90" i="5"/>
  <c r="W89" i="5"/>
  <c r="P89" i="5"/>
  <c r="I89" i="5"/>
  <c r="W88" i="5"/>
  <c r="P88" i="5"/>
  <c r="I88" i="5"/>
  <c r="W87" i="5"/>
  <c r="P87" i="5"/>
  <c r="I87" i="5"/>
  <c r="W86" i="5"/>
  <c r="P86" i="5"/>
  <c r="I86" i="5"/>
  <c r="W85" i="5"/>
  <c r="P85" i="5"/>
  <c r="I85" i="5"/>
  <c r="W84" i="5"/>
  <c r="P84" i="5"/>
  <c r="I84" i="5"/>
  <c r="W83" i="5"/>
  <c r="P83" i="5"/>
  <c r="I83" i="5"/>
  <c r="W82" i="5"/>
  <c r="P82" i="5"/>
  <c r="I82" i="5"/>
  <c r="W81" i="5"/>
  <c r="P81" i="5"/>
  <c r="I81" i="5"/>
  <c r="W80" i="5"/>
  <c r="W91" i="5" s="1"/>
  <c r="P80" i="5"/>
  <c r="P91" i="5" s="1"/>
  <c r="I80" i="5"/>
  <c r="I91" i="5" s="1"/>
  <c r="V73" i="5"/>
  <c r="U73" i="5"/>
  <c r="T73" i="5"/>
  <c r="S73" i="5"/>
  <c r="R73" i="5"/>
  <c r="N73" i="5"/>
  <c r="M73" i="5"/>
  <c r="L73" i="5"/>
  <c r="K73" i="5"/>
  <c r="H73" i="5"/>
  <c r="G73" i="5"/>
  <c r="F73" i="5"/>
  <c r="E73" i="5"/>
  <c r="D73" i="5"/>
  <c r="W72" i="5"/>
  <c r="P72" i="5"/>
  <c r="I72" i="5"/>
  <c r="W71" i="5"/>
  <c r="P71" i="5"/>
  <c r="I71" i="5"/>
  <c r="W70" i="5"/>
  <c r="P70" i="5"/>
  <c r="I70" i="5"/>
  <c r="W69" i="5"/>
  <c r="P69" i="5"/>
  <c r="I69" i="5"/>
  <c r="W68" i="5"/>
  <c r="P68" i="5"/>
  <c r="I68" i="5"/>
  <c r="W67" i="5"/>
  <c r="O67" i="5"/>
  <c r="P67" i="5" s="1"/>
  <c r="I67" i="5"/>
  <c r="W66" i="5"/>
  <c r="P66" i="5"/>
  <c r="I66" i="5"/>
  <c r="W65" i="5"/>
  <c r="P65" i="5"/>
  <c r="I65" i="5"/>
  <c r="W64" i="5"/>
  <c r="P64" i="5"/>
  <c r="I64" i="5"/>
  <c r="W63" i="5"/>
  <c r="P63" i="5"/>
  <c r="I63" i="5"/>
  <c r="W62" i="5"/>
  <c r="W73" i="5" s="1"/>
  <c r="P62" i="5"/>
  <c r="P73" i="5" s="1"/>
  <c r="I62" i="5"/>
  <c r="I73" i="5" s="1"/>
  <c r="V55" i="5"/>
  <c r="U55" i="5"/>
  <c r="T55" i="5"/>
  <c r="R55" i="5"/>
  <c r="N55" i="5"/>
  <c r="M55" i="5"/>
  <c r="K55" i="5"/>
  <c r="H55" i="5"/>
  <c r="G55" i="5"/>
  <c r="F55" i="5"/>
  <c r="E55" i="5"/>
  <c r="D55" i="5"/>
  <c r="W54" i="5"/>
  <c r="P54" i="5"/>
  <c r="I54" i="5"/>
  <c r="W53" i="5"/>
  <c r="P53" i="5"/>
  <c r="I53" i="5"/>
  <c r="W52" i="5"/>
  <c r="P52" i="5"/>
  <c r="I52" i="5"/>
  <c r="W51" i="5"/>
  <c r="P51" i="5"/>
  <c r="I51" i="5"/>
  <c r="W50" i="5"/>
  <c r="P50" i="5"/>
  <c r="I50" i="5"/>
  <c r="W49" i="5"/>
  <c r="P49" i="5"/>
  <c r="I49" i="5"/>
  <c r="F49" i="5"/>
  <c r="W48" i="5"/>
  <c r="P48" i="5"/>
  <c r="I48" i="5"/>
  <c r="W47" i="5"/>
  <c r="P47" i="5"/>
  <c r="I47" i="5"/>
  <c r="V46" i="5"/>
  <c r="S46" i="5"/>
  <c r="W46" i="5" s="1"/>
  <c r="O46" i="5"/>
  <c r="O55" i="5" s="1"/>
  <c r="L46" i="5"/>
  <c r="L55" i="5" s="1"/>
  <c r="I46" i="5"/>
  <c r="W45" i="5"/>
  <c r="P45" i="5"/>
  <c r="I45" i="5"/>
  <c r="W44" i="5"/>
  <c r="P44" i="5"/>
  <c r="I44" i="5"/>
  <c r="I55" i="5" s="1"/>
  <c r="U37" i="5"/>
  <c r="T37" i="5"/>
  <c r="R37" i="5"/>
  <c r="N37" i="5"/>
  <c r="M37" i="5"/>
  <c r="K37" i="5"/>
  <c r="H37" i="5"/>
  <c r="G37" i="5"/>
  <c r="F37" i="5"/>
  <c r="E37" i="5"/>
  <c r="D37" i="5"/>
  <c r="W36" i="5"/>
  <c r="P36" i="5"/>
  <c r="I36" i="5"/>
  <c r="W35" i="5"/>
  <c r="P35" i="5"/>
  <c r="I35" i="5"/>
  <c r="W34" i="5"/>
  <c r="P34" i="5"/>
  <c r="I34" i="5"/>
  <c r="W33" i="5"/>
  <c r="P33" i="5"/>
  <c r="I33" i="5"/>
  <c r="W32" i="5"/>
  <c r="P32" i="5"/>
  <c r="I32" i="5"/>
  <c r="W31" i="5"/>
  <c r="O31" i="5"/>
  <c r="P31" i="5" s="1"/>
  <c r="I31" i="5"/>
  <c r="W30" i="5"/>
  <c r="P30" i="5"/>
  <c r="I30" i="5"/>
  <c r="W29" i="5"/>
  <c r="P29" i="5"/>
  <c r="I29" i="5"/>
  <c r="V28" i="5"/>
  <c r="V37" i="5" s="1"/>
  <c r="S28" i="5"/>
  <c r="W28" i="5" s="1"/>
  <c r="O28" i="5"/>
  <c r="O37" i="5" s="1"/>
  <c r="L28" i="5"/>
  <c r="L37" i="5" s="1"/>
  <c r="I28" i="5"/>
  <c r="W27" i="5"/>
  <c r="P27" i="5"/>
  <c r="I27" i="5"/>
  <c r="W26" i="5"/>
  <c r="W37" i="5" s="1"/>
  <c r="P26" i="5"/>
  <c r="I26" i="5"/>
  <c r="I37" i="5" s="1"/>
  <c r="V19" i="5"/>
  <c r="U19" i="5"/>
  <c r="T19" i="5"/>
  <c r="S19" i="5"/>
  <c r="R19" i="5"/>
  <c r="O19" i="5"/>
  <c r="N19" i="5"/>
  <c r="M19" i="5"/>
  <c r="L19" i="5"/>
  <c r="K19" i="5"/>
  <c r="H19" i="5"/>
  <c r="G19" i="5"/>
  <c r="F19" i="5"/>
  <c r="E19" i="5"/>
  <c r="D19" i="5"/>
  <c r="W18" i="5"/>
  <c r="P18" i="5"/>
  <c r="I18" i="5"/>
  <c r="W17" i="5"/>
  <c r="P17" i="5"/>
  <c r="I17" i="5"/>
  <c r="W16" i="5"/>
  <c r="P16" i="5"/>
  <c r="I16" i="5"/>
  <c r="W15" i="5"/>
  <c r="P15" i="5"/>
  <c r="I15" i="5"/>
  <c r="W14" i="5"/>
  <c r="P14" i="5"/>
  <c r="W13" i="5"/>
  <c r="P13" i="5"/>
  <c r="O13" i="5"/>
  <c r="I13" i="5"/>
  <c r="W12" i="5"/>
  <c r="P12" i="5"/>
  <c r="I12" i="5"/>
  <c r="W11" i="5"/>
  <c r="P11" i="5"/>
  <c r="I11" i="5"/>
  <c r="P10" i="5"/>
  <c r="I10" i="5"/>
  <c r="W9" i="5"/>
  <c r="P9" i="5"/>
  <c r="I9" i="5"/>
  <c r="W8" i="5"/>
  <c r="W19" i="5" s="1"/>
  <c r="P8" i="5"/>
  <c r="P19" i="5" s="1"/>
  <c r="I8" i="5"/>
  <c r="I19" i="5" s="1"/>
  <c r="H22" i="4" l="1"/>
  <c r="I22" i="4" s="1"/>
  <c r="J22" i="4" s="1"/>
  <c r="K22" i="4" s="1"/>
  <c r="H15" i="4"/>
  <c r="H23" i="4"/>
  <c r="I23" i="4" s="1"/>
  <c r="J23" i="4" s="1"/>
  <c r="K23" i="4" s="1"/>
  <c r="H19" i="4"/>
  <c r="I19" i="4" s="1"/>
  <c r="J19" i="4" s="1"/>
  <c r="K19" i="4" s="1"/>
  <c r="H18" i="4"/>
  <c r="I18" i="4" s="1"/>
  <c r="J18" i="4" s="1"/>
  <c r="K18" i="4" s="1"/>
  <c r="H24" i="4"/>
  <c r="I24" i="4" s="1"/>
  <c r="J24" i="4" s="1"/>
  <c r="L24" i="4" s="1"/>
  <c r="H20" i="4"/>
  <c r="I20" i="4" s="1"/>
  <c r="J20" i="4" s="1"/>
  <c r="K20" i="4" s="1"/>
  <c r="H16" i="4"/>
  <c r="I16" i="4" s="1"/>
  <c r="J16" i="4" s="1"/>
  <c r="I25" i="4"/>
  <c r="J25" i="4" s="1"/>
  <c r="K25" i="4" s="1"/>
  <c r="I21" i="4"/>
  <c r="J21" i="4" s="1"/>
  <c r="K21" i="4" s="1"/>
  <c r="I17" i="4"/>
  <c r="J17" i="4" s="1"/>
  <c r="K17" i="4" s="1"/>
  <c r="I15" i="4"/>
  <c r="J15" i="4" s="1"/>
  <c r="K15" i="4" s="1"/>
  <c r="P37" i="5"/>
  <c r="P55" i="5"/>
  <c r="W55" i="5"/>
  <c r="S37" i="5"/>
  <c r="S55" i="5"/>
  <c r="O73" i="5"/>
  <c r="P28" i="5"/>
  <c r="P46" i="5"/>
  <c r="L22" i="4" l="1"/>
  <c r="K16" i="4"/>
  <c r="L16" i="4"/>
  <c r="L25" i="4"/>
  <c r="L18" i="4"/>
  <c r="K24" i="4"/>
  <c r="L21" i="4"/>
  <c r="L15" i="4"/>
  <c r="L23" i="4"/>
  <c r="L17" i="4"/>
  <c r="L19" i="4"/>
  <c r="L20" i="4"/>
  <c r="C23" i="3" l="1"/>
  <c r="H15" i="3"/>
  <c r="H11" i="3"/>
  <c r="H12" i="3"/>
  <c r="H13" i="3"/>
  <c r="H16" i="3"/>
  <c r="H17" i="3"/>
  <c r="H9" i="3"/>
  <c r="H19" i="3"/>
  <c r="H20" i="3"/>
  <c r="H21" i="3"/>
  <c r="H23" i="3"/>
  <c r="H24" i="3"/>
  <c r="H25" i="3"/>
  <c r="G8" i="3"/>
  <c r="F8" i="3"/>
  <c r="E8" i="3"/>
  <c r="D8" i="3"/>
  <c r="C8" i="3"/>
  <c r="G7" i="3"/>
  <c r="F7" i="3"/>
  <c r="E7" i="3"/>
  <c r="D7" i="3"/>
  <c r="C7" i="3"/>
  <c r="H5" i="3"/>
  <c r="H4" i="3"/>
  <c r="H3" i="3"/>
  <c r="H8" i="3" l="1"/>
  <c r="D9" i="4" s="1"/>
  <c r="G9" i="4" s="1"/>
  <c r="C13" i="4"/>
  <c r="C10" i="4"/>
  <c r="C12" i="4"/>
  <c r="C14" i="4"/>
  <c r="C11" i="4"/>
  <c r="E10" i="4"/>
  <c r="D14" i="4"/>
  <c r="G14" i="4" s="1"/>
  <c r="E9" i="4"/>
  <c r="H9" i="4" s="1"/>
  <c r="E11" i="4"/>
  <c r="D11" i="4"/>
  <c r="G11" i="4" s="1"/>
  <c r="D12" i="4"/>
  <c r="G12" i="4" s="1"/>
  <c r="E13" i="4"/>
  <c r="E12" i="4"/>
  <c r="E14" i="4"/>
  <c r="D13" i="4"/>
  <c r="G13" i="4" s="1"/>
  <c r="D10" i="4"/>
  <c r="H7" i="3"/>
  <c r="I9" i="4" l="1"/>
  <c r="H13" i="4"/>
  <c r="I13" i="4" s="1"/>
  <c r="J13" i="4" s="1"/>
  <c r="K13" i="4" s="1"/>
  <c r="H11" i="4"/>
  <c r="I11" i="4" s="1"/>
  <c r="J11" i="4" s="1"/>
  <c r="K11" i="4" s="1"/>
  <c r="H12" i="4"/>
  <c r="I12" i="4" s="1"/>
  <c r="J12" i="4" s="1"/>
  <c r="K12" i="4" s="1"/>
  <c r="H14" i="4"/>
  <c r="I14" i="4" s="1"/>
  <c r="J14" i="4" s="1"/>
  <c r="H10" i="4"/>
  <c r="E27" i="4"/>
  <c r="D26" i="4"/>
  <c r="C9" i="4"/>
  <c r="C26" i="4" s="1"/>
  <c r="C27" i="4"/>
  <c r="G10" i="4"/>
  <c r="G27" i="4" s="1"/>
  <c r="D27" i="4"/>
  <c r="E26" i="4"/>
  <c r="G26" i="4" l="1"/>
  <c r="J9" i="4"/>
  <c r="K9" i="4" s="1"/>
  <c r="L13" i="4"/>
  <c r="H26" i="4"/>
  <c r="L11" i="4"/>
  <c r="K14" i="4"/>
  <c r="L14" i="4"/>
  <c r="I10" i="4"/>
  <c r="J10" i="4" s="1"/>
  <c r="K10" i="4" s="1"/>
  <c r="H27" i="4"/>
  <c r="L12" i="4"/>
  <c r="I26" i="4" l="1"/>
  <c r="J26" i="4" s="1"/>
  <c r="K26" i="4" s="1"/>
  <c r="I27" i="4"/>
  <c r="J27" i="4" s="1"/>
  <c r="L27" i="4" s="1"/>
  <c r="L9" i="4"/>
  <c r="L10" i="4"/>
  <c r="L26" i="4" l="1"/>
  <c r="K27" i="4"/>
</calcChain>
</file>

<file path=xl/sharedStrings.xml><?xml version="1.0" encoding="utf-8"?>
<sst xmlns="http://schemas.openxmlformats.org/spreadsheetml/2006/main" count="315" uniqueCount="79">
  <si>
    <t>Variables</t>
  </si>
  <si>
    <t>Raw Data</t>
  </si>
  <si>
    <t>Utility</t>
  </si>
  <si>
    <t>GMP</t>
  </si>
  <si>
    <t>VEC</t>
  </si>
  <si>
    <t>WEC</t>
  </si>
  <si>
    <t>BED</t>
  </si>
  <si>
    <t>Stowe</t>
  </si>
  <si>
    <t>Hyde Park</t>
  </si>
  <si>
    <t>Qualifying customers</t>
  </si>
  <si>
    <t>Field name</t>
  </si>
  <si>
    <t>Customer count</t>
  </si>
  <si>
    <t>Average</t>
  </si>
  <si>
    <t>Res. Customers (5 yr)</t>
  </si>
  <si>
    <t>Res customers</t>
  </si>
  <si>
    <t>Ave. Res. Bill</t>
  </si>
  <si>
    <t>Res. Revenue (5 yr)</t>
  </si>
  <si>
    <t>Res. Revenue</t>
  </si>
  <si>
    <t>Bill impact (participating)</t>
  </si>
  <si>
    <t>Total customers (5 yr)</t>
  </si>
  <si>
    <t>Statewide minus GMP</t>
  </si>
  <si>
    <t>annual revenue needed</t>
  </si>
  <si>
    <t>Customer Count</t>
  </si>
  <si>
    <t>Annual Retail Sales (kWh)</t>
  </si>
  <si>
    <t>Annual Retail Revenue ($)</t>
  </si>
  <si>
    <t>VPPSA
 MEMBER</t>
  </si>
  <si>
    <t xml:space="preserve">Residential </t>
  </si>
  <si>
    <t>Small Commercial</t>
  </si>
  <si>
    <t xml:space="preserve">Large Commercial </t>
  </si>
  <si>
    <t xml:space="preserve">Industrial </t>
  </si>
  <si>
    <t>SL/Other</t>
  </si>
  <si>
    <t xml:space="preserve">Total Customer Count </t>
  </si>
  <si>
    <t>Residential  (kWh)</t>
  </si>
  <si>
    <t>Small Commercial  (kWh)</t>
  </si>
  <si>
    <t xml:space="preserve">Large Commercial (kWh)  </t>
  </si>
  <si>
    <t>Industrial (kWh)</t>
  </si>
  <si>
    <t>SL/Other (kWh)</t>
  </si>
  <si>
    <t>Total Retail Sales (kWh)</t>
  </si>
  <si>
    <t>Residential  ($)</t>
  </si>
  <si>
    <t>Small Commercial  ($)</t>
  </si>
  <si>
    <t xml:space="preserve">Large Commercial ($)  </t>
  </si>
  <si>
    <t>Industrial ($)</t>
  </si>
  <si>
    <t>SL/Other ($)</t>
  </si>
  <si>
    <t>Total Annual Revenue ($)</t>
  </si>
  <si>
    <t>Barton</t>
  </si>
  <si>
    <t>Enosburg</t>
  </si>
  <si>
    <t>Hardwick</t>
  </si>
  <si>
    <t>Jacksonville</t>
  </si>
  <si>
    <t>Johnson</t>
  </si>
  <si>
    <t>Ludlow</t>
  </si>
  <si>
    <t>na</t>
  </si>
  <si>
    <t>Lyndonville</t>
  </si>
  <si>
    <t>Morrisville</t>
  </si>
  <si>
    <t>Northfield</t>
  </si>
  <si>
    <t>Orleans</t>
  </si>
  <si>
    <t>Swanton</t>
  </si>
  <si>
    <t>Total</t>
  </si>
  <si>
    <t xml:space="preserve">Annual Retail Revenue ($)* </t>
  </si>
  <si>
    <t>*2021 Revenue data pending final audit results</t>
  </si>
  <si>
    <t>Percentage at 185% FPL</t>
  </si>
  <si>
    <t>Statewide pooling</t>
  </si>
  <si>
    <t>High %</t>
  </si>
  <si>
    <t>Total Revenue</t>
  </si>
  <si>
    <t>$ bill impact</t>
  </si>
  <si>
    <t>% bill impact</t>
  </si>
  <si>
    <t>5 yr average</t>
  </si>
  <si>
    <t>Scenario: 25% discount, 30% participation rate, +/- 10% qualifying households</t>
  </si>
  <si>
    <t xml:space="preserve">This model was prepared by Commission staff in connection with case number 20-0203-INV, the Investigation into the establishment of reduced rates for low-income residential ratepayers of Vermont electric utilities </t>
  </si>
  <si>
    <t>Participation rate*</t>
  </si>
  <si>
    <t>Percentage bill covered+</t>
  </si>
  <si>
    <t>Qualifying customers sensitivity factor^</t>
  </si>
  <si>
    <t>Low $</t>
  </si>
  <si>
    <t>High $</t>
  </si>
  <si>
    <t>Low %</t>
  </si>
  <si>
    <t xml:space="preserve">There are several factors users may adjust to test the results for sensitivity to changes in relevant variables. </t>
  </si>
  <si>
    <r>
      <t xml:space="preserve">+Model tab, c4 cell: </t>
    </r>
    <r>
      <rPr>
        <b/>
        <sz val="11"/>
        <color theme="1"/>
        <rFont val="Calibri"/>
        <family val="2"/>
        <scheme val="minor"/>
      </rPr>
      <t>Percentage bill covered</t>
    </r>
    <r>
      <rPr>
        <sz val="11"/>
        <color theme="1"/>
        <rFont val="Calibri"/>
        <family val="2"/>
        <scheme val="minor"/>
      </rPr>
      <t xml:space="preserve"> refers to the percentage of a given low-income customer's bill that would be  offset in the program.  GMP's program currently covers 25% of participating customers' bill.  You can adjust this amount by entering a decimal in this cell. </t>
    </r>
  </si>
  <si>
    <r>
      <rPr>
        <b/>
        <sz val="11"/>
        <color theme="1"/>
        <rFont val="Calibri"/>
        <family val="2"/>
        <scheme val="minor"/>
      </rPr>
      <t>Data sources</t>
    </r>
    <r>
      <rPr>
        <sz val="11"/>
        <color theme="1"/>
        <rFont val="Calibri"/>
        <family val="2"/>
        <scheme val="minor"/>
      </rPr>
      <t>: data for this model were entered from utility filings submitted on June 10, 2022 in Case No. 20-0203-INV.  The "Percentage at 185% FPL" column was taken from a filing by GMP on that date which estimated the percentage of low-income customers in each utility service territory. We applied this percentage to the number of residential customers as provided by each utility.</t>
    </r>
  </si>
  <si>
    <r>
      <t xml:space="preserve">^Model tab, c5 cell: </t>
    </r>
    <r>
      <rPr>
        <b/>
        <sz val="11"/>
        <color theme="1"/>
        <rFont val="Calibri"/>
        <family val="2"/>
        <scheme val="minor"/>
      </rPr>
      <t>Qualifying customers sensitivity factor</t>
    </r>
    <r>
      <rPr>
        <sz val="11"/>
        <color theme="1"/>
        <rFont val="Calibri"/>
        <family val="2"/>
        <scheme val="minor"/>
      </rPr>
      <t xml:space="preserve"> is an adjustment factor which can be applied to the number of qualifying customers.  This factor adjusts the number upward or downward by a given decimal entered by the user. For example, if you think that there may be 10% more qualifying customers than the model assumes, enter +0.10 into this cell.  If you think there may be 10% fewer qualifying customers than we have estimated here, enter the number -0.10 into this cell. This cell was used to produce the ranges presented in the "Outputs" tab. We adjusted the number of qualifying customers 10% upward to arrive at the higher range, and 10% downward to arrive at the lower range. </t>
    </r>
  </si>
  <si>
    <r>
      <t xml:space="preserve">*Model tab, c3 cell: </t>
    </r>
    <r>
      <rPr>
        <b/>
        <sz val="11"/>
        <color theme="1"/>
        <rFont val="Calibri"/>
        <family val="2"/>
        <scheme val="minor"/>
      </rPr>
      <t>Participation rate</t>
    </r>
    <r>
      <rPr>
        <sz val="11"/>
        <color theme="1"/>
        <rFont val="Calibri"/>
        <family val="2"/>
        <scheme val="minor"/>
      </rPr>
      <t xml:space="preserve"> refers to the percentage of eligible customers who enroll in a program.  Currently, GMP's program receives about 30% enrollment. Industry-best for enrollment is around 45%. It generally takes several years for enrollment to reach this peak. You can adjust the participation rate by entering a decimal in this cell.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</si>
</sst>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  <numFmt numFmtId="166" formatCode="0.0%"/>
    <numFmt numFmtId="167" formatCode="0.00000%"/>
    <numFmt numFmtId="168" formatCode="&quot;$&quot;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Avenir Next LT Pro Demi"/>
      <family val="2"/>
    </font>
    <font>
      <b/>
      <sz val="11"/>
      <color theme="1"/>
      <name val="Avenir Next LT Pro Demi"/>
      <family val="2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32">
    <xf numFmtId="0" fontId="0" fillId="0" borderId="0" xfId="0"/>
    <xf numFmtId="0" fontId="2" fillId="0" borderId="0" xfId="0" applyFont="1"/>
    <xf numFmtId="9" fontId="0" fillId="0" borderId="0" xfId="1" applyFont="1" applyAlignment="1">
      <alignment horizontal="center"/>
    </xf>
    <xf numFmtId="0" fontId="0" fillId="0" borderId="0" xfId="0" applyAlignment="1">
      <alignment horizontal="center"/>
    </xf>
    <xf numFmtId="164" fontId="0" fillId="0" borderId="0" xfId="2" applyNumberFormat="1" applyFont="1"/>
    <xf numFmtId="44" fontId="0" fillId="0" borderId="0" xfId="3" applyFont="1"/>
    <xf numFmtId="165" fontId="0" fillId="0" borderId="0" xfId="3" applyNumberFormat="1" applyFont="1"/>
    <xf numFmtId="164" fontId="0" fillId="0" borderId="0" xfId="0" applyNumberFormat="1"/>
    <xf numFmtId="164" fontId="2" fillId="0" borderId="0" xfId="2" applyNumberFormat="1" applyFont="1"/>
    <xf numFmtId="44" fontId="0" fillId="0" borderId="0" xfId="0" applyNumberFormat="1"/>
    <xf numFmtId="10" fontId="0" fillId="0" borderId="0" xfId="1" applyNumberFormat="1" applyFont="1" applyAlignment="1">
      <alignment horizontal="center"/>
    </xf>
    <xf numFmtId="0" fontId="3" fillId="0" borderId="0" xfId="0" applyFont="1"/>
    <xf numFmtId="0" fontId="4" fillId="0" borderId="0" xfId="0" applyFont="1"/>
    <xf numFmtId="0" fontId="4" fillId="0" borderId="6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9" xfId="0" applyFont="1" applyBorder="1"/>
    <xf numFmtId="0" fontId="5" fillId="0" borderId="11" xfId="0" applyFont="1" applyBorder="1"/>
    <xf numFmtId="164" fontId="4" fillId="0" borderId="12" xfId="2" applyNumberFormat="1" applyFont="1" applyFill="1" applyBorder="1"/>
    <xf numFmtId="164" fontId="4" fillId="0" borderId="0" xfId="2" applyNumberFormat="1" applyFont="1" applyFill="1" applyBorder="1"/>
    <xf numFmtId="164" fontId="4" fillId="0" borderId="11" xfId="2" applyNumberFormat="1" applyFont="1" applyBorder="1"/>
    <xf numFmtId="164" fontId="4" fillId="0" borderId="12" xfId="2" applyNumberFormat="1" applyFont="1" applyBorder="1"/>
    <xf numFmtId="164" fontId="4" fillId="0" borderId="0" xfId="2" applyNumberFormat="1" applyFont="1" applyBorder="1"/>
    <xf numFmtId="164" fontId="4" fillId="0" borderId="11" xfId="2" applyNumberFormat="1" applyFont="1" applyFill="1" applyBorder="1"/>
    <xf numFmtId="165" fontId="4" fillId="0" borderId="12" xfId="3" applyNumberFormat="1" applyFont="1" applyFill="1" applyBorder="1"/>
    <xf numFmtId="165" fontId="4" fillId="0" borderId="0" xfId="3" applyNumberFormat="1" applyFont="1" applyFill="1" applyBorder="1"/>
    <xf numFmtId="165" fontId="4" fillId="0" borderId="11" xfId="3" applyNumberFormat="1" applyFont="1" applyFill="1" applyBorder="1"/>
    <xf numFmtId="164" fontId="4" fillId="0" borderId="0" xfId="2" applyNumberFormat="1" applyFont="1" applyFill="1" applyBorder="1" applyAlignment="1">
      <alignment horizontal="right"/>
    </xf>
    <xf numFmtId="164" fontId="4" fillId="0" borderId="0" xfId="2" applyNumberFormat="1" applyFont="1" applyFill="1" applyBorder="1" applyAlignment="1">
      <alignment horizontal="right" vertical="center"/>
    </xf>
    <xf numFmtId="165" fontId="4" fillId="0" borderId="0" xfId="3" applyNumberFormat="1" applyFont="1" applyFill="1" applyBorder="1" applyAlignment="1">
      <alignment horizontal="right"/>
    </xf>
    <xf numFmtId="0" fontId="5" fillId="0" borderId="13" xfId="0" applyFont="1" applyBorder="1"/>
    <xf numFmtId="164" fontId="4" fillId="0" borderId="14" xfId="2" applyNumberFormat="1" applyFont="1" applyBorder="1"/>
    <xf numFmtId="164" fontId="4" fillId="0" borderId="15" xfId="2" applyNumberFormat="1" applyFont="1" applyBorder="1"/>
    <xf numFmtId="164" fontId="4" fillId="0" borderId="15" xfId="2" applyNumberFormat="1" applyFont="1" applyFill="1" applyBorder="1"/>
    <xf numFmtId="164" fontId="4" fillId="0" borderId="13" xfId="2" applyNumberFormat="1" applyFont="1" applyBorder="1"/>
    <xf numFmtId="164" fontId="4" fillId="0" borderId="13" xfId="2" applyNumberFormat="1" applyFont="1" applyFill="1" applyBorder="1"/>
    <xf numFmtId="165" fontId="4" fillId="0" borderId="14" xfId="3" applyNumberFormat="1" applyFont="1" applyFill="1" applyBorder="1"/>
    <xf numFmtId="165" fontId="4" fillId="0" borderId="15" xfId="3" applyNumberFormat="1" applyFont="1" applyFill="1" applyBorder="1"/>
    <xf numFmtId="165" fontId="4" fillId="0" borderId="13" xfId="3" applyNumberFormat="1" applyFont="1" applyFill="1" applyBorder="1"/>
    <xf numFmtId="164" fontId="5" fillId="0" borderId="14" xfId="2" applyNumberFormat="1" applyFont="1" applyBorder="1"/>
    <xf numFmtId="164" fontId="5" fillId="0" borderId="15" xfId="2" applyNumberFormat="1" applyFont="1" applyBorder="1"/>
    <xf numFmtId="164" fontId="5" fillId="0" borderId="13" xfId="2" applyNumberFormat="1" applyFont="1" applyBorder="1"/>
    <xf numFmtId="0" fontId="5" fillId="0" borderId="0" xfId="0" applyFont="1"/>
    <xf numFmtId="164" fontId="5" fillId="0" borderId="15" xfId="2" applyNumberFormat="1" applyFont="1" applyFill="1" applyBorder="1"/>
    <xf numFmtId="164" fontId="5" fillId="0" borderId="13" xfId="2" applyNumberFormat="1" applyFont="1" applyFill="1" applyBorder="1"/>
    <xf numFmtId="165" fontId="5" fillId="0" borderId="14" xfId="3" applyNumberFormat="1" applyFont="1" applyFill="1" applyBorder="1"/>
    <xf numFmtId="165" fontId="5" fillId="0" borderId="15" xfId="3" applyNumberFormat="1" applyFont="1" applyFill="1" applyBorder="1"/>
    <xf numFmtId="165" fontId="5" fillId="0" borderId="13" xfId="3" applyNumberFormat="1" applyFont="1" applyFill="1" applyBorder="1"/>
    <xf numFmtId="0" fontId="0" fillId="0" borderId="0" xfId="0" applyAlignment="1">
      <alignment vertical="center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Border="1"/>
    <xf numFmtId="164" fontId="4" fillId="0" borderId="19" xfId="2" applyNumberFormat="1" applyFont="1" applyFill="1" applyBorder="1"/>
    <xf numFmtId="164" fontId="4" fillId="0" borderId="20" xfId="2" applyNumberFormat="1" applyFont="1" applyFill="1" applyBorder="1"/>
    <xf numFmtId="164" fontId="4" fillId="0" borderId="6" xfId="2" applyNumberFormat="1" applyFont="1" applyFill="1" applyBorder="1"/>
    <xf numFmtId="165" fontId="4" fillId="0" borderId="0" xfId="3" applyNumberFormat="1" applyFont="1" applyBorder="1"/>
    <xf numFmtId="165" fontId="4" fillId="0" borderId="11" xfId="3" applyNumberFormat="1" applyFont="1" applyBorder="1"/>
    <xf numFmtId="0" fontId="5" fillId="0" borderId="21" xfId="0" applyFont="1" applyBorder="1"/>
    <xf numFmtId="164" fontId="4" fillId="0" borderId="14" xfId="2" applyNumberFormat="1" applyFont="1" applyFill="1" applyBorder="1"/>
    <xf numFmtId="0" fontId="5" fillId="0" borderId="16" xfId="0" applyFont="1" applyBorder="1"/>
    <xf numFmtId="165" fontId="5" fillId="0" borderId="8" xfId="3" applyNumberFormat="1" applyFont="1" applyBorder="1"/>
    <xf numFmtId="165" fontId="5" fillId="0" borderId="9" xfId="3" applyNumberFormat="1" applyFont="1" applyBorder="1"/>
    <xf numFmtId="165" fontId="5" fillId="0" borderId="10" xfId="3" applyNumberFormat="1" applyFont="1" applyBorder="1"/>
    <xf numFmtId="165" fontId="4" fillId="0" borderId="19" xfId="3" applyNumberFormat="1" applyFont="1" applyFill="1" applyBorder="1"/>
    <xf numFmtId="165" fontId="4" fillId="0" borderId="20" xfId="3" applyNumberFormat="1" applyFont="1" applyFill="1" applyBorder="1"/>
    <xf numFmtId="165" fontId="4" fillId="0" borderId="20" xfId="3" applyNumberFormat="1" applyFont="1" applyBorder="1"/>
    <xf numFmtId="165" fontId="4" fillId="0" borderId="6" xfId="3" applyNumberFormat="1" applyFont="1" applyBorder="1"/>
    <xf numFmtId="0" fontId="5" fillId="0" borderId="12" xfId="0" applyFont="1" applyBorder="1"/>
    <xf numFmtId="0" fontId="5" fillId="0" borderId="7" xfId="0" applyFont="1" applyBorder="1"/>
    <xf numFmtId="164" fontId="5" fillId="0" borderId="8" xfId="2" applyNumberFormat="1" applyFont="1" applyBorder="1"/>
    <xf numFmtId="164" fontId="5" fillId="0" borderId="9" xfId="2" applyNumberFormat="1" applyFont="1" applyBorder="1"/>
    <xf numFmtId="164" fontId="5" fillId="0" borderId="10" xfId="2" applyNumberFormat="1" applyFont="1" applyBorder="1"/>
    <xf numFmtId="164" fontId="4" fillId="0" borderId="0" xfId="2" applyNumberFormat="1" applyFont="1" applyFill="1"/>
    <xf numFmtId="164" fontId="4" fillId="0" borderId="0" xfId="2" applyNumberFormat="1" applyFont="1" applyFill="1" applyAlignment="1">
      <alignment horizontal="right"/>
    </xf>
    <xf numFmtId="165" fontId="4" fillId="0" borderId="0" xfId="3" applyNumberFormat="1" applyFont="1" applyFill="1"/>
    <xf numFmtId="0" fontId="5" fillId="0" borderId="10" xfId="0" applyFont="1" applyBorder="1"/>
    <xf numFmtId="0" fontId="4" fillId="0" borderId="0" xfId="0" quotePrefix="1" applyFont="1"/>
    <xf numFmtId="164" fontId="4" fillId="0" borderId="0" xfId="0" applyNumberFormat="1" applyFont="1"/>
    <xf numFmtId="0" fontId="0" fillId="0" borderId="0" xfId="0" applyFont="1"/>
    <xf numFmtId="0" fontId="0" fillId="0" borderId="11" xfId="0" applyFont="1" applyBorder="1"/>
    <xf numFmtId="0" fontId="0" fillId="0" borderId="13" xfId="0" applyFont="1" applyBorder="1"/>
    <xf numFmtId="166" fontId="0" fillId="0" borderId="0" xfId="1" applyNumberFormat="1" applyFont="1"/>
    <xf numFmtId="0" fontId="6" fillId="0" borderId="0" xfId="0" applyFont="1"/>
    <xf numFmtId="0" fontId="0" fillId="0" borderId="15" xfId="0" applyFont="1" applyBorder="1"/>
    <xf numFmtId="164" fontId="0" fillId="0" borderId="15" xfId="2" applyNumberFormat="1" applyFont="1" applyBorder="1"/>
    <xf numFmtId="166" fontId="0" fillId="0" borderId="15" xfId="1" applyNumberFormat="1" applyFont="1" applyBorder="1"/>
    <xf numFmtId="165" fontId="0" fillId="0" borderId="15" xfId="3" applyNumberFormat="1" applyFont="1" applyBorder="1"/>
    <xf numFmtId="10" fontId="0" fillId="0" borderId="15" xfId="1" applyNumberFormat="1" applyFont="1" applyBorder="1" applyAlignment="1">
      <alignment horizontal="center"/>
    </xf>
    <xf numFmtId="44" fontId="0" fillId="0" borderId="15" xfId="0" applyNumberFormat="1" applyFont="1" applyBorder="1"/>
    <xf numFmtId="0" fontId="2" fillId="0" borderId="15" xfId="0" applyFont="1" applyBorder="1"/>
    <xf numFmtId="164" fontId="2" fillId="0" borderId="15" xfId="2" applyNumberFormat="1" applyFont="1" applyBorder="1"/>
    <xf numFmtId="165" fontId="2" fillId="0" borderId="15" xfId="3" applyNumberFormat="1" applyFont="1" applyBorder="1"/>
    <xf numFmtId="0" fontId="3" fillId="0" borderId="15" xfId="0" applyFont="1" applyBorder="1" applyAlignment="1">
      <alignment horizontal="center"/>
    </xf>
    <xf numFmtId="0" fontId="3" fillId="0" borderId="15" xfId="0" applyFont="1" applyBorder="1"/>
    <xf numFmtId="0" fontId="0" fillId="0" borderId="0" xfId="0" applyAlignment="1">
      <alignment wrapText="1"/>
    </xf>
    <xf numFmtId="167" fontId="0" fillId="0" borderId="0" xfId="0" applyNumberFormat="1"/>
    <xf numFmtId="10" fontId="0" fillId="0" borderId="0" xfId="1" applyNumberFormat="1" applyFont="1"/>
    <xf numFmtId="7" fontId="0" fillId="0" borderId="0" xfId="3" applyNumberFormat="1" applyFont="1"/>
    <xf numFmtId="168" fontId="0" fillId="0" borderId="0" xfId="3" applyNumberFormat="1" applyFont="1" applyAlignment="1">
      <alignment horizontal="center"/>
    </xf>
    <xf numFmtId="168" fontId="0" fillId="0" borderId="15" xfId="3" applyNumberFormat="1" applyFont="1" applyBorder="1" applyAlignment="1">
      <alignment horizontal="center"/>
    </xf>
    <xf numFmtId="168" fontId="0" fillId="0" borderId="0" xfId="0" applyNumberFormat="1"/>
    <xf numFmtId="10" fontId="0" fillId="0" borderId="0" xfId="0" applyNumberFormat="1"/>
    <xf numFmtId="9" fontId="0" fillId="0" borderId="0" xfId="0" applyNumberFormat="1"/>
    <xf numFmtId="0" fontId="2" fillId="0" borderId="15" xfId="0" applyFont="1" applyFill="1" applyBorder="1"/>
    <xf numFmtId="3" fontId="0" fillId="0" borderId="0" xfId="0" applyNumberFormat="1" applyFill="1"/>
    <xf numFmtId="164" fontId="0" fillId="0" borderId="0" xfId="2" applyNumberFormat="1" applyFont="1" applyFill="1"/>
    <xf numFmtId="3" fontId="0" fillId="0" borderId="15" xfId="0" applyNumberFormat="1" applyFill="1" applyBorder="1"/>
    <xf numFmtId="0" fontId="0" fillId="0" borderId="0" xfId="0" quotePrefix="1" applyAlignment="1">
      <alignment wrapText="1"/>
    </xf>
    <xf numFmtId="0" fontId="0" fillId="0" borderId="15" xfId="0" applyBorder="1"/>
    <xf numFmtId="0" fontId="0" fillId="0" borderId="6" xfId="0" applyBorder="1"/>
    <xf numFmtId="0" fontId="0" fillId="0" borderId="11" xfId="0" applyBorder="1"/>
    <xf numFmtId="0" fontId="2" fillId="0" borderId="11" xfId="0" applyFont="1" applyBorder="1"/>
    <xf numFmtId="10" fontId="0" fillId="0" borderId="15" xfId="1" applyNumberFormat="1" applyFont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2" borderId="17" xfId="0" applyFont="1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</cellXfs>
  <cellStyles count="4">
    <cellStyle name="Comma" xfId="2" builtinId="3"/>
    <cellStyle name="Currency" xfId="3" builtinId="4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7CC92-062C-4F99-BFA7-177AA549E14B}">
  <dimension ref="B3:B12"/>
  <sheetViews>
    <sheetView tabSelected="1" workbookViewId="0">
      <selection activeCell="E12" sqref="E12"/>
    </sheetView>
  </sheetViews>
  <sheetFormatPr defaultRowHeight="15" x14ac:dyDescent="0.25"/>
  <cols>
    <col min="2" max="2" width="97.7109375" customWidth="1"/>
  </cols>
  <sheetData>
    <row r="3" spans="2:2" ht="45" x14ac:dyDescent="0.25">
      <c r="B3" s="96" t="s">
        <v>67</v>
      </c>
    </row>
    <row r="5" spans="2:2" x14ac:dyDescent="0.25">
      <c r="B5" t="s">
        <v>74</v>
      </c>
    </row>
    <row r="6" spans="2:2" ht="50.45" customHeight="1" x14ac:dyDescent="0.25">
      <c r="B6" s="96" t="s">
        <v>78</v>
      </c>
    </row>
    <row r="7" spans="2:2" ht="18.600000000000001" customHeight="1" x14ac:dyDescent="0.25">
      <c r="B7" s="96"/>
    </row>
    <row r="8" spans="2:2" ht="43.15" customHeight="1" x14ac:dyDescent="0.25">
      <c r="B8" s="109" t="s">
        <v>75</v>
      </c>
    </row>
    <row r="10" spans="2:2" ht="86.45" customHeight="1" x14ac:dyDescent="0.25">
      <c r="B10" s="96" t="s">
        <v>77</v>
      </c>
    </row>
    <row r="12" spans="2:2" ht="60" x14ac:dyDescent="0.25">
      <c r="B12" s="96" t="s">
        <v>76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AAD55-BD2D-48C7-95B3-D4815D4F8289}">
  <dimension ref="A2:M31"/>
  <sheetViews>
    <sheetView zoomScale="110" zoomScaleNormal="110" workbookViewId="0">
      <pane xSplit="2" topLeftCell="C1" activePane="topRight" state="frozen"/>
      <selection activeCell="A5" sqref="A5"/>
      <selection pane="topRight" activeCell="B9" sqref="B9:B27"/>
    </sheetView>
  </sheetViews>
  <sheetFormatPr defaultRowHeight="15" x14ac:dyDescent="0.25"/>
  <cols>
    <col min="2" max="2" width="22.7109375" customWidth="1"/>
    <col min="3" max="3" width="20.7109375" style="4" bestFit="1" customWidth="1"/>
    <col min="4" max="5" width="20.140625" customWidth="1"/>
    <col min="6" max="6" width="21.140625" bestFit="1" customWidth="1"/>
    <col min="7" max="7" width="20.28515625" customWidth="1"/>
    <col min="8" max="8" width="14.42578125" customWidth="1"/>
    <col min="9" max="9" width="21.7109375" bestFit="1" customWidth="1"/>
    <col min="10" max="10" width="11.28515625" style="3" bestFit="1" customWidth="1"/>
    <col min="11" max="11" width="11.7109375" style="3" bestFit="1" customWidth="1"/>
    <col min="12" max="12" width="22.28515625" style="6" bestFit="1" customWidth="1"/>
  </cols>
  <sheetData>
    <row r="2" spans="1:13" x14ac:dyDescent="0.25">
      <c r="A2" s="1" t="s">
        <v>0</v>
      </c>
      <c r="G2" s="97"/>
    </row>
    <row r="3" spans="1:13" x14ac:dyDescent="0.25">
      <c r="B3" t="s">
        <v>68</v>
      </c>
      <c r="C3" s="2">
        <v>0.3</v>
      </c>
      <c r="H3" s="6"/>
      <c r="I3" s="3"/>
      <c r="K3"/>
      <c r="L3"/>
    </row>
    <row r="4" spans="1:13" x14ac:dyDescent="0.25">
      <c r="B4" t="s">
        <v>69</v>
      </c>
      <c r="C4" s="2">
        <v>0.25</v>
      </c>
      <c r="H4" s="6"/>
      <c r="I4" s="3"/>
      <c r="K4"/>
      <c r="L4"/>
    </row>
    <row r="5" spans="1:13" ht="30" x14ac:dyDescent="0.25">
      <c r="B5" s="96" t="s">
        <v>70</v>
      </c>
      <c r="C5" s="2">
        <v>0</v>
      </c>
      <c r="H5" s="6"/>
      <c r="I5" s="3"/>
      <c r="K5"/>
      <c r="L5"/>
    </row>
    <row r="6" spans="1:13" x14ac:dyDescent="0.25">
      <c r="G6" s="3"/>
    </row>
    <row r="7" spans="1:13" x14ac:dyDescent="0.25">
      <c r="A7" s="1" t="s">
        <v>1</v>
      </c>
    </row>
    <row r="8" spans="1:13" s="91" customFormat="1" x14ac:dyDescent="0.25">
      <c r="B8" s="91" t="s">
        <v>2</v>
      </c>
      <c r="C8" s="92" t="s">
        <v>19</v>
      </c>
      <c r="D8" s="91" t="s">
        <v>13</v>
      </c>
      <c r="E8" s="91" t="s">
        <v>16</v>
      </c>
      <c r="F8" s="91" t="s">
        <v>59</v>
      </c>
      <c r="G8" s="105" t="s">
        <v>9</v>
      </c>
      <c r="H8" s="93" t="s">
        <v>15</v>
      </c>
      <c r="I8" s="91" t="s">
        <v>21</v>
      </c>
      <c r="J8" s="94" t="s">
        <v>63</v>
      </c>
      <c r="K8" s="94" t="s">
        <v>64</v>
      </c>
      <c r="L8" s="95" t="s">
        <v>18</v>
      </c>
      <c r="M8" s="95"/>
    </row>
    <row r="9" spans="1:13" x14ac:dyDescent="0.25">
      <c r="B9" t="s">
        <v>3</v>
      </c>
      <c r="C9" s="4">
        <f>'Raw data'!H7</f>
        <v>266400.8</v>
      </c>
      <c r="D9" s="4">
        <f>'Raw data'!H8</f>
        <v>222678</v>
      </c>
      <c r="E9" s="4">
        <f>'Raw data'!H9</f>
        <v>284254061.80000001</v>
      </c>
      <c r="F9" s="83">
        <v>0.221</v>
      </c>
      <c r="G9" s="106">
        <f>(D9*F9)+((F9*$C$5)*D9)</f>
        <v>49211.838000000003</v>
      </c>
      <c r="H9" s="6">
        <f>(E9/D9)/12</f>
        <v>106.37709375570705</v>
      </c>
      <c r="I9" s="6">
        <f>(G9*$C$3)*(H9*$C$4*12)</f>
        <v>4711511.0743350005</v>
      </c>
      <c r="J9" s="100">
        <f>(I9/C9)/12</f>
        <v>1.4738166058857558</v>
      </c>
      <c r="K9" s="10">
        <f t="shared" ref="K9:K27" si="0">J9/H9</f>
        <v>1.3854642516088542E-2</v>
      </c>
      <c r="L9" s="9">
        <f t="shared" ref="L9:L25" si="1">-(H9+J9)*0.25</f>
        <v>-26.962727590398202</v>
      </c>
    </row>
    <row r="10" spans="1:13" x14ac:dyDescent="0.25">
      <c r="B10" t="s">
        <v>4</v>
      </c>
      <c r="C10" s="4">
        <f>'Raw data'!H11</f>
        <v>39629.599999999999</v>
      </c>
      <c r="D10" s="4">
        <f>'Raw data'!H12</f>
        <v>34916</v>
      </c>
      <c r="E10" s="4">
        <f>'Raw data'!H13</f>
        <v>43666638.600000001</v>
      </c>
      <c r="F10" s="83">
        <v>0.217</v>
      </c>
      <c r="G10" s="106">
        <f t="shared" ref="G10:G25" si="2">(D10*F10)+((F10*$C$5)*D10)</f>
        <v>7576.7719999999999</v>
      </c>
      <c r="H10" s="6">
        <f t="shared" ref="H10:H27" si="3">(E10/D10)/12</f>
        <v>104.21831108947187</v>
      </c>
      <c r="I10" s="6">
        <f t="shared" ref="I10:I11" si="4">(G10*$C$3)*(H10*$C$4*12)</f>
        <v>710674.54321499995</v>
      </c>
      <c r="J10" s="100">
        <f t="shared" ref="J10:J27" si="5">(I10/C10)/12</f>
        <v>1.4944102035158062</v>
      </c>
      <c r="K10" s="10">
        <f>J10/H10</f>
        <v>1.4339228758301875E-2</v>
      </c>
      <c r="L10" s="9">
        <f t="shared" si="1"/>
        <v>-26.42818032324692</v>
      </c>
    </row>
    <row r="11" spans="1:13" x14ac:dyDescent="0.25">
      <c r="B11" t="s">
        <v>5</v>
      </c>
      <c r="C11" s="4">
        <f>'Raw data'!H15</f>
        <v>11538</v>
      </c>
      <c r="D11" s="4">
        <f>'Raw data'!H16</f>
        <v>10962.4</v>
      </c>
      <c r="E11" s="4">
        <f>'Raw data'!H17</f>
        <v>14012083.6</v>
      </c>
      <c r="F11" s="83">
        <v>0.23599999999999999</v>
      </c>
      <c r="G11" s="106">
        <f t="shared" si="2"/>
        <v>2587.1263999999996</v>
      </c>
      <c r="H11" s="6">
        <f t="shared" si="3"/>
        <v>106.5162403609915</v>
      </c>
      <c r="I11" s="6">
        <f t="shared" si="4"/>
        <v>248013.87971999994</v>
      </c>
      <c r="J11" s="100">
        <f t="shared" si="5"/>
        <v>1.7912830048535271</v>
      </c>
      <c r="K11" s="10">
        <f t="shared" si="0"/>
        <v>1.6816994279771187E-2</v>
      </c>
      <c r="L11" s="9">
        <f t="shared" si="1"/>
        <v>-27.076880841461257</v>
      </c>
    </row>
    <row r="12" spans="1:13" x14ac:dyDescent="0.25">
      <c r="B12" t="s">
        <v>6</v>
      </c>
      <c r="C12" s="4">
        <f>'Raw data'!H3</f>
        <v>21152.6</v>
      </c>
      <c r="D12" s="4">
        <f>'Raw data'!H4</f>
        <v>17202.2</v>
      </c>
      <c r="E12" s="4">
        <f>'Raw data'!H5</f>
        <v>13426942.800000001</v>
      </c>
      <c r="F12" s="83">
        <v>0.39500000000000002</v>
      </c>
      <c r="G12" s="106">
        <f t="shared" si="2"/>
        <v>6794.8690000000006</v>
      </c>
      <c r="H12" s="6">
        <f t="shared" si="3"/>
        <v>65.044697771215311</v>
      </c>
      <c r="I12" s="6">
        <f>(G12*$C$3)*(H12*$C$4*12)</f>
        <v>397773.18045000004</v>
      </c>
      <c r="J12" s="100">
        <f t="shared" si="5"/>
        <v>1.5670775714332992</v>
      </c>
      <c r="K12" s="10">
        <f t="shared" si="0"/>
        <v>2.4092318438395283E-2</v>
      </c>
      <c r="L12" s="9">
        <f t="shared" si="1"/>
        <v>-16.652943835662153</v>
      </c>
    </row>
    <row r="13" spans="1:13" x14ac:dyDescent="0.25">
      <c r="B13" s="80" t="s">
        <v>7</v>
      </c>
      <c r="C13" s="4">
        <f>'Raw data'!H19</f>
        <v>4261.2</v>
      </c>
      <c r="D13" s="4">
        <f>'Raw data'!H20</f>
        <v>3453.4</v>
      </c>
      <c r="E13" s="4">
        <f>'Raw data'!H21</f>
        <v>4495620</v>
      </c>
      <c r="F13" s="83">
        <v>0.25600000000000001</v>
      </c>
      <c r="G13" s="106">
        <f t="shared" si="2"/>
        <v>884.07040000000006</v>
      </c>
      <c r="H13" s="6">
        <f t="shared" si="3"/>
        <v>108.48294434470377</v>
      </c>
      <c r="I13" s="6">
        <f t="shared" ref="I13:I25" si="6">(G13*$C$3)*(H13*$C$4*12)</f>
        <v>86315.903999999995</v>
      </c>
      <c r="J13" s="100">
        <f t="shared" si="5"/>
        <v>1.6880202759785974</v>
      </c>
      <c r="K13" s="10">
        <f t="shared" si="0"/>
        <v>1.5560236553083638E-2</v>
      </c>
      <c r="L13" s="9">
        <f t="shared" si="1"/>
        <v>-27.542741155170592</v>
      </c>
    </row>
    <row r="14" spans="1:13" x14ac:dyDescent="0.25">
      <c r="B14" s="80" t="s">
        <v>8</v>
      </c>
      <c r="C14" s="4">
        <f>'Raw data'!H23</f>
        <v>1354.4</v>
      </c>
      <c r="D14" s="4">
        <f>'Raw data'!H24</f>
        <v>1196.5999999999999</v>
      </c>
      <c r="E14" s="4">
        <f>'Raw data'!H25</f>
        <v>1474153.6</v>
      </c>
      <c r="F14" s="83">
        <v>0.20599999999999999</v>
      </c>
      <c r="G14" s="106">
        <f t="shared" si="2"/>
        <v>246.49959999999996</v>
      </c>
      <c r="H14" s="6">
        <f t="shared" si="3"/>
        <v>102.662655301131</v>
      </c>
      <c r="I14" s="6">
        <f t="shared" si="6"/>
        <v>22775.673119999996</v>
      </c>
      <c r="J14" s="100">
        <f t="shared" si="5"/>
        <v>1.4013384229178969</v>
      </c>
      <c r="K14" s="10">
        <f t="shared" si="0"/>
        <v>1.3649933549911395E-2</v>
      </c>
      <c r="L14" s="9">
        <f t="shared" si="1"/>
        <v>-26.015998431012225</v>
      </c>
    </row>
    <row r="15" spans="1:13" x14ac:dyDescent="0.25">
      <c r="B15" s="81" t="s">
        <v>44</v>
      </c>
      <c r="C15" s="4">
        <f>'VPPSA data'!I96</f>
        <v>2177.25</v>
      </c>
      <c r="D15" s="4">
        <f>'VPPSA data'!D96</f>
        <v>1959.55</v>
      </c>
      <c r="E15" s="4">
        <f>'VPPSA data'!R96</f>
        <v>2061452.3693142857</v>
      </c>
      <c r="F15" s="83">
        <v>0.34799999999999998</v>
      </c>
      <c r="G15" s="106">
        <f t="shared" si="2"/>
        <v>681.9233999999999</v>
      </c>
      <c r="H15" s="6">
        <f t="shared" si="3"/>
        <v>87.666912016971821</v>
      </c>
      <c r="I15" s="6">
        <f t="shared" si="6"/>
        <v>53803.906839102849</v>
      </c>
      <c r="J15" s="100">
        <f t="shared" si="5"/>
        <v>2.0593220361734166</v>
      </c>
      <c r="K15" s="10">
        <f t="shared" si="0"/>
        <v>2.3490299689975888E-2</v>
      </c>
      <c r="L15" s="9">
        <f t="shared" si="1"/>
        <v>-22.431558513286308</v>
      </c>
    </row>
    <row r="16" spans="1:13" x14ac:dyDescent="0.25">
      <c r="B16" s="81" t="s">
        <v>45</v>
      </c>
      <c r="C16" s="4">
        <f>'VPPSA data'!I97</f>
        <v>1768.3333333333333</v>
      </c>
      <c r="D16" s="4">
        <f>'VPPSA data'!D97</f>
        <v>1544.4166666666665</v>
      </c>
      <c r="E16" s="4">
        <f>'VPPSA data'!R97</f>
        <v>2283009.3766000001</v>
      </c>
      <c r="F16" s="83">
        <v>0.24</v>
      </c>
      <c r="G16" s="106">
        <f t="shared" si="2"/>
        <v>370.65999999999997</v>
      </c>
      <c r="H16" s="6">
        <f t="shared" si="3"/>
        <v>123.18617474774727</v>
      </c>
      <c r="I16" s="6">
        <f t="shared" si="6"/>
        <v>41094.168778800005</v>
      </c>
      <c r="J16" s="100">
        <f t="shared" si="5"/>
        <v>1.9365772280301605</v>
      </c>
      <c r="K16" s="10">
        <f t="shared" si="0"/>
        <v>1.5720735155513667E-2</v>
      </c>
      <c r="L16" s="9">
        <f t="shared" si="1"/>
        <v>-31.280687993944358</v>
      </c>
    </row>
    <row r="17" spans="1:12" x14ac:dyDescent="0.25">
      <c r="B17" s="81" t="s">
        <v>46</v>
      </c>
      <c r="C17" s="4">
        <f>'VPPSA data'!I98</f>
        <v>4490.3999999999996</v>
      </c>
      <c r="D17" s="4">
        <f>'VPPSA data'!D98</f>
        <v>4055.9</v>
      </c>
      <c r="E17" s="4">
        <f>'VPPSA data'!R98</f>
        <v>4159662.4219999998</v>
      </c>
      <c r="F17" s="83">
        <v>0.20599999999999999</v>
      </c>
      <c r="G17" s="106">
        <f t="shared" si="2"/>
        <v>835.5154</v>
      </c>
      <c r="H17" s="6">
        <f t="shared" si="3"/>
        <v>85.465256827502301</v>
      </c>
      <c r="I17" s="6">
        <f t="shared" si="6"/>
        <v>64266.784419899988</v>
      </c>
      <c r="J17" s="100">
        <f t="shared" si="5"/>
        <v>1.1926700000723764</v>
      </c>
      <c r="K17" s="10">
        <f t="shared" si="0"/>
        <v>1.3955027391769109E-2</v>
      </c>
      <c r="L17" s="9">
        <f t="shared" si="1"/>
        <v>-21.664481706893671</v>
      </c>
    </row>
    <row r="18" spans="1:12" x14ac:dyDescent="0.25">
      <c r="B18" s="81" t="s">
        <v>47</v>
      </c>
      <c r="C18" s="4">
        <f>'VPPSA data'!I99</f>
        <v>716.39999999999986</v>
      </c>
      <c r="D18" s="4">
        <f>'VPPSA data'!D99</f>
        <v>660.13333333333333</v>
      </c>
      <c r="E18" s="4">
        <f>'VPPSA data'!R99</f>
        <v>607185.05000000005</v>
      </c>
      <c r="F18" s="83">
        <v>0.26800000000000002</v>
      </c>
      <c r="G18" s="106">
        <f t="shared" si="2"/>
        <v>176.91573333333335</v>
      </c>
      <c r="H18" s="6">
        <f t="shared" si="3"/>
        <v>76.649294334477887</v>
      </c>
      <c r="I18" s="6">
        <f t="shared" si="6"/>
        <v>12204.419505000003</v>
      </c>
      <c r="J18" s="100">
        <f t="shared" si="5"/>
        <v>1.4196467877582364</v>
      </c>
      <c r="K18" s="10">
        <f t="shared" si="0"/>
        <v>1.8521328866555005E-2</v>
      </c>
      <c r="L18" s="9">
        <f t="shared" si="1"/>
        <v>-19.517235280559031</v>
      </c>
    </row>
    <row r="19" spans="1:12" x14ac:dyDescent="0.25">
      <c r="B19" s="81" t="s">
        <v>48</v>
      </c>
      <c r="C19" s="4">
        <f>'VPPSA data'!I100</f>
        <v>977.83333333333326</v>
      </c>
      <c r="D19" s="4">
        <f>'VPPSA data'!D100</f>
        <v>805.26666666666665</v>
      </c>
      <c r="E19" s="4">
        <f>'VPPSA data'!R100</f>
        <v>907410.89399999997</v>
      </c>
      <c r="F19" s="83">
        <v>0.36699999999999999</v>
      </c>
      <c r="G19" s="106">
        <f t="shared" si="2"/>
        <v>295.53286666666668</v>
      </c>
      <c r="H19" s="6">
        <f t="shared" si="3"/>
        <v>93.903768316913656</v>
      </c>
      <c r="I19" s="6">
        <f t="shared" si="6"/>
        <v>24976.484857349998</v>
      </c>
      <c r="J19" s="100">
        <f t="shared" si="5"/>
        <v>2.1285567459817627</v>
      </c>
      <c r="K19" s="10">
        <f t="shared" si="0"/>
        <v>2.2667426282597582E-2</v>
      </c>
      <c r="L19" s="9">
        <f t="shared" si="1"/>
        <v>-24.008081265723856</v>
      </c>
    </row>
    <row r="20" spans="1:12" x14ac:dyDescent="0.25">
      <c r="B20" s="81" t="s">
        <v>49</v>
      </c>
      <c r="C20" s="4">
        <f>'VPPSA data'!I101</f>
        <v>3772.8</v>
      </c>
      <c r="D20" s="4">
        <f>'VPPSA data'!D101</f>
        <v>3045.8</v>
      </c>
      <c r="E20" s="4">
        <f>'VPPSA data'!R101</f>
        <v>2291905.6</v>
      </c>
      <c r="F20" s="83">
        <v>0.27600000000000002</v>
      </c>
      <c r="G20" s="106">
        <f t="shared" si="2"/>
        <v>840.64080000000013</v>
      </c>
      <c r="H20" s="6">
        <f t="shared" si="3"/>
        <v>62.706721824589046</v>
      </c>
      <c r="I20" s="6">
        <f t="shared" si="6"/>
        <v>47442.445920000006</v>
      </c>
      <c r="J20" s="100">
        <f t="shared" si="5"/>
        <v>1.0479053117048347</v>
      </c>
      <c r="K20" s="10">
        <f t="shared" si="0"/>
        <v>1.6711211832061073E-2</v>
      </c>
      <c r="L20" s="9">
        <f t="shared" si="1"/>
        <v>-15.938656784073471</v>
      </c>
    </row>
    <row r="21" spans="1:12" x14ac:dyDescent="0.25">
      <c r="B21" s="81" t="s">
        <v>51</v>
      </c>
      <c r="C21" s="4">
        <f>'VPPSA data'!I102</f>
        <v>5785.6333333333332</v>
      </c>
      <c r="D21" s="4">
        <f>'VPPSA data'!D102</f>
        <v>4854.1000000000004</v>
      </c>
      <c r="E21" s="4">
        <f>'VPPSA data'!R102</f>
        <v>4894476.5281906147</v>
      </c>
      <c r="F21" s="83">
        <v>0.29899999999999999</v>
      </c>
      <c r="G21" s="106">
        <f t="shared" si="2"/>
        <v>1451.3759</v>
      </c>
      <c r="H21" s="6">
        <f t="shared" si="3"/>
        <v>84.026502135490517</v>
      </c>
      <c r="I21" s="6">
        <f t="shared" si="6"/>
        <v>109758.63614467451</v>
      </c>
      <c r="J21" s="100">
        <f t="shared" si="5"/>
        <v>1.5809078254854629</v>
      </c>
      <c r="K21" s="10">
        <f t="shared" si="0"/>
        <v>1.8814395283720021E-2</v>
      </c>
      <c r="L21" s="9">
        <f t="shared" si="1"/>
        <v>-21.401852490243996</v>
      </c>
    </row>
    <row r="22" spans="1:12" x14ac:dyDescent="0.25">
      <c r="B22" s="81" t="s">
        <v>52</v>
      </c>
      <c r="C22" s="4">
        <f>'VPPSA data'!I103</f>
        <v>4202.2</v>
      </c>
      <c r="D22" s="4">
        <f>'VPPSA data'!D103</f>
        <v>3544.8</v>
      </c>
      <c r="E22" s="4">
        <f>'VPPSA data'!R103</f>
        <v>3437523</v>
      </c>
      <c r="F22" s="83">
        <v>0.24</v>
      </c>
      <c r="G22" s="106">
        <f t="shared" si="2"/>
        <v>850.75200000000007</v>
      </c>
      <c r="H22" s="6">
        <f t="shared" si="3"/>
        <v>80.811399796885567</v>
      </c>
      <c r="I22" s="6">
        <f t="shared" si="6"/>
        <v>61875.413999999997</v>
      </c>
      <c r="J22" s="100">
        <f t="shared" si="5"/>
        <v>1.2270440483556233</v>
      </c>
      <c r="K22" s="10">
        <f t="shared" si="0"/>
        <v>1.5184046451858554E-2</v>
      </c>
      <c r="L22" s="9">
        <f t="shared" si="1"/>
        <v>-20.509610961310297</v>
      </c>
    </row>
    <row r="23" spans="1:12" x14ac:dyDescent="0.25">
      <c r="B23" s="81" t="s">
        <v>53</v>
      </c>
      <c r="C23" s="4">
        <f>'VPPSA data'!I104</f>
        <v>1859.7333333333331</v>
      </c>
      <c r="D23" s="4">
        <f>'VPPSA data'!D104</f>
        <v>1615.0166666666667</v>
      </c>
      <c r="E23" s="4">
        <f>'VPPSA data'!R104</f>
        <v>1421000.5020000001</v>
      </c>
      <c r="F23" s="83">
        <v>0.247</v>
      </c>
      <c r="G23" s="106">
        <f t="shared" si="2"/>
        <v>398.90911666666665</v>
      </c>
      <c r="H23" s="6">
        <f t="shared" si="3"/>
        <v>73.32228263898206</v>
      </c>
      <c r="I23" s="6">
        <f t="shared" si="6"/>
        <v>26324.03429955</v>
      </c>
      <c r="J23" s="100">
        <f t="shared" si="5"/>
        <v>1.1795613304573238</v>
      </c>
      <c r="K23" s="10">
        <f t="shared" si="0"/>
        <v>1.6087351457198164E-2</v>
      </c>
      <c r="L23" s="9">
        <f t="shared" si="1"/>
        <v>-18.625460992359844</v>
      </c>
    </row>
    <row r="24" spans="1:12" x14ac:dyDescent="0.25">
      <c r="B24" s="81" t="s">
        <v>54</v>
      </c>
      <c r="C24" s="4">
        <f>'VPPSA data'!I105</f>
        <v>668.28333333333342</v>
      </c>
      <c r="D24" s="4">
        <f>'VPPSA data'!D105</f>
        <v>579.13333333333344</v>
      </c>
      <c r="E24" s="4">
        <f>'VPPSA data'!R105</f>
        <v>521194.908</v>
      </c>
      <c r="F24" s="83">
        <v>0.39800000000000002</v>
      </c>
      <c r="G24" s="106">
        <f t="shared" si="2"/>
        <v>230.49506666666673</v>
      </c>
      <c r="H24" s="6">
        <f t="shared" si="3"/>
        <v>74.996389432485316</v>
      </c>
      <c r="I24" s="6">
        <f t="shared" si="6"/>
        <v>15557.668003800001</v>
      </c>
      <c r="J24" s="100">
        <f t="shared" si="5"/>
        <v>1.9400039907973163</v>
      </c>
      <c r="K24" s="10">
        <f t="shared" si="0"/>
        <v>2.5867965184427764E-2</v>
      </c>
      <c r="L24" s="9">
        <f t="shared" si="1"/>
        <v>-19.23409835582066</v>
      </c>
    </row>
    <row r="25" spans="1:12" s="85" customFormat="1" x14ac:dyDescent="0.25">
      <c r="B25" s="82" t="s">
        <v>55</v>
      </c>
      <c r="C25" s="86">
        <f>'VPPSA data'!I106</f>
        <v>3741.2</v>
      </c>
      <c r="D25" s="86">
        <f>'VPPSA data'!D106</f>
        <v>3295.6</v>
      </c>
      <c r="E25" s="86">
        <f>'VPPSA data'!R106</f>
        <v>3466814.4</v>
      </c>
      <c r="F25" s="87">
        <v>0.22900000000000001</v>
      </c>
      <c r="G25" s="108">
        <f t="shared" si="2"/>
        <v>754.69240000000002</v>
      </c>
      <c r="H25" s="88">
        <f t="shared" si="3"/>
        <v>87.662701784197111</v>
      </c>
      <c r="I25" s="88">
        <f t="shared" si="6"/>
        <v>59542.537320000003</v>
      </c>
      <c r="J25" s="101">
        <f t="shared" si="5"/>
        <v>1.3262798326740086</v>
      </c>
      <c r="K25" s="89">
        <f t="shared" si="0"/>
        <v>1.5129351544958839E-2</v>
      </c>
      <c r="L25" s="90">
        <f t="shared" si="1"/>
        <v>-22.247245404217779</v>
      </c>
    </row>
    <row r="26" spans="1:12" x14ac:dyDescent="0.25">
      <c r="B26" s="1" t="s">
        <v>60</v>
      </c>
      <c r="C26" s="4">
        <f>SUM(C9:C25)</f>
        <v>374496.66666666669</v>
      </c>
      <c r="D26" s="4">
        <f>SUM(D9:D25)</f>
        <v>316368.31666666671</v>
      </c>
      <c r="E26" s="4">
        <f>SUM(E9:E25)</f>
        <v>387381135.45010501</v>
      </c>
      <c r="F26" s="83"/>
      <c r="G26" s="107">
        <f>SUM(G9:G25)</f>
        <v>74188.588083333307</v>
      </c>
      <c r="H26" s="6">
        <f t="shared" si="3"/>
        <v>102.03854048229992</v>
      </c>
      <c r="I26" s="6">
        <f>(G26*$C$3)*(H26*$C$4*12)</f>
        <v>6813085.7236192906</v>
      </c>
      <c r="J26" s="100">
        <f t="shared" si="5"/>
        <v>1.5160539309694101</v>
      </c>
      <c r="K26" s="10">
        <f>J26/H26</f>
        <v>1.485765989795191E-2</v>
      </c>
      <c r="L26" s="9">
        <f>-(H26+J26)*0.25</f>
        <v>-25.888648603317332</v>
      </c>
    </row>
    <row r="27" spans="1:12" x14ac:dyDescent="0.25">
      <c r="B27" s="1" t="s">
        <v>20</v>
      </c>
      <c r="C27" s="4">
        <f>SUM(C10:C25)</f>
        <v>108095.86666666664</v>
      </c>
      <c r="D27" s="4">
        <f>SUM(D10:D25)</f>
        <v>93690.31666666668</v>
      </c>
      <c r="E27" s="4">
        <f>SUM(E10:E25)</f>
        <v>103127073.6501049</v>
      </c>
      <c r="F27" s="83"/>
      <c r="G27" s="107">
        <f>SUM(G10:G25)</f>
        <v>24976.750083333336</v>
      </c>
      <c r="H27" s="6">
        <f t="shared" si="3"/>
        <v>91.726905297492394</v>
      </c>
      <c r="I27" s="6">
        <f>(G27*$C$3)*(H27*$C$4*12)</f>
        <v>2061935.9905797469</v>
      </c>
      <c r="J27" s="100">
        <f t="shared" si="5"/>
        <v>1.5895889871982058</v>
      </c>
      <c r="K27" s="10">
        <f t="shared" si="0"/>
        <v>1.7329582656722003E-2</v>
      </c>
      <c r="L27" s="9">
        <f>-(H27+J27)*0.25</f>
        <v>-23.329123571172651</v>
      </c>
    </row>
    <row r="28" spans="1:12" x14ac:dyDescent="0.25">
      <c r="D28" s="7"/>
      <c r="I28" s="6"/>
    </row>
    <row r="29" spans="1:12" x14ac:dyDescent="0.25">
      <c r="D29" s="5"/>
      <c r="G29" s="7"/>
    </row>
    <row r="30" spans="1:12" x14ac:dyDescent="0.25">
      <c r="A30" s="4"/>
    </row>
    <row r="31" spans="1:12" x14ac:dyDescent="0.25">
      <c r="A31" s="4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97DBF-CD2C-43CC-A792-14CAB3AD20ED}">
  <dimension ref="A2:H29"/>
  <sheetViews>
    <sheetView workbookViewId="0">
      <pane xSplit="2" topLeftCell="C1" activePane="topRight" state="frozen"/>
      <selection pane="topRight" activeCell="L24" sqref="L24"/>
    </sheetView>
  </sheetViews>
  <sheetFormatPr defaultRowHeight="15" x14ac:dyDescent="0.25"/>
  <cols>
    <col min="1" max="1" width="14.7109375" bestFit="1" customWidth="1"/>
    <col min="2" max="2" width="14.140625" bestFit="1" customWidth="1"/>
    <col min="3" max="8" width="16.7109375" bestFit="1" customWidth="1"/>
  </cols>
  <sheetData>
    <row r="2" spans="1:8" s="11" customFormat="1" x14ac:dyDescent="0.25">
      <c r="A2" s="11" t="s">
        <v>2</v>
      </c>
      <c r="B2" s="11" t="s">
        <v>10</v>
      </c>
      <c r="C2" s="11">
        <v>2017</v>
      </c>
      <c r="D2" s="11">
        <v>2018</v>
      </c>
      <c r="E2" s="11">
        <v>2019</v>
      </c>
      <c r="F2" s="11">
        <v>2020</v>
      </c>
      <c r="G2" s="11">
        <v>2021</v>
      </c>
      <c r="H2" s="11" t="s">
        <v>12</v>
      </c>
    </row>
    <row r="3" spans="1:8" x14ac:dyDescent="0.25">
      <c r="A3" s="1" t="s">
        <v>6</v>
      </c>
      <c r="B3" t="s">
        <v>11</v>
      </c>
      <c r="C3" s="4">
        <v>20834</v>
      </c>
      <c r="D3" s="4">
        <v>21005</v>
      </c>
      <c r="E3" s="4">
        <v>21187</v>
      </c>
      <c r="F3" s="4">
        <v>21373</v>
      </c>
      <c r="G3" s="4">
        <v>21364</v>
      </c>
      <c r="H3" s="4">
        <f t="shared" ref="H3:H8" si="0">AVERAGE(C3:G3)</f>
        <v>21152.6</v>
      </c>
    </row>
    <row r="4" spans="1:8" s="4" customFormat="1" x14ac:dyDescent="0.25">
      <c r="B4" s="4" t="s">
        <v>14</v>
      </c>
      <c r="C4" s="4">
        <v>16957</v>
      </c>
      <c r="D4" s="4">
        <v>17096</v>
      </c>
      <c r="E4" s="4">
        <v>17260</v>
      </c>
      <c r="F4" s="4">
        <v>17348</v>
      </c>
      <c r="G4" s="4">
        <v>17350</v>
      </c>
      <c r="H4" s="4">
        <f t="shared" si="0"/>
        <v>17202.2</v>
      </c>
    </row>
    <row r="5" spans="1:8" s="6" customFormat="1" x14ac:dyDescent="0.25">
      <c r="B5" s="6" t="s">
        <v>17</v>
      </c>
      <c r="C5" s="6">
        <v>12588803</v>
      </c>
      <c r="D5" s="6">
        <v>13357732</v>
      </c>
      <c r="E5" s="6">
        <v>12947145</v>
      </c>
      <c r="F5" s="6">
        <v>13888394</v>
      </c>
      <c r="G5" s="6">
        <v>14352640</v>
      </c>
      <c r="H5" s="6">
        <f t="shared" si="0"/>
        <v>13426942.800000001</v>
      </c>
    </row>
    <row r="6" spans="1:8" s="6" customFormat="1" x14ac:dyDescent="0.25">
      <c r="B6" s="6" t="s">
        <v>62</v>
      </c>
      <c r="C6" s="6">
        <v>46346808</v>
      </c>
      <c r="D6" s="6">
        <v>46775404</v>
      </c>
      <c r="E6" s="6">
        <v>45171368</v>
      </c>
      <c r="F6" s="6">
        <v>43419223</v>
      </c>
      <c r="G6" s="6">
        <v>45688787</v>
      </c>
      <c r="H6" s="6">
        <f t="shared" si="0"/>
        <v>45480318</v>
      </c>
    </row>
    <row r="7" spans="1:8" s="4" customFormat="1" x14ac:dyDescent="0.25">
      <c r="A7" s="8" t="s">
        <v>3</v>
      </c>
      <c r="B7" s="4" t="s">
        <v>11</v>
      </c>
      <c r="C7" s="4">
        <f>282689-19161</f>
        <v>263528</v>
      </c>
      <c r="D7" s="4">
        <f>283611-18804</f>
        <v>264807</v>
      </c>
      <c r="E7" s="4">
        <f>284628-18429</f>
        <v>266199</v>
      </c>
      <c r="F7" s="4">
        <f>285749-18146</f>
        <v>267603</v>
      </c>
      <c r="G7" s="4">
        <f>288160-18293</f>
        <v>269867</v>
      </c>
      <c r="H7" s="4">
        <f t="shared" si="0"/>
        <v>266400.8</v>
      </c>
    </row>
    <row r="8" spans="1:8" s="4" customFormat="1" x14ac:dyDescent="0.25">
      <c r="B8" s="4" t="s">
        <v>14</v>
      </c>
      <c r="C8" s="4">
        <f>237686-16301</f>
        <v>221385</v>
      </c>
      <c r="D8" s="4">
        <f>237933-15952</f>
        <v>221981</v>
      </c>
      <c r="E8" s="4">
        <f>238299-15551</f>
        <v>222748</v>
      </c>
      <c r="F8" s="4">
        <f>237956-15199</f>
        <v>222757</v>
      </c>
      <c r="G8" s="4">
        <f>239870-15351</f>
        <v>224519</v>
      </c>
      <c r="H8" s="4">
        <f t="shared" si="0"/>
        <v>222678</v>
      </c>
    </row>
    <row r="9" spans="1:8" s="6" customFormat="1" x14ac:dyDescent="0.25">
      <c r="B9" s="6" t="s">
        <v>17</v>
      </c>
      <c r="C9" s="6">
        <v>251352220</v>
      </c>
      <c r="D9" s="6">
        <v>277891882</v>
      </c>
      <c r="E9" s="6">
        <v>285242765</v>
      </c>
      <c r="F9" s="6">
        <v>300643523</v>
      </c>
      <c r="G9" s="6">
        <v>306139919</v>
      </c>
      <c r="H9" s="6">
        <f t="shared" ref="H9:H26" si="1">AVERAGE(C9:G9)</f>
        <v>284254061.80000001</v>
      </c>
    </row>
    <row r="10" spans="1:8" s="6" customFormat="1" x14ac:dyDescent="0.25">
      <c r="B10" s="6" t="s">
        <v>62</v>
      </c>
      <c r="C10" s="6">
        <v>585318967</v>
      </c>
      <c r="D10" s="6">
        <v>634468674</v>
      </c>
      <c r="E10" s="6">
        <v>650406503</v>
      </c>
      <c r="F10" s="6">
        <v>652709234</v>
      </c>
      <c r="G10" s="6">
        <v>670105149</v>
      </c>
      <c r="H10" s="6">
        <f t="shared" si="1"/>
        <v>638601705.39999998</v>
      </c>
    </row>
    <row r="11" spans="1:8" x14ac:dyDescent="0.25">
      <c r="A11" s="1" t="s">
        <v>4</v>
      </c>
      <c r="B11" t="s">
        <v>11</v>
      </c>
      <c r="C11" s="4">
        <v>39078</v>
      </c>
      <c r="D11" s="4">
        <v>39345</v>
      </c>
      <c r="E11" s="4">
        <v>39582</v>
      </c>
      <c r="F11" s="4">
        <v>39889</v>
      </c>
      <c r="G11" s="4">
        <v>40254</v>
      </c>
      <c r="H11" s="4">
        <f>AVERAGE(C11:G11)</f>
        <v>39629.599999999999</v>
      </c>
    </row>
    <row r="12" spans="1:8" x14ac:dyDescent="0.25">
      <c r="B12" t="s">
        <v>14</v>
      </c>
      <c r="C12" s="4">
        <v>34519</v>
      </c>
      <c r="D12" s="4">
        <v>34706</v>
      </c>
      <c r="E12" s="4">
        <v>34880</v>
      </c>
      <c r="F12" s="4">
        <v>35104</v>
      </c>
      <c r="G12" s="4">
        <v>35371</v>
      </c>
      <c r="H12" s="4">
        <f t="shared" si="1"/>
        <v>34916</v>
      </c>
    </row>
    <row r="13" spans="1:8" x14ac:dyDescent="0.25">
      <c r="B13" t="s">
        <v>17</v>
      </c>
      <c r="C13" s="6">
        <v>41467266</v>
      </c>
      <c r="D13" s="6">
        <v>43235988</v>
      </c>
      <c r="E13" s="6">
        <v>42488851</v>
      </c>
      <c r="F13" s="6">
        <v>45505417</v>
      </c>
      <c r="G13" s="6">
        <v>45635671</v>
      </c>
      <c r="H13" s="6">
        <f t="shared" si="1"/>
        <v>43666638.600000001</v>
      </c>
    </row>
    <row r="14" spans="1:8" x14ac:dyDescent="0.25">
      <c r="B14" s="6" t="s">
        <v>62</v>
      </c>
      <c r="C14" s="6">
        <v>72621325</v>
      </c>
      <c r="D14" s="6">
        <v>74834439</v>
      </c>
      <c r="E14" s="6">
        <v>72924595</v>
      </c>
      <c r="F14" s="6">
        <v>75609174</v>
      </c>
      <c r="G14" s="6">
        <v>76270205</v>
      </c>
      <c r="H14" s="6">
        <f t="shared" si="1"/>
        <v>74451947.599999994</v>
      </c>
    </row>
    <row r="15" spans="1:8" x14ac:dyDescent="0.25">
      <c r="A15" s="1" t="s">
        <v>5</v>
      </c>
      <c r="B15" t="s">
        <v>11</v>
      </c>
      <c r="C15" s="4">
        <v>11057</v>
      </c>
      <c r="D15" s="4">
        <v>11519</v>
      </c>
      <c r="E15" s="4">
        <v>11612</v>
      </c>
      <c r="F15" s="4">
        <v>11711</v>
      </c>
      <c r="G15" s="4">
        <v>11791</v>
      </c>
      <c r="H15" s="4">
        <f t="shared" ref="H15:H22" si="2">AVERAGE(C15:G15)</f>
        <v>11538</v>
      </c>
    </row>
    <row r="16" spans="1:8" x14ac:dyDescent="0.25">
      <c r="B16" t="s">
        <v>14</v>
      </c>
      <c r="C16" s="4">
        <v>10851</v>
      </c>
      <c r="D16" s="4">
        <v>10863</v>
      </c>
      <c r="E16" s="4">
        <v>10941</v>
      </c>
      <c r="F16" s="4">
        <v>11039</v>
      </c>
      <c r="G16" s="4">
        <v>11118</v>
      </c>
      <c r="H16" s="4">
        <f t="shared" si="2"/>
        <v>10962.4</v>
      </c>
    </row>
    <row r="17" spans="1:8" x14ac:dyDescent="0.25">
      <c r="B17" t="s">
        <v>17</v>
      </c>
      <c r="C17" s="6">
        <v>12630385</v>
      </c>
      <c r="D17" s="6">
        <v>13261866</v>
      </c>
      <c r="E17" s="6">
        <v>13817644</v>
      </c>
      <c r="F17" s="6">
        <v>15193295</v>
      </c>
      <c r="G17" s="6">
        <v>15157228</v>
      </c>
      <c r="H17" s="6">
        <f t="shared" si="2"/>
        <v>14012083.6</v>
      </c>
    </row>
    <row r="18" spans="1:8" x14ac:dyDescent="0.25">
      <c r="B18" s="6" t="s">
        <v>62</v>
      </c>
      <c r="C18" s="6">
        <v>14372692</v>
      </c>
      <c r="D18" s="6">
        <v>14958151</v>
      </c>
      <c r="E18" s="6">
        <v>15537555</v>
      </c>
      <c r="F18" s="6">
        <v>16854741</v>
      </c>
      <c r="G18" s="6">
        <v>16944851</v>
      </c>
      <c r="H18" s="6">
        <f t="shared" si="2"/>
        <v>15733598</v>
      </c>
    </row>
    <row r="19" spans="1:8" x14ac:dyDescent="0.25">
      <c r="A19" s="8" t="s">
        <v>7</v>
      </c>
      <c r="B19" s="4" t="s">
        <v>11</v>
      </c>
      <c r="C19" s="4">
        <v>4162</v>
      </c>
      <c r="D19" s="4">
        <v>4226</v>
      </c>
      <c r="E19" s="4">
        <v>4264</v>
      </c>
      <c r="F19" s="4">
        <v>4296</v>
      </c>
      <c r="G19" s="4">
        <v>4358</v>
      </c>
      <c r="H19" s="4">
        <f t="shared" si="2"/>
        <v>4261.2</v>
      </c>
    </row>
    <row r="20" spans="1:8" x14ac:dyDescent="0.25">
      <c r="A20" s="4"/>
      <c r="B20" s="4" t="s">
        <v>14</v>
      </c>
      <c r="C20" s="4">
        <v>3390</v>
      </c>
      <c r="D20" s="4">
        <v>3441</v>
      </c>
      <c r="E20" s="4">
        <v>3405</v>
      </c>
      <c r="F20" s="4">
        <v>3494</v>
      </c>
      <c r="G20" s="4">
        <v>3537</v>
      </c>
      <c r="H20" s="4">
        <f t="shared" si="2"/>
        <v>3453.4</v>
      </c>
    </row>
    <row r="21" spans="1:8" x14ac:dyDescent="0.25">
      <c r="A21" s="6"/>
      <c r="B21" s="6" t="s">
        <v>17</v>
      </c>
      <c r="C21" s="6">
        <v>3987600</v>
      </c>
      <c r="D21" s="6">
        <v>4327500</v>
      </c>
      <c r="E21" s="6">
        <v>4432200</v>
      </c>
      <c r="F21" s="6">
        <v>4809500</v>
      </c>
      <c r="G21" s="6">
        <v>4921300</v>
      </c>
      <c r="H21" s="6">
        <f t="shared" si="2"/>
        <v>4495620</v>
      </c>
    </row>
    <row r="22" spans="1:8" x14ac:dyDescent="0.25">
      <c r="A22" s="6"/>
      <c r="B22" s="6" t="s">
        <v>62</v>
      </c>
      <c r="C22" s="6">
        <v>11550000</v>
      </c>
      <c r="D22" s="6">
        <v>13173500</v>
      </c>
      <c r="E22" s="6">
        <v>11878300</v>
      </c>
      <c r="F22" s="6">
        <v>11623300</v>
      </c>
      <c r="G22" s="6">
        <v>12334700</v>
      </c>
      <c r="H22" s="6">
        <f t="shared" si="2"/>
        <v>12111960</v>
      </c>
    </row>
    <row r="23" spans="1:8" s="4" customFormat="1" x14ac:dyDescent="0.25">
      <c r="A23" s="1" t="s">
        <v>8</v>
      </c>
      <c r="B23" s="4" t="s">
        <v>11</v>
      </c>
      <c r="C23">
        <f>1330</f>
        <v>1330</v>
      </c>
      <c r="D23" s="4">
        <v>1332</v>
      </c>
      <c r="E23">
        <v>1351</v>
      </c>
      <c r="F23">
        <v>1371</v>
      </c>
      <c r="G23">
        <v>1388</v>
      </c>
      <c r="H23" s="4">
        <f t="shared" si="1"/>
        <v>1354.4</v>
      </c>
    </row>
    <row r="24" spans="1:8" s="4" customFormat="1" x14ac:dyDescent="0.25">
      <c r="A24"/>
      <c r="B24" s="4" t="s">
        <v>14</v>
      </c>
      <c r="C24">
        <v>1179</v>
      </c>
      <c r="D24" s="4">
        <v>1178</v>
      </c>
      <c r="E24">
        <v>1191</v>
      </c>
      <c r="F24" s="4">
        <v>1208</v>
      </c>
      <c r="G24">
        <v>1227</v>
      </c>
      <c r="H24" s="4">
        <f t="shared" si="1"/>
        <v>1196.5999999999999</v>
      </c>
    </row>
    <row r="25" spans="1:8" s="6" customFormat="1" x14ac:dyDescent="0.25">
      <c r="B25" s="6" t="s">
        <v>17</v>
      </c>
      <c r="C25" s="6">
        <v>1383665</v>
      </c>
      <c r="D25" s="6">
        <v>1410120</v>
      </c>
      <c r="E25" s="6">
        <v>1482451</v>
      </c>
      <c r="F25" s="6">
        <v>1534498</v>
      </c>
      <c r="G25" s="6">
        <v>1560034</v>
      </c>
      <c r="H25" s="6">
        <f t="shared" si="1"/>
        <v>1474153.6</v>
      </c>
    </row>
    <row r="26" spans="1:8" s="6" customFormat="1" x14ac:dyDescent="0.25">
      <c r="A26"/>
      <c r="B26" s="6" t="s">
        <v>62</v>
      </c>
      <c r="C26" s="6">
        <v>2033118</v>
      </c>
      <c r="D26" s="6">
        <v>2068098</v>
      </c>
      <c r="E26" s="6">
        <v>2212585</v>
      </c>
      <c r="F26" s="6">
        <v>2268951</v>
      </c>
      <c r="G26" s="6">
        <v>2334241</v>
      </c>
      <c r="H26" s="6">
        <f t="shared" si="1"/>
        <v>2183398.6</v>
      </c>
    </row>
    <row r="27" spans="1:8" x14ac:dyDescent="0.25">
      <c r="H27" s="4"/>
    </row>
    <row r="29" spans="1:8" s="6" customFormat="1" x14ac:dyDescent="0.25">
      <c r="A29"/>
      <c r="B29"/>
      <c r="C29"/>
      <c r="D29"/>
      <c r="E29"/>
      <c r="F29"/>
      <c r="G29"/>
      <c r="H29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9E24B-7D02-4F52-8CFA-9E93CA0CA82E}">
  <dimension ref="B3:Z129"/>
  <sheetViews>
    <sheetView zoomScale="80" zoomScaleNormal="80" workbookViewId="0">
      <selection activeCell="D94" sqref="D94"/>
    </sheetView>
  </sheetViews>
  <sheetFormatPr defaultRowHeight="15" x14ac:dyDescent="0.25"/>
  <cols>
    <col min="2" max="2" width="13.28515625" bestFit="1" customWidth="1"/>
    <col min="3" max="3" width="13.42578125" bestFit="1" customWidth="1"/>
    <col min="4" max="4" width="14.28515625" bestFit="1" customWidth="1"/>
    <col min="5" max="6" width="14.28515625" customWidth="1"/>
    <col min="7" max="7" width="11.28515625" customWidth="1"/>
    <col min="8" max="8" width="11" customWidth="1"/>
    <col min="9" max="9" width="16.5703125" bestFit="1" customWidth="1"/>
    <col min="10" max="10" width="4.7109375" customWidth="1"/>
    <col min="11" max="11" width="15.5703125" bestFit="1" customWidth="1"/>
    <col min="12" max="12" width="19.28515625" bestFit="1" customWidth="1"/>
    <col min="13" max="13" width="19.42578125" bestFit="1" customWidth="1"/>
    <col min="14" max="14" width="14.28515625" bestFit="1" customWidth="1"/>
    <col min="15" max="15" width="12.7109375" bestFit="1" customWidth="1"/>
    <col min="16" max="16" width="15.5703125" bestFit="1" customWidth="1"/>
    <col min="17" max="17" width="4.42578125" customWidth="1"/>
    <col min="18" max="18" width="15.5703125" bestFit="1" customWidth="1"/>
    <col min="19" max="19" width="17" bestFit="1" customWidth="1"/>
    <col min="20" max="20" width="16.42578125" bestFit="1" customWidth="1"/>
    <col min="21" max="21" width="14.28515625" bestFit="1" customWidth="1"/>
    <col min="22" max="22" width="12.28515625" bestFit="1" customWidth="1"/>
    <col min="23" max="23" width="15.5703125" bestFit="1" customWidth="1"/>
    <col min="26" max="26" width="13.42578125" bestFit="1" customWidth="1"/>
  </cols>
  <sheetData>
    <row r="3" spans="2:26" ht="15.75" thickBot="1" x14ac:dyDescent="0.3"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</row>
    <row r="4" spans="2:26" ht="15.75" thickBot="1" x14ac:dyDescent="0.3">
      <c r="B4" s="115">
        <v>2017</v>
      </c>
      <c r="C4" s="118">
        <v>2017</v>
      </c>
      <c r="D4" s="118"/>
      <c r="E4" s="118"/>
      <c r="F4" s="118"/>
      <c r="G4" s="118"/>
      <c r="H4" s="118"/>
      <c r="I4" s="118"/>
      <c r="J4" s="119"/>
      <c r="K4" s="118"/>
      <c r="L4" s="118"/>
      <c r="M4" s="118"/>
      <c r="N4" s="118"/>
      <c r="O4" s="118"/>
      <c r="P4" s="118"/>
      <c r="Q4" s="119"/>
      <c r="R4" s="118"/>
      <c r="S4" s="118"/>
      <c r="T4" s="118"/>
      <c r="U4" s="118"/>
      <c r="V4" s="118"/>
      <c r="W4" s="120"/>
    </row>
    <row r="5" spans="2:26" ht="15.75" hidden="1" customHeight="1" x14ac:dyDescent="0.25">
      <c r="B5" s="116"/>
      <c r="C5" s="118">
        <v>2017</v>
      </c>
      <c r="D5" s="118"/>
      <c r="E5" s="118"/>
      <c r="F5" s="118"/>
      <c r="G5" s="118"/>
      <c r="H5" s="118"/>
      <c r="I5" s="118"/>
      <c r="J5" s="119"/>
      <c r="K5" s="118"/>
      <c r="L5" s="118"/>
      <c r="M5" s="118"/>
      <c r="N5" s="118"/>
      <c r="O5" s="118"/>
      <c r="P5" s="118"/>
      <c r="Q5" s="119"/>
      <c r="R5" s="118"/>
      <c r="S5" s="118"/>
      <c r="T5" s="118"/>
      <c r="U5" s="118"/>
      <c r="V5" s="118"/>
      <c r="W5" s="120"/>
    </row>
    <row r="6" spans="2:26" ht="21.75" customHeight="1" thickTop="1" x14ac:dyDescent="0.25">
      <c r="B6" s="116"/>
      <c r="C6" s="13"/>
      <c r="D6" s="121" t="s">
        <v>22</v>
      </c>
      <c r="E6" s="121"/>
      <c r="F6" s="121"/>
      <c r="G6" s="121"/>
      <c r="H6" s="121"/>
      <c r="I6" s="121"/>
      <c r="J6" s="14"/>
      <c r="K6" s="122" t="s">
        <v>23</v>
      </c>
      <c r="L6" s="123"/>
      <c r="M6" s="123"/>
      <c r="N6" s="123"/>
      <c r="O6" s="123"/>
      <c r="P6" s="124"/>
      <c r="Q6" s="14"/>
      <c r="R6" s="122" t="s">
        <v>24</v>
      </c>
      <c r="S6" s="123"/>
      <c r="T6" s="123"/>
      <c r="U6" s="123"/>
      <c r="V6" s="123"/>
      <c r="W6" s="124"/>
    </row>
    <row r="7" spans="2:26" ht="43.5" customHeight="1" x14ac:dyDescent="0.25">
      <c r="B7" s="116"/>
      <c r="C7" s="15" t="s">
        <v>25</v>
      </c>
      <c r="D7" s="16" t="s">
        <v>26</v>
      </c>
      <c r="E7" s="17" t="s">
        <v>27</v>
      </c>
      <c r="F7" s="17" t="s">
        <v>28</v>
      </c>
      <c r="G7" s="17" t="s">
        <v>29</v>
      </c>
      <c r="H7" s="17" t="s">
        <v>30</v>
      </c>
      <c r="I7" s="18" t="s">
        <v>31</v>
      </c>
      <c r="J7" s="19"/>
      <c r="K7" s="16" t="s">
        <v>32</v>
      </c>
      <c r="L7" s="17" t="s">
        <v>33</v>
      </c>
      <c r="M7" s="17" t="s">
        <v>34</v>
      </c>
      <c r="N7" s="17" t="s">
        <v>35</v>
      </c>
      <c r="O7" s="17" t="s">
        <v>36</v>
      </c>
      <c r="P7" s="18" t="s">
        <v>37</v>
      </c>
      <c r="Q7" s="19"/>
      <c r="R7" s="16" t="s">
        <v>38</v>
      </c>
      <c r="S7" s="17" t="s">
        <v>39</v>
      </c>
      <c r="T7" s="17" t="s">
        <v>40</v>
      </c>
      <c r="U7" s="17" t="s">
        <v>41</v>
      </c>
      <c r="V7" s="17" t="s">
        <v>42</v>
      </c>
      <c r="W7" s="18" t="s">
        <v>43</v>
      </c>
    </row>
    <row r="8" spans="2:26" x14ac:dyDescent="0.25">
      <c r="B8" s="116"/>
      <c r="C8" s="20" t="s">
        <v>44</v>
      </c>
      <c r="D8" s="21">
        <v>1948.6666666666667</v>
      </c>
      <c r="E8" s="22">
        <v>188.83333333333334</v>
      </c>
      <c r="F8" s="22">
        <v>25</v>
      </c>
      <c r="G8" s="22">
        <v>0</v>
      </c>
      <c r="H8" s="22">
        <v>5</v>
      </c>
      <c r="I8" s="23">
        <f t="shared" ref="I8:I18" si="0">SUM(D8:H8)</f>
        <v>2167.5</v>
      </c>
      <c r="J8" s="12"/>
      <c r="K8" s="24">
        <v>10057047</v>
      </c>
      <c r="L8" s="25">
        <v>940859</v>
      </c>
      <c r="M8" s="22">
        <v>2388291</v>
      </c>
      <c r="N8" s="22">
        <v>0</v>
      </c>
      <c r="O8" s="22">
        <v>126308</v>
      </c>
      <c r="P8" s="26">
        <f>SUM(K8:O8)</f>
        <v>13512505</v>
      </c>
      <c r="Q8" s="12"/>
      <c r="R8" s="27">
        <v>2046047.66</v>
      </c>
      <c r="S8" s="28">
        <v>210509</v>
      </c>
      <c r="T8" s="28">
        <v>476087.46868480567</v>
      </c>
      <c r="U8" s="22">
        <v>0</v>
      </c>
      <c r="V8" s="28">
        <v>33880.019999999997</v>
      </c>
      <c r="W8" s="29">
        <f>SUM(R8:V8)</f>
        <v>2766524.1486848057</v>
      </c>
      <c r="Z8" s="4"/>
    </row>
    <row r="9" spans="2:26" x14ac:dyDescent="0.25">
      <c r="B9" s="116"/>
      <c r="C9" s="20" t="s">
        <v>45</v>
      </c>
      <c r="D9" s="24">
        <v>1521.75</v>
      </c>
      <c r="E9" s="25">
        <v>187</v>
      </c>
      <c r="F9" s="22">
        <v>21.333333333333332</v>
      </c>
      <c r="G9" s="22">
        <v>4</v>
      </c>
      <c r="H9" s="22">
        <v>7</v>
      </c>
      <c r="I9" s="23">
        <f t="shared" si="0"/>
        <v>1741.0833333333333</v>
      </c>
      <c r="J9" s="12"/>
      <c r="K9" s="24">
        <v>13562208.073231816</v>
      </c>
      <c r="L9" s="25">
        <v>2216305</v>
      </c>
      <c r="M9" s="22">
        <v>3070916</v>
      </c>
      <c r="N9" s="22">
        <v>7164920</v>
      </c>
      <c r="O9" s="22">
        <v>158052.55245929066</v>
      </c>
      <c r="P9" s="26">
        <f t="shared" ref="P9:P17" si="1">SUM(K9:O9)</f>
        <v>26172401.625691108</v>
      </c>
      <c r="Q9" s="12"/>
      <c r="R9" s="27">
        <v>2178035.3004000001</v>
      </c>
      <c r="S9" s="28">
        <v>362768.55984999996</v>
      </c>
      <c r="T9" s="28">
        <v>474166.01076000003</v>
      </c>
      <c r="U9" s="28">
        <v>938325.76439999999</v>
      </c>
      <c r="V9" s="28">
        <v>28070.996419999999</v>
      </c>
      <c r="W9" s="29">
        <f t="shared" ref="W9:W18" si="2">SUM(R9:V9)</f>
        <v>3981366.6318299999</v>
      </c>
    </row>
    <row r="10" spans="2:26" x14ac:dyDescent="0.25">
      <c r="B10" s="116"/>
      <c r="C10" s="20" t="s">
        <v>46</v>
      </c>
      <c r="D10" s="24">
        <v>4061</v>
      </c>
      <c r="E10" s="25">
        <v>385</v>
      </c>
      <c r="F10" s="22">
        <v>30</v>
      </c>
      <c r="G10" s="22">
        <v>0</v>
      </c>
      <c r="H10" s="22">
        <v>50</v>
      </c>
      <c r="I10" s="23">
        <f t="shared" si="0"/>
        <v>4526</v>
      </c>
      <c r="J10" s="12"/>
      <c r="K10" s="24">
        <v>23141723</v>
      </c>
      <c r="L10" s="25">
        <v>5006241</v>
      </c>
      <c r="M10" s="22">
        <v>5072305</v>
      </c>
      <c r="N10" s="28">
        <v>0</v>
      </c>
      <c r="O10" s="22">
        <v>184520</v>
      </c>
      <c r="P10" s="26">
        <f t="shared" si="1"/>
        <v>33404789</v>
      </c>
      <c r="Q10" s="12"/>
      <c r="R10" s="27">
        <v>4095915</v>
      </c>
      <c r="S10" s="28">
        <v>917782</v>
      </c>
      <c r="T10" s="28">
        <v>837296</v>
      </c>
      <c r="U10" s="28">
        <v>0</v>
      </c>
      <c r="V10" s="28">
        <v>45052</v>
      </c>
      <c r="W10" s="29">
        <v>5896045</v>
      </c>
    </row>
    <row r="11" spans="2:26" x14ac:dyDescent="0.25">
      <c r="B11" s="116"/>
      <c r="C11" s="20" t="s">
        <v>47</v>
      </c>
      <c r="D11" s="24">
        <v>653.16666666666663</v>
      </c>
      <c r="E11" s="25">
        <v>51.416666666666664</v>
      </c>
      <c r="F11" s="22">
        <v>0</v>
      </c>
      <c r="G11" s="22">
        <v>4</v>
      </c>
      <c r="H11" s="22">
        <v>1</v>
      </c>
      <c r="I11" s="23">
        <f t="shared" si="0"/>
        <v>709.58333333333326</v>
      </c>
      <c r="J11" s="12"/>
      <c r="K11" s="24">
        <v>3500313</v>
      </c>
      <c r="L11" s="25">
        <v>570901</v>
      </c>
      <c r="M11" s="22">
        <v>0</v>
      </c>
      <c r="N11" s="22">
        <v>866081</v>
      </c>
      <c r="O11" s="22">
        <v>17094.150000000001</v>
      </c>
      <c r="P11" s="26">
        <f t="shared" si="1"/>
        <v>4954389.1500000004</v>
      </c>
      <c r="Q11" s="12"/>
      <c r="R11" s="27">
        <v>571261.46</v>
      </c>
      <c r="S11" s="28">
        <v>99062.92</v>
      </c>
      <c r="T11" s="28">
        <v>0</v>
      </c>
      <c r="U11" s="28">
        <v>149791.31</v>
      </c>
      <c r="V11" s="28">
        <v>3307.7600000000007</v>
      </c>
      <c r="W11" s="29">
        <f t="shared" si="2"/>
        <v>823423.45</v>
      </c>
    </row>
    <row r="12" spans="2:26" x14ac:dyDescent="0.25">
      <c r="B12" s="116"/>
      <c r="C12" s="20" t="s">
        <v>48</v>
      </c>
      <c r="D12" s="24">
        <v>788</v>
      </c>
      <c r="E12" s="25">
        <v>124</v>
      </c>
      <c r="F12" s="22">
        <v>13</v>
      </c>
      <c r="G12" s="22">
        <v>0</v>
      </c>
      <c r="H12" s="22">
        <v>33</v>
      </c>
      <c r="I12" s="23">
        <f t="shared" si="0"/>
        <v>958</v>
      </c>
      <c r="J12" s="12"/>
      <c r="K12" s="24">
        <v>4928055</v>
      </c>
      <c r="L12" s="25">
        <v>1791523.77</v>
      </c>
      <c r="M12" s="22">
        <v>5462097</v>
      </c>
      <c r="N12" s="22">
        <v>0</v>
      </c>
      <c r="O12" s="22">
        <v>67208</v>
      </c>
      <c r="P12" s="26">
        <f>SUM(K12:O12)</f>
        <v>12248883.77</v>
      </c>
      <c r="Q12" s="12"/>
      <c r="R12" s="27">
        <v>862193.2</v>
      </c>
      <c r="S12" s="28">
        <v>342394.77</v>
      </c>
      <c r="T12" s="28">
        <v>880528.99</v>
      </c>
      <c r="U12" s="28">
        <v>0</v>
      </c>
      <c r="V12" s="28">
        <v>16015.65</v>
      </c>
      <c r="W12" s="29">
        <f t="shared" si="2"/>
        <v>2101132.61</v>
      </c>
    </row>
    <row r="13" spans="2:26" x14ac:dyDescent="0.25">
      <c r="B13" s="116"/>
      <c r="C13" s="20" t="s">
        <v>49</v>
      </c>
      <c r="D13" s="22">
        <v>3034</v>
      </c>
      <c r="E13" s="30" t="s">
        <v>50</v>
      </c>
      <c r="F13" s="22">
        <v>703</v>
      </c>
      <c r="G13" s="22">
        <v>4</v>
      </c>
      <c r="H13" s="22">
        <v>4</v>
      </c>
      <c r="I13" s="26">
        <f t="shared" ref="I13" si="3">SUM(D13:H13)</f>
        <v>3745</v>
      </c>
      <c r="J13" s="12"/>
      <c r="K13" s="21">
        <v>15978156</v>
      </c>
      <c r="L13" s="31" t="s">
        <v>50</v>
      </c>
      <c r="M13" s="22">
        <v>17738108</v>
      </c>
      <c r="N13" s="22">
        <v>13283160</v>
      </c>
      <c r="O13" s="22">
        <f>348276+72664</f>
        <v>420940</v>
      </c>
      <c r="P13" s="26">
        <f t="shared" ref="P13" si="4">SUM(K13:O13)</f>
        <v>47420364</v>
      </c>
      <c r="Q13" s="12"/>
      <c r="R13" s="27">
        <v>2139342</v>
      </c>
      <c r="S13" s="32" t="s">
        <v>50</v>
      </c>
      <c r="T13" s="28">
        <v>2898329</v>
      </c>
      <c r="U13" s="28">
        <v>2353225</v>
      </c>
      <c r="V13" s="28">
        <v>100494</v>
      </c>
      <c r="W13" s="29">
        <f t="shared" ref="W13" si="5">SUM(R13:V13)</f>
        <v>7491390</v>
      </c>
    </row>
    <row r="14" spans="2:26" x14ac:dyDescent="0.25">
      <c r="B14" s="116"/>
      <c r="C14" s="20" t="s">
        <v>51</v>
      </c>
      <c r="D14" s="21">
        <v>4824.25</v>
      </c>
      <c r="E14" s="22">
        <v>852.5</v>
      </c>
      <c r="F14" s="22">
        <v>42</v>
      </c>
      <c r="G14" s="22">
        <v>0</v>
      </c>
      <c r="H14" s="22">
        <v>0</v>
      </c>
      <c r="I14" s="26">
        <v>5724.75</v>
      </c>
      <c r="J14" s="12"/>
      <c r="K14" s="21">
        <v>30394368</v>
      </c>
      <c r="L14" s="22">
        <v>12001254</v>
      </c>
      <c r="M14" s="22">
        <v>18033223</v>
      </c>
      <c r="N14" s="22">
        <v>0</v>
      </c>
      <c r="O14" s="22">
        <v>487035</v>
      </c>
      <c r="P14" s="26">
        <f t="shared" si="1"/>
        <v>60915880</v>
      </c>
      <c r="Q14" s="12"/>
      <c r="R14" s="27">
        <v>4747332.0000000019</v>
      </c>
      <c r="S14" s="28">
        <v>1870821.03</v>
      </c>
      <c r="T14" s="28">
        <v>2471792.9699999997</v>
      </c>
      <c r="U14" s="22">
        <v>0</v>
      </c>
      <c r="V14" s="28">
        <v>102978</v>
      </c>
      <c r="W14" s="29">
        <f t="shared" si="2"/>
        <v>9192924.0000000019</v>
      </c>
    </row>
    <row r="15" spans="2:26" x14ac:dyDescent="0.25">
      <c r="B15" s="116"/>
      <c r="C15" s="20" t="s">
        <v>52</v>
      </c>
      <c r="D15" s="22">
        <v>3463</v>
      </c>
      <c r="E15" s="22">
        <v>642</v>
      </c>
      <c r="F15" s="22">
        <v>0</v>
      </c>
      <c r="G15" s="22">
        <v>0</v>
      </c>
      <c r="H15" s="22">
        <v>3</v>
      </c>
      <c r="I15" s="26">
        <f t="shared" ref="I15" si="6">SUM(D15:H15)</f>
        <v>4108</v>
      </c>
      <c r="J15" s="12"/>
      <c r="K15" s="21">
        <v>20767905</v>
      </c>
      <c r="L15" s="22">
        <v>23246887</v>
      </c>
      <c r="M15" s="22">
        <v>0</v>
      </c>
      <c r="N15" s="22">
        <v>0</v>
      </c>
      <c r="O15" s="22">
        <v>37400</v>
      </c>
      <c r="P15" s="26">
        <f>SUM(K15:O15)</f>
        <v>44052192</v>
      </c>
      <c r="Q15" s="12"/>
      <c r="R15" s="27">
        <v>3272319</v>
      </c>
      <c r="S15" s="28">
        <v>3645010</v>
      </c>
      <c r="T15" s="22">
        <v>0</v>
      </c>
      <c r="U15" s="22">
        <v>0</v>
      </c>
      <c r="V15" s="28">
        <v>22680</v>
      </c>
      <c r="W15" s="29">
        <f t="shared" ref="W15" si="7">SUM(R15:V15)</f>
        <v>6940009</v>
      </c>
    </row>
    <row r="16" spans="2:26" x14ac:dyDescent="0.25">
      <c r="B16" s="116"/>
      <c r="C16" s="20" t="s">
        <v>53</v>
      </c>
      <c r="D16" s="24">
        <v>1603.8333333333333</v>
      </c>
      <c r="E16" s="25">
        <v>200.91666666666669</v>
      </c>
      <c r="F16" s="22">
        <v>15.916666666666666</v>
      </c>
      <c r="G16" s="22">
        <v>1</v>
      </c>
      <c r="H16" s="22">
        <v>32</v>
      </c>
      <c r="I16" s="23">
        <f t="shared" si="0"/>
        <v>1853.6666666666667</v>
      </c>
      <c r="J16" s="12"/>
      <c r="K16" s="24">
        <v>9862631</v>
      </c>
      <c r="L16" s="25">
        <v>2405120</v>
      </c>
      <c r="M16" s="22">
        <v>6848575</v>
      </c>
      <c r="N16" s="22">
        <v>8391724</v>
      </c>
      <c r="O16" s="22">
        <v>91938</v>
      </c>
      <c r="P16" s="26">
        <f t="shared" si="1"/>
        <v>27599988</v>
      </c>
      <c r="Q16" s="12"/>
      <c r="R16" s="27">
        <v>1360665.1700000002</v>
      </c>
      <c r="S16" s="28">
        <v>387821.36757999996</v>
      </c>
      <c r="T16" s="28">
        <v>886881.17242000019</v>
      </c>
      <c r="U16" s="28">
        <v>1051376.4400000002</v>
      </c>
      <c r="V16" s="28">
        <v>26403.919999999998</v>
      </c>
      <c r="W16" s="29">
        <f t="shared" si="2"/>
        <v>3713148.0700000003</v>
      </c>
    </row>
    <row r="17" spans="2:23" x14ac:dyDescent="0.25">
      <c r="B17" s="116"/>
      <c r="C17" s="20" t="s">
        <v>54</v>
      </c>
      <c r="D17" s="24">
        <v>582</v>
      </c>
      <c r="E17" s="25">
        <v>65</v>
      </c>
      <c r="F17" s="22">
        <v>0</v>
      </c>
      <c r="G17" s="22">
        <v>1</v>
      </c>
      <c r="H17" s="22">
        <v>21</v>
      </c>
      <c r="I17" s="23">
        <f t="shared" si="0"/>
        <v>669</v>
      </c>
      <c r="J17" s="12"/>
      <c r="K17" s="24">
        <v>3921505</v>
      </c>
      <c r="L17" s="25">
        <v>1585929</v>
      </c>
      <c r="M17" s="22">
        <v>0</v>
      </c>
      <c r="N17" s="22">
        <v>6960000</v>
      </c>
      <c r="O17" s="22">
        <v>528678</v>
      </c>
      <c r="P17" s="26">
        <f t="shared" si="1"/>
        <v>12996112</v>
      </c>
      <c r="Q17" s="12"/>
      <c r="R17" s="27">
        <v>508644.95</v>
      </c>
      <c r="S17" s="28">
        <v>224095.93</v>
      </c>
      <c r="T17" s="22">
        <v>0</v>
      </c>
      <c r="U17" s="28">
        <v>1047885.58</v>
      </c>
      <c r="V17" s="28">
        <v>77331.22</v>
      </c>
      <c r="W17" s="29">
        <f t="shared" si="2"/>
        <v>1857957.68</v>
      </c>
    </row>
    <row r="18" spans="2:23" x14ac:dyDescent="0.25">
      <c r="B18" s="116"/>
      <c r="C18" s="33" t="s">
        <v>55</v>
      </c>
      <c r="D18" s="34">
        <v>3263</v>
      </c>
      <c r="E18" s="35">
        <v>332</v>
      </c>
      <c r="F18" s="36">
        <v>70</v>
      </c>
      <c r="G18" s="36">
        <v>0</v>
      </c>
      <c r="H18" s="36">
        <v>13</v>
      </c>
      <c r="I18" s="37">
        <f t="shared" si="0"/>
        <v>3678</v>
      </c>
      <c r="J18" s="12"/>
      <c r="K18" s="34">
        <v>25023368</v>
      </c>
      <c r="L18" s="35">
        <v>4161015</v>
      </c>
      <c r="M18" s="36">
        <v>22785202</v>
      </c>
      <c r="N18" s="36">
        <v>0</v>
      </c>
      <c r="O18" s="36">
        <v>1030732</v>
      </c>
      <c r="P18" s="38">
        <f>SUM(K18:O18)</f>
        <v>53000317</v>
      </c>
      <c r="Q18" s="12"/>
      <c r="R18" s="39">
        <v>3300678</v>
      </c>
      <c r="S18" s="40">
        <v>612416</v>
      </c>
      <c r="T18" s="40">
        <v>3027776</v>
      </c>
      <c r="U18" s="36">
        <v>0</v>
      </c>
      <c r="V18" s="40">
        <v>134578</v>
      </c>
      <c r="W18" s="41">
        <f t="shared" si="2"/>
        <v>7075448</v>
      </c>
    </row>
    <row r="19" spans="2:23" x14ac:dyDescent="0.25">
      <c r="B19" s="117"/>
      <c r="C19" s="33" t="s">
        <v>56</v>
      </c>
      <c r="D19" s="42">
        <f>SUM(D8:D18)</f>
        <v>25742.666666666668</v>
      </c>
      <c r="E19" s="43">
        <f t="shared" ref="E19:G19" si="8">SUM(E8:E18)</f>
        <v>3028.6666666666665</v>
      </c>
      <c r="F19" s="43">
        <f t="shared" si="8"/>
        <v>920.25</v>
      </c>
      <c r="G19" s="43">
        <f t="shared" si="8"/>
        <v>14</v>
      </c>
      <c r="H19" s="43">
        <f>SUM(H8:H18)</f>
        <v>169</v>
      </c>
      <c r="I19" s="44">
        <f t="shared" ref="I19:W19" si="9">SUM(I8:I18)</f>
        <v>29880.583333333332</v>
      </c>
      <c r="J19" s="45"/>
      <c r="K19" s="42">
        <f t="shared" si="9"/>
        <v>161137279.07323182</v>
      </c>
      <c r="L19" s="43">
        <f t="shared" si="9"/>
        <v>53926034.769999996</v>
      </c>
      <c r="M19" s="46">
        <f t="shared" si="9"/>
        <v>81398717</v>
      </c>
      <c r="N19" s="46">
        <f t="shared" si="9"/>
        <v>36665885</v>
      </c>
      <c r="O19" s="46">
        <f t="shared" si="9"/>
        <v>3149905.7024592906</v>
      </c>
      <c r="P19" s="47">
        <f t="shared" si="9"/>
        <v>336277821.54569113</v>
      </c>
      <c r="Q19" s="45"/>
      <c r="R19" s="48">
        <f>SUM(R8:R18)</f>
        <v>25082433.740400005</v>
      </c>
      <c r="S19" s="49">
        <f t="shared" si="9"/>
        <v>8672681.5774299987</v>
      </c>
      <c r="T19" s="49">
        <f t="shared" si="9"/>
        <v>11952857.611864805</v>
      </c>
      <c r="U19" s="49">
        <f t="shared" si="9"/>
        <v>5540604.0944000008</v>
      </c>
      <c r="V19" s="49">
        <f t="shared" si="9"/>
        <v>590791.56641999993</v>
      </c>
      <c r="W19" s="50">
        <f t="shared" si="9"/>
        <v>51839368.590514809</v>
      </c>
    </row>
    <row r="20" spans="2:23" x14ac:dyDescent="0.25">
      <c r="B20" s="51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2:23" x14ac:dyDescent="0.25">
      <c r="B21" s="51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2:23" ht="15.75" thickBot="1" x14ac:dyDescent="0.3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2:23" ht="15.75" thickBot="1" x14ac:dyDescent="0.3">
      <c r="B23" s="125">
        <v>2018</v>
      </c>
      <c r="C23" s="118">
        <v>2018</v>
      </c>
      <c r="D23" s="118"/>
      <c r="E23" s="118"/>
      <c r="F23" s="118"/>
      <c r="G23" s="118"/>
      <c r="H23" s="118"/>
      <c r="I23" s="118"/>
      <c r="J23" s="119"/>
      <c r="K23" s="118"/>
      <c r="L23" s="118"/>
      <c r="M23" s="118"/>
      <c r="N23" s="118"/>
      <c r="O23" s="118"/>
      <c r="P23" s="118"/>
      <c r="Q23" s="119"/>
      <c r="R23" s="118"/>
      <c r="S23" s="118"/>
      <c r="T23" s="118"/>
      <c r="U23" s="118"/>
      <c r="V23" s="118"/>
      <c r="W23" s="120"/>
    </row>
    <row r="24" spans="2:23" ht="23.25" customHeight="1" thickTop="1" x14ac:dyDescent="0.25">
      <c r="B24" s="126"/>
      <c r="C24" s="13"/>
      <c r="D24" s="121" t="s">
        <v>22</v>
      </c>
      <c r="E24" s="121"/>
      <c r="F24" s="121"/>
      <c r="G24" s="121"/>
      <c r="H24" s="121"/>
      <c r="I24" s="121"/>
      <c r="J24" s="14"/>
      <c r="K24" s="122" t="s">
        <v>23</v>
      </c>
      <c r="L24" s="123"/>
      <c r="M24" s="123"/>
      <c r="N24" s="123"/>
      <c r="O24" s="123"/>
      <c r="P24" s="124"/>
      <c r="Q24" s="14"/>
      <c r="R24" s="122" t="s">
        <v>24</v>
      </c>
      <c r="S24" s="123"/>
      <c r="T24" s="123"/>
      <c r="U24" s="123"/>
      <c r="V24" s="123"/>
      <c r="W24" s="124"/>
    </row>
    <row r="25" spans="2:23" ht="30" x14ac:dyDescent="0.25">
      <c r="B25" s="126"/>
      <c r="C25" s="52" t="s">
        <v>25</v>
      </c>
      <c r="D25" s="16" t="s">
        <v>26</v>
      </c>
      <c r="E25" s="17" t="s">
        <v>27</v>
      </c>
      <c r="F25" s="17" t="s">
        <v>28</v>
      </c>
      <c r="G25" s="17" t="s">
        <v>29</v>
      </c>
      <c r="H25" s="17" t="s">
        <v>30</v>
      </c>
      <c r="I25" s="18" t="s">
        <v>31</v>
      </c>
      <c r="J25" s="19"/>
      <c r="K25" s="16" t="s">
        <v>32</v>
      </c>
      <c r="L25" s="17" t="s">
        <v>33</v>
      </c>
      <c r="M25" s="17" t="s">
        <v>34</v>
      </c>
      <c r="N25" s="17" t="s">
        <v>35</v>
      </c>
      <c r="O25" s="17" t="s">
        <v>36</v>
      </c>
      <c r="P25" s="18" t="s">
        <v>37</v>
      </c>
      <c r="Q25" s="19"/>
      <c r="R25" s="16" t="s">
        <v>38</v>
      </c>
      <c r="S25" s="17" t="s">
        <v>39</v>
      </c>
      <c r="T25" s="17" t="s">
        <v>40</v>
      </c>
      <c r="U25" s="17" t="s">
        <v>41</v>
      </c>
      <c r="V25" s="17" t="s">
        <v>42</v>
      </c>
      <c r="W25" s="18" t="s">
        <v>43</v>
      </c>
    </row>
    <row r="26" spans="2:23" x14ac:dyDescent="0.25">
      <c r="B26" s="126"/>
      <c r="C26" s="53" t="s">
        <v>44</v>
      </c>
      <c r="D26" s="21">
        <v>1945.3333333333333</v>
      </c>
      <c r="E26" s="22">
        <v>188.16666666666666</v>
      </c>
      <c r="F26" s="22">
        <v>25</v>
      </c>
      <c r="G26" s="22">
        <v>0</v>
      </c>
      <c r="H26" s="22">
        <v>4.8333333333333339</v>
      </c>
      <c r="I26" s="23">
        <f t="shared" ref="I26:I36" si="10">SUM(D26:H26)</f>
        <v>2163.3333333333335</v>
      </c>
      <c r="J26" s="12"/>
      <c r="K26" s="54">
        <v>10185244</v>
      </c>
      <c r="L26" s="55">
        <v>1018901</v>
      </c>
      <c r="M26" s="55">
        <v>2314700</v>
      </c>
      <c r="N26" s="55">
        <v>0</v>
      </c>
      <c r="O26" s="55">
        <v>127277</v>
      </c>
      <c r="P26" s="56">
        <f>SUM(K26:O26)</f>
        <v>13646122</v>
      </c>
      <c r="Q26" s="12"/>
      <c r="R26" s="27">
        <v>2023464.1399999997</v>
      </c>
      <c r="S26" s="28">
        <v>220235.6126781865</v>
      </c>
      <c r="T26" s="28">
        <v>468974.00732181361</v>
      </c>
      <c r="U26" s="22">
        <v>0</v>
      </c>
      <c r="V26" s="57">
        <v>34203.71</v>
      </c>
      <c r="W26" s="58">
        <f>SUM(R26:V26)</f>
        <v>2746877.4699999997</v>
      </c>
    </row>
    <row r="27" spans="2:23" x14ac:dyDescent="0.25">
      <c r="B27" s="126"/>
      <c r="C27" s="53" t="s">
        <v>45</v>
      </c>
      <c r="D27" s="24">
        <v>1527.6666666666667</v>
      </c>
      <c r="E27" s="25">
        <v>190.16666666666666</v>
      </c>
      <c r="F27" s="22">
        <v>19.916666666666668</v>
      </c>
      <c r="G27" s="22">
        <v>4</v>
      </c>
      <c r="H27" s="22">
        <v>7</v>
      </c>
      <c r="I27" s="23">
        <f t="shared" si="10"/>
        <v>1748.7500000000002</v>
      </c>
      <c r="J27" s="12"/>
      <c r="K27" s="21">
        <v>14497055.686909581</v>
      </c>
      <c r="L27" s="22">
        <v>2297852</v>
      </c>
      <c r="M27" s="22">
        <v>2938148</v>
      </c>
      <c r="N27" s="22">
        <v>6962440</v>
      </c>
      <c r="O27" s="22">
        <v>152602.69474459067</v>
      </c>
      <c r="P27" s="26">
        <f t="shared" ref="P27:P36" si="11">SUM(K27:O27)</f>
        <v>26848098.381654169</v>
      </c>
      <c r="Q27" s="12"/>
      <c r="R27" s="27">
        <v>2279475.3448000005</v>
      </c>
      <c r="S27" s="28">
        <v>375503.97404000006</v>
      </c>
      <c r="T27" s="28">
        <v>453979.98848</v>
      </c>
      <c r="U27" s="28">
        <v>996986.01079999981</v>
      </c>
      <c r="V27" s="57">
        <v>27288.614800000007</v>
      </c>
      <c r="W27" s="58">
        <f t="shared" ref="W27:W36" si="12">SUM(R27:V27)</f>
        <v>4133233.9329200005</v>
      </c>
    </row>
    <row r="28" spans="2:23" x14ac:dyDescent="0.25">
      <c r="B28" s="126"/>
      <c r="C28" s="53" t="s">
        <v>46</v>
      </c>
      <c r="D28" s="24">
        <v>4066</v>
      </c>
      <c r="E28" s="25">
        <v>381</v>
      </c>
      <c r="F28" s="22">
        <v>29</v>
      </c>
      <c r="G28" s="22">
        <v>0</v>
      </c>
      <c r="H28" s="22">
        <v>20</v>
      </c>
      <c r="I28" s="23">
        <f t="shared" si="10"/>
        <v>4496</v>
      </c>
      <c r="J28" s="12"/>
      <c r="K28" s="21">
        <v>23528620</v>
      </c>
      <c r="L28" s="22">
        <f>4990052</f>
        <v>4990052</v>
      </c>
      <c r="M28" s="22">
        <v>4846138</v>
      </c>
      <c r="N28" s="22">
        <v>0</v>
      </c>
      <c r="O28" s="22">
        <f>122710+58246</f>
        <v>180956</v>
      </c>
      <c r="P28" s="26">
        <f t="shared" si="11"/>
        <v>33545766</v>
      </c>
      <c r="Q28" s="12"/>
      <c r="R28" s="27">
        <v>4100333</v>
      </c>
      <c r="S28" s="28">
        <f>910999</f>
        <v>910999</v>
      </c>
      <c r="T28" s="28">
        <v>825896</v>
      </c>
      <c r="U28" s="22">
        <v>0</v>
      </c>
      <c r="V28" s="28">
        <f>44791</f>
        <v>44791</v>
      </c>
      <c r="W28" s="29">
        <f t="shared" si="12"/>
        <v>5882019</v>
      </c>
    </row>
    <row r="29" spans="2:23" x14ac:dyDescent="0.25">
      <c r="B29" s="126"/>
      <c r="C29" s="53" t="s">
        <v>47</v>
      </c>
      <c r="D29" s="24">
        <v>657.91666666666663</v>
      </c>
      <c r="E29" s="25">
        <v>51.083333333333336</v>
      </c>
      <c r="F29" s="22">
        <v>0</v>
      </c>
      <c r="G29" s="22">
        <v>4</v>
      </c>
      <c r="H29" s="22">
        <v>1</v>
      </c>
      <c r="I29" s="23">
        <f t="shared" si="10"/>
        <v>714</v>
      </c>
      <c r="J29" s="12"/>
      <c r="K29" s="21">
        <v>3502190</v>
      </c>
      <c r="L29" s="22">
        <v>568351</v>
      </c>
      <c r="M29" s="22">
        <v>0</v>
      </c>
      <c r="N29" s="22">
        <v>899706</v>
      </c>
      <c r="O29" s="22">
        <v>17043.150000000001</v>
      </c>
      <c r="P29" s="26">
        <f t="shared" si="11"/>
        <v>4987290.1500000004</v>
      </c>
      <c r="Q29" s="12"/>
      <c r="R29" s="27">
        <v>598296.15</v>
      </c>
      <c r="S29" s="28">
        <v>98231.41</v>
      </c>
      <c r="T29" s="28">
        <v>0</v>
      </c>
      <c r="U29" s="28">
        <v>157000.22</v>
      </c>
      <c r="V29" s="57">
        <v>3293.92</v>
      </c>
      <c r="W29" s="58">
        <f t="shared" si="12"/>
        <v>856821.70000000007</v>
      </c>
    </row>
    <row r="30" spans="2:23" x14ac:dyDescent="0.25">
      <c r="B30" s="126"/>
      <c r="C30" s="53" t="s">
        <v>48</v>
      </c>
      <c r="D30" s="24">
        <v>801.83333333333337</v>
      </c>
      <c r="E30" s="25">
        <v>126.41666666666667</v>
      </c>
      <c r="F30" s="22">
        <v>15.333333333333334</v>
      </c>
      <c r="G30" s="22">
        <v>0</v>
      </c>
      <c r="H30" s="22">
        <v>33.083333333333336</v>
      </c>
      <c r="I30" s="23">
        <f t="shared" si="10"/>
        <v>976.66666666666674</v>
      </c>
      <c r="J30" s="12"/>
      <c r="K30" s="21">
        <v>5152902.58</v>
      </c>
      <c r="L30" s="22">
        <v>1594005</v>
      </c>
      <c r="M30" s="22">
        <v>5696986</v>
      </c>
      <c r="N30" s="22">
        <v>0</v>
      </c>
      <c r="O30" s="22">
        <v>65597.41</v>
      </c>
      <c r="P30" s="26">
        <f t="shared" si="11"/>
        <v>12509490.99</v>
      </c>
      <c r="Q30" s="12"/>
      <c r="R30" s="27">
        <v>896541.02999999991</v>
      </c>
      <c r="S30" s="28">
        <v>305065.56</v>
      </c>
      <c r="T30" s="28">
        <v>923855.2</v>
      </c>
      <c r="U30" s="22">
        <v>0</v>
      </c>
      <c r="V30" s="57">
        <v>15573.14</v>
      </c>
      <c r="W30" s="58">
        <f t="shared" si="12"/>
        <v>2141034.9300000002</v>
      </c>
    </row>
    <row r="31" spans="2:23" x14ac:dyDescent="0.25">
      <c r="B31" s="126"/>
      <c r="C31" s="53" t="s">
        <v>49</v>
      </c>
      <c r="D31" s="22">
        <v>3045</v>
      </c>
      <c r="E31" s="30" t="s">
        <v>50</v>
      </c>
      <c r="F31" s="22">
        <v>704</v>
      </c>
      <c r="G31" s="22">
        <v>4</v>
      </c>
      <c r="H31" s="22">
        <v>4</v>
      </c>
      <c r="I31" s="26">
        <f t="shared" si="10"/>
        <v>3757</v>
      </c>
      <c r="J31" s="12"/>
      <c r="K31" s="21">
        <v>17141759</v>
      </c>
      <c r="L31" s="30" t="s">
        <v>50</v>
      </c>
      <c r="M31" s="22">
        <v>16905568</v>
      </c>
      <c r="N31" s="22">
        <v>20126143</v>
      </c>
      <c r="O31" s="22">
        <f>347690+58257</f>
        <v>405947</v>
      </c>
      <c r="P31" s="26">
        <f t="shared" si="11"/>
        <v>54579417</v>
      </c>
      <c r="Q31" s="12"/>
      <c r="R31" s="27">
        <v>2244246</v>
      </c>
      <c r="S31" s="32" t="s">
        <v>50</v>
      </c>
      <c r="T31" s="28">
        <v>2875778</v>
      </c>
      <c r="U31" s="28">
        <v>2859438</v>
      </c>
      <c r="V31" s="28">
        <v>98742</v>
      </c>
      <c r="W31" s="29">
        <f t="shared" si="12"/>
        <v>8078204</v>
      </c>
    </row>
    <row r="32" spans="2:23" x14ac:dyDescent="0.25">
      <c r="B32" s="126"/>
      <c r="C32" s="53" t="s">
        <v>51</v>
      </c>
      <c r="D32" s="21">
        <v>4839.75</v>
      </c>
      <c r="E32" s="22">
        <v>866.25</v>
      </c>
      <c r="F32" s="22">
        <v>41.25</v>
      </c>
      <c r="G32" s="22">
        <v>0</v>
      </c>
      <c r="H32" s="22">
        <v>0</v>
      </c>
      <c r="I32" s="26">
        <f t="shared" si="10"/>
        <v>5747.25</v>
      </c>
      <c r="J32" s="12"/>
      <c r="K32" s="21">
        <v>31156590</v>
      </c>
      <c r="L32" s="22">
        <v>10936043</v>
      </c>
      <c r="M32" s="22">
        <v>15962108</v>
      </c>
      <c r="N32" s="22">
        <v>0</v>
      </c>
      <c r="O32" s="22">
        <v>477849</v>
      </c>
      <c r="P32" s="26">
        <f>SUM(K32:O32)</f>
        <v>58532590</v>
      </c>
      <c r="Q32" s="12"/>
      <c r="R32" s="27">
        <v>4883650.49</v>
      </c>
      <c r="S32" s="28">
        <v>1823677.044</v>
      </c>
      <c r="T32" s="28">
        <v>2400957.9560000002</v>
      </c>
      <c r="U32" s="22">
        <v>0</v>
      </c>
      <c r="V32" s="28">
        <v>99714</v>
      </c>
      <c r="W32" s="29">
        <f t="shared" si="12"/>
        <v>9207999.4900000002</v>
      </c>
    </row>
    <row r="33" spans="2:23" x14ac:dyDescent="0.25">
      <c r="B33" s="126"/>
      <c r="C33" s="53" t="s">
        <v>52</v>
      </c>
      <c r="D33" s="22">
        <v>3568</v>
      </c>
      <c r="E33" s="22">
        <v>648</v>
      </c>
      <c r="F33" s="22">
        <v>0</v>
      </c>
      <c r="G33" s="22">
        <v>0</v>
      </c>
      <c r="H33" s="22">
        <v>3</v>
      </c>
      <c r="I33" s="26">
        <f t="shared" si="10"/>
        <v>4219</v>
      </c>
      <c r="J33" s="12"/>
      <c r="K33" s="21">
        <v>21688925</v>
      </c>
      <c r="L33" s="22">
        <v>24062506</v>
      </c>
      <c r="M33" s="22">
        <v>0</v>
      </c>
      <c r="N33" s="22">
        <v>0</v>
      </c>
      <c r="O33" s="22">
        <v>37441</v>
      </c>
      <c r="P33" s="26">
        <f t="shared" ref="P33" si="13">SUM(K33:O33)</f>
        <v>45788872</v>
      </c>
      <c r="Q33" s="12"/>
      <c r="R33" s="27">
        <v>3365273</v>
      </c>
      <c r="S33" s="28">
        <v>3693441</v>
      </c>
      <c r="T33" s="22">
        <v>0</v>
      </c>
      <c r="U33" s="22">
        <v>0</v>
      </c>
      <c r="V33" s="28">
        <v>22773</v>
      </c>
      <c r="W33" s="29">
        <f t="shared" si="12"/>
        <v>7081487</v>
      </c>
    </row>
    <row r="34" spans="2:23" x14ac:dyDescent="0.25">
      <c r="B34" s="126"/>
      <c r="C34" s="53" t="s">
        <v>53</v>
      </c>
      <c r="D34" s="24">
        <v>1609.8333333333333</v>
      </c>
      <c r="E34" s="25">
        <v>199</v>
      </c>
      <c r="F34" s="22">
        <v>15.833333333333334</v>
      </c>
      <c r="G34" s="22">
        <v>1</v>
      </c>
      <c r="H34" s="22">
        <v>32</v>
      </c>
      <c r="I34" s="23">
        <f t="shared" si="10"/>
        <v>1857.6666666666665</v>
      </c>
      <c r="J34" s="12"/>
      <c r="K34" s="21">
        <v>10189153</v>
      </c>
      <c r="L34" s="22">
        <v>2420080</v>
      </c>
      <c r="M34" s="22">
        <v>6992925</v>
      </c>
      <c r="N34" s="22">
        <v>8525879</v>
      </c>
      <c r="O34" s="22">
        <v>89238</v>
      </c>
      <c r="P34" s="26">
        <f t="shared" si="11"/>
        <v>28217275</v>
      </c>
      <c r="Q34" s="12"/>
      <c r="R34" s="27">
        <v>1407138.15</v>
      </c>
      <c r="S34" s="28">
        <v>390865.08761999995</v>
      </c>
      <c r="T34" s="28">
        <v>879968.19237999979</v>
      </c>
      <c r="U34" s="28">
        <v>1066187.1200000001</v>
      </c>
      <c r="V34" s="57">
        <v>25753.040000000001</v>
      </c>
      <c r="W34" s="58">
        <f t="shared" si="12"/>
        <v>3769911.59</v>
      </c>
    </row>
    <row r="35" spans="2:23" x14ac:dyDescent="0.25">
      <c r="B35" s="126"/>
      <c r="C35" s="53" t="s">
        <v>54</v>
      </c>
      <c r="D35" s="24">
        <v>582</v>
      </c>
      <c r="E35" s="25">
        <v>65</v>
      </c>
      <c r="F35" s="22">
        <v>0</v>
      </c>
      <c r="G35" s="22">
        <v>1</v>
      </c>
      <c r="H35" s="22">
        <v>21</v>
      </c>
      <c r="I35" s="23">
        <f t="shared" si="10"/>
        <v>669</v>
      </c>
      <c r="J35" s="12"/>
      <c r="K35" s="21">
        <v>4164360</v>
      </c>
      <c r="L35" s="22">
        <v>1644934</v>
      </c>
      <c r="M35" s="22">
        <v>0</v>
      </c>
      <c r="N35" s="22">
        <v>7332000</v>
      </c>
      <c r="O35" s="22">
        <v>548763</v>
      </c>
      <c r="P35" s="26">
        <f t="shared" si="11"/>
        <v>13690057</v>
      </c>
      <c r="Q35" s="12"/>
      <c r="R35" s="27">
        <v>537698.6</v>
      </c>
      <c r="S35" s="28">
        <v>232259.58</v>
      </c>
      <c r="T35" s="22">
        <v>0</v>
      </c>
      <c r="U35" s="28">
        <v>1086965.42</v>
      </c>
      <c r="V35" s="57">
        <v>79967.149999999994</v>
      </c>
      <c r="W35" s="58">
        <f t="shared" si="12"/>
        <v>1936890.7499999998</v>
      </c>
    </row>
    <row r="36" spans="2:23" x14ac:dyDescent="0.25">
      <c r="B36" s="126"/>
      <c r="C36" s="59" t="s">
        <v>55</v>
      </c>
      <c r="D36" s="34">
        <v>3259</v>
      </c>
      <c r="E36" s="35">
        <v>509</v>
      </c>
      <c r="F36" s="36">
        <v>0</v>
      </c>
      <c r="G36" s="36">
        <v>0</v>
      </c>
      <c r="H36" s="36">
        <v>13</v>
      </c>
      <c r="I36" s="37">
        <f t="shared" si="10"/>
        <v>3781</v>
      </c>
      <c r="J36" s="12"/>
      <c r="K36" s="60">
        <v>26699555</v>
      </c>
      <c r="L36" s="36">
        <v>26848517</v>
      </c>
      <c r="M36" s="36">
        <v>0</v>
      </c>
      <c r="N36" s="36">
        <v>0</v>
      </c>
      <c r="O36" s="36">
        <v>1071718</v>
      </c>
      <c r="P36" s="38">
        <f t="shared" si="11"/>
        <v>54619790</v>
      </c>
      <c r="Q36" s="12"/>
      <c r="R36" s="27">
        <v>3485460</v>
      </c>
      <c r="S36" s="28">
        <v>3378142</v>
      </c>
      <c r="T36" s="28">
        <v>0</v>
      </c>
      <c r="U36" s="28">
        <v>0</v>
      </c>
      <c r="V36" s="57">
        <v>138781</v>
      </c>
      <c r="W36" s="58">
        <f t="shared" si="12"/>
        <v>7002383</v>
      </c>
    </row>
    <row r="37" spans="2:23" ht="15.75" thickBot="1" x14ac:dyDescent="0.3">
      <c r="B37" s="129"/>
      <c r="C37" s="61" t="s">
        <v>56</v>
      </c>
      <c r="D37" s="42">
        <f>SUM(D26:D36)</f>
        <v>25902.333333333332</v>
      </c>
      <c r="E37" s="43">
        <f t="shared" ref="E37:G37" si="14">SUM(E26:E36)</f>
        <v>3224.083333333333</v>
      </c>
      <c r="F37" s="43">
        <f t="shared" si="14"/>
        <v>850.33333333333337</v>
      </c>
      <c r="G37" s="43">
        <f t="shared" si="14"/>
        <v>14</v>
      </c>
      <c r="H37" s="43">
        <f>SUM(H26:H36)</f>
        <v>138.91666666666669</v>
      </c>
      <c r="I37" s="44">
        <f t="shared" ref="I37" si="15">SUM(I26:I36)</f>
        <v>30129.666666666668</v>
      </c>
      <c r="J37" s="45"/>
      <c r="K37" s="42">
        <f t="shared" ref="K37:P37" si="16">SUM(K26:K36)</f>
        <v>167906354.26690957</v>
      </c>
      <c r="L37" s="43">
        <f t="shared" si="16"/>
        <v>76381241</v>
      </c>
      <c r="M37" s="43">
        <f t="shared" si="16"/>
        <v>55656573</v>
      </c>
      <c r="N37" s="43">
        <f t="shared" si="16"/>
        <v>43846168</v>
      </c>
      <c r="O37" s="43">
        <f t="shared" si="16"/>
        <v>3174432.2547445907</v>
      </c>
      <c r="P37" s="44">
        <f t="shared" si="16"/>
        <v>346964768.52165419</v>
      </c>
      <c r="Q37" s="45"/>
      <c r="R37" s="62">
        <f>SUM(R26:R36)</f>
        <v>25821575.904799998</v>
      </c>
      <c r="S37" s="63">
        <f t="shared" ref="S37:T37" si="17">SUM(S26:S36)</f>
        <v>11428420.268338187</v>
      </c>
      <c r="T37" s="63">
        <f t="shared" si="17"/>
        <v>8829409.3441818133</v>
      </c>
      <c r="U37" s="63">
        <f>SUM(U26:U36)</f>
        <v>6166576.7708000001</v>
      </c>
      <c r="V37" s="63">
        <f t="shared" ref="V37:W37" si="18">SUM(V26:V36)</f>
        <v>590880.57479999994</v>
      </c>
      <c r="W37" s="64">
        <f t="shared" si="18"/>
        <v>52836862.862920001</v>
      </c>
    </row>
    <row r="38" spans="2:23" x14ac:dyDescent="0.25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</row>
    <row r="39" spans="2:23" x14ac:dyDescent="0.25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</row>
    <row r="40" spans="2:23" ht="15.75" thickBot="1" x14ac:dyDescent="0.3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</row>
    <row r="41" spans="2:23" ht="15.75" thickBot="1" x14ac:dyDescent="0.3">
      <c r="B41" s="125">
        <v>2019</v>
      </c>
      <c r="C41" s="118">
        <v>2019</v>
      </c>
      <c r="D41" s="118"/>
      <c r="E41" s="118"/>
      <c r="F41" s="118"/>
      <c r="G41" s="118"/>
      <c r="H41" s="118"/>
      <c r="I41" s="118"/>
      <c r="J41" s="119"/>
      <c r="K41" s="118"/>
      <c r="L41" s="118"/>
      <c r="M41" s="118"/>
      <c r="N41" s="118"/>
      <c r="O41" s="118"/>
      <c r="P41" s="118"/>
      <c r="Q41" s="119"/>
      <c r="R41" s="118"/>
      <c r="S41" s="118"/>
      <c r="T41" s="118"/>
      <c r="U41" s="118"/>
      <c r="V41" s="118"/>
      <c r="W41" s="120"/>
    </row>
    <row r="42" spans="2:23" ht="22.5" customHeight="1" thickTop="1" x14ac:dyDescent="0.25">
      <c r="B42" s="126"/>
      <c r="C42" s="13"/>
      <c r="D42" s="121" t="s">
        <v>22</v>
      </c>
      <c r="E42" s="121"/>
      <c r="F42" s="121"/>
      <c r="G42" s="121"/>
      <c r="H42" s="121"/>
      <c r="I42" s="121"/>
      <c r="J42" s="14"/>
      <c r="K42" s="122" t="s">
        <v>23</v>
      </c>
      <c r="L42" s="123"/>
      <c r="M42" s="123"/>
      <c r="N42" s="123"/>
      <c r="O42" s="123"/>
      <c r="P42" s="124"/>
      <c r="Q42" s="14"/>
      <c r="R42" s="122" t="s">
        <v>24</v>
      </c>
      <c r="S42" s="123"/>
      <c r="T42" s="123"/>
      <c r="U42" s="123"/>
      <c r="V42" s="123"/>
      <c r="W42" s="124"/>
    </row>
    <row r="43" spans="2:23" ht="30" x14ac:dyDescent="0.25">
      <c r="B43" s="127"/>
      <c r="C43" s="52" t="s">
        <v>25</v>
      </c>
      <c r="D43" s="16" t="s">
        <v>26</v>
      </c>
      <c r="E43" s="17" t="s">
        <v>27</v>
      </c>
      <c r="F43" s="17" t="s">
        <v>28</v>
      </c>
      <c r="G43" s="17" t="s">
        <v>29</v>
      </c>
      <c r="H43" s="17" t="s">
        <v>30</v>
      </c>
      <c r="I43" s="18" t="s">
        <v>31</v>
      </c>
      <c r="J43" s="19"/>
      <c r="K43" s="16" t="s">
        <v>32</v>
      </c>
      <c r="L43" s="17" t="s">
        <v>33</v>
      </c>
      <c r="M43" s="17" t="s">
        <v>34</v>
      </c>
      <c r="N43" s="17" t="s">
        <v>35</v>
      </c>
      <c r="O43" s="17" t="s">
        <v>36</v>
      </c>
      <c r="P43" s="18" t="s">
        <v>37</v>
      </c>
      <c r="Q43" s="19"/>
      <c r="R43" s="16" t="s">
        <v>38</v>
      </c>
      <c r="S43" s="17" t="s">
        <v>39</v>
      </c>
      <c r="T43" s="17" t="s">
        <v>40</v>
      </c>
      <c r="U43" s="17" t="s">
        <v>41</v>
      </c>
      <c r="V43" s="17" t="s">
        <v>42</v>
      </c>
      <c r="W43" s="18" t="s">
        <v>43</v>
      </c>
    </row>
    <row r="44" spans="2:23" x14ac:dyDescent="0.25">
      <c r="B44" s="127"/>
      <c r="C44" s="53" t="s">
        <v>44</v>
      </c>
      <c r="D44" s="24">
        <v>1957</v>
      </c>
      <c r="E44" s="25">
        <v>187.16666666666666</v>
      </c>
      <c r="F44" s="22">
        <v>27</v>
      </c>
      <c r="G44" s="22">
        <v>0</v>
      </c>
      <c r="H44" s="22">
        <v>5</v>
      </c>
      <c r="I44" s="23">
        <f t="shared" ref="I44:I53" si="19">SUM(D44:H44)</f>
        <v>2176.1666666666665</v>
      </c>
      <c r="J44" s="12"/>
      <c r="K44" s="21">
        <v>10099154</v>
      </c>
      <c r="L44" s="22">
        <v>1017070</v>
      </c>
      <c r="M44" s="22">
        <v>2332694</v>
      </c>
      <c r="N44" s="22">
        <v>0</v>
      </c>
      <c r="O44" s="22">
        <v>115951</v>
      </c>
      <c r="P44" s="26">
        <f>SUM(K44:O44)</f>
        <v>13564869</v>
      </c>
      <c r="Q44" s="12"/>
      <c r="R44" s="65">
        <v>1993282.0299999996</v>
      </c>
      <c r="S44" s="66">
        <v>218580.94342981864</v>
      </c>
      <c r="T44" s="66">
        <v>467438.67657018139</v>
      </c>
      <c r="U44" s="55">
        <v>0</v>
      </c>
      <c r="V44" s="67">
        <v>34252.94</v>
      </c>
      <c r="W44" s="68">
        <f>SUM(R44:V44)</f>
        <v>2713554.5899999994</v>
      </c>
    </row>
    <row r="45" spans="2:23" x14ac:dyDescent="0.25">
      <c r="B45" s="127"/>
      <c r="C45" s="53" t="s">
        <v>45</v>
      </c>
      <c r="D45" s="24">
        <v>1544.25</v>
      </c>
      <c r="E45" s="25">
        <v>193.91666666666666</v>
      </c>
      <c r="F45" s="22">
        <v>20.166666666666668</v>
      </c>
      <c r="G45" s="22">
        <v>4</v>
      </c>
      <c r="H45" s="22">
        <v>7</v>
      </c>
      <c r="I45" s="23">
        <f t="shared" si="19"/>
        <v>1769.3333333333335</v>
      </c>
      <c r="J45" s="12"/>
      <c r="K45" s="21">
        <v>13654274.336328056</v>
      </c>
      <c r="L45" s="22">
        <v>2326872</v>
      </c>
      <c r="M45" s="22">
        <v>2943265</v>
      </c>
      <c r="N45" s="22">
        <v>7210800</v>
      </c>
      <c r="O45" s="22">
        <v>126686.00000000001</v>
      </c>
      <c r="P45" s="26">
        <f t="shared" ref="P45:P53" si="20">SUM(K45:O45)</f>
        <v>26261897.336328056</v>
      </c>
      <c r="Q45" s="12"/>
      <c r="R45" s="27">
        <v>2193572.80528</v>
      </c>
      <c r="S45" s="28">
        <v>380468.59943999996</v>
      </c>
      <c r="T45" s="28">
        <v>451034.41065000003</v>
      </c>
      <c r="U45" s="28">
        <v>932148.11199999985</v>
      </c>
      <c r="V45" s="57">
        <v>26797.323460000003</v>
      </c>
      <c r="W45" s="58">
        <f t="shared" ref="W45:W54" si="21">SUM(R45:V45)</f>
        <v>3984021.2508299998</v>
      </c>
    </row>
    <row r="46" spans="2:23" x14ac:dyDescent="0.25">
      <c r="B46" s="127"/>
      <c r="C46" s="53" t="s">
        <v>46</v>
      </c>
      <c r="D46" s="22">
        <v>4020</v>
      </c>
      <c r="E46" s="22">
        <v>398</v>
      </c>
      <c r="F46" s="22">
        <v>29</v>
      </c>
      <c r="G46" s="22">
        <v>0</v>
      </c>
      <c r="H46" s="22">
        <v>20</v>
      </c>
      <c r="I46" s="26">
        <f t="shared" si="19"/>
        <v>4467</v>
      </c>
      <c r="J46" s="12"/>
      <c r="K46" s="21">
        <v>23422104</v>
      </c>
      <c r="L46" s="22">
        <f>5020669</f>
        <v>5020669</v>
      </c>
      <c r="M46" s="22">
        <v>5174088</v>
      </c>
      <c r="N46" s="22">
        <v>0</v>
      </c>
      <c r="O46" s="22">
        <f>122287+45927</f>
        <v>168214</v>
      </c>
      <c r="P46" s="26">
        <f t="shared" si="20"/>
        <v>33785075</v>
      </c>
      <c r="Q46" s="12"/>
      <c r="R46" s="27">
        <v>4230840</v>
      </c>
      <c r="S46" s="28">
        <f>919854</f>
        <v>919854</v>
      </c>
      <c r="T46" s="28">
        <v>911324</v>
      </c>
      <c r="U46" s="28">
        <v>0</v>
      </c>
      <c r="V46" s="28">
        <f>46577+2384+1</f>
        <v>48962</v>
      </c>
      <c r="W46" s="29">
        <f t="shared" si="21"/>
        <v>6110980</v>
      </c>
    </row>
    <row r="47" spans="2:23" x14ac:dyDescent="0.25">
      <c r="B47" s="127"/>
      <c r="C47" s="53" t="s">
        <v>47</v>
      </c>
      <c r="D47" s="24">
        <v>656</v>
      </c>
      <c r="E47" s="25">
        <v>50</v>
      </c>
      <c r="F47" s="22">
        <v>0</v>
      </c>
      <c r="G47" s="22">
        <v>4</v>
      </c>
      <c r="H47" s="22">
        <v>1</v>
      </c>
      <c r="I47" s="23">
        <f t="shared" si="19"/>
        <v>711</v>
      </c>
      <c r="J47" s="12"/>
      <c r="K47" s="21">
        <v>3468887</v>
      </c>
      <c r="L47" s="22">
        <v>555038</v>
      </c>
      <c r="M47" s="22">
        <v>0</v>
      </c>
      <c r="N47" s="22">
        <v>865613</v>
      </c>
      <c r="O47" s="22">
        <v>16961.300000000003</v>
      </c>
      <c r="P47" s="26">
        <f t="shared" si="20"/>
        <v>4906499.3</v>
      </c>
      <c r="Q47" s="12"/>
      <c r="R47" s="27">
        <v>589947.00000000012</v>
      </c>
      <c r="S47" s="28">
        <v>95533.190000000017</v>
      </c>
      <c r="T47" s="28">
        <v>0</v>
      </c>
      <c r="U47" s="28">
        <v>150155.91999999998</v>
      </c>
      <c r="V47" s="57">
        <v>3280.0800000000004</v>
      </c>
      <c r="W47" s="58">
        <f t="shared" si="21"/>
        <v>838916.19000000006</v>
      </c>
    </row>
    <row r="48" spans="2:23" x14ac:dyDescent="0.25">
      <c r="B48" s="127"/>
      <c r="C48" s="53" t="s">
        <v>48</v>
      </c>
      <c r="D48" s="24">
        <v>805</v>
      </c>
      <c r="E48" s="25">
        <v>123</v>
      </c>
      <c r="F48" s="22">
        <v>16</v>
      </c>
      <c r="G48" s="22">
        <v>0</v>
      </c>
      <c r="H48" s="22">
        <v>33.083333333333336</v>
      </c>
      <c r="I48" s="23">
        <f t="shared" si="19"/>
        <v>977.08333333333337</v>
      </c>
      <c r="J48" s="12"/>
      <c r="K48" s="21">
        <v>5134304</v>
      </c>
      <c r="L48" s="22">
        <v>1614204.68</v>
      </c>
      <c r="M48" s="22">
        <v>5770337.3399999999</v>
      </c>
      <c r="N48" s="22">
        <v>0</v>
      </c>
      <c r="O48" s="22">
        <v>63661</v>
      </c>
      <c r="P48" s="26">
        <f t="shared" si="20"/>
        <v>12582507.02</v>
      </c>
      <c r="Q48" s="12"/>
      <c r="R48" s="27">
        <v>892953.86999999988</v>
      </c>
      <c r="S48" s="28">
        <v>309559.67</v>
      </c>
      <c r="T48" s="28">
        <v>930265.24</v>
      </c>
      <c r="U48" s="22">
        <v>0</v>
      </c>
      <c r="V48" s="57">
        <v>15151.86</v>
      </c>
      <c r="W48" s="58">
        <f t="shared" si="21"/>
        <v>2147930.6399999997</v>
      </c>
    </row>
    <row r="49" spans="2:23" x14ac:dyDescent="0.25">
      <c r="B49" s="127"/>
      <c r="C49" s="69" t="s">
        <v>49</v>
      </c>
      <c r="D49" s="22">
        <v>3090</v>
      </c>
      <c r="E49" s="30" t="s">
        <v>50</v>
      </c>
      <c r="F49" s="22">
        <f>607+117-4</f>
        <v>720</v>
      </c>
      <c r="G49" s="22">
        <v>4</v>
      </c>
      <c r="H49" s="22">
        <v>3</v>
      </c>
      <c r="I49" s="26">
        <f t="shared" si="19"/>
        <v>3817</v>
      </c>
      <c r="J49" s="12"/>
      <c r="K49" s="21">
        <v>16822880</v>
      </c>
      <c r="L49" s="30" t="s">
        <v>50</v>
      </c>
      <c r="M49" s="22">
        <v>18343222</v>
      </c>
      <c r="N49" s="22">
        <v>19848414</v>
      </c>
      <c r="O49" s="22">
        <v>324996</v>
      </c>
      <c r="P49" s="26">
        <f t="shared" si="20"/>
        <v>55339512</v>
      </c>
      <c r="Q49" s="12"/>
      <c r="R49" s="27">
        <v>2199505</v>
      </c>
      <c r="S49" s="32" t="s">
        <v>50</v>
      </c>
      <c r="T49" s="28">
        <v>2843271</v>
      </c>
      <c r="U49" s="28">
        <v>3107142</v>
      </c>
      <c r="V49" s="28">
        <v>98236</v>
      </c>
      <c r="W49" s="29">
        <f t="shared" si="21"/>
        <v>8248154</v>
      </c>
    </row>
    <row r="50" spans="2:23" x14ac:dyDescent="0.25">
      <c r="B50" s="127"/>
      <c r="C50" s="53" t="s">
        <v>51</v>
      </c>
      <c r="D50" s="21">
        <v>4836</v>
      </c>
      <c r="E50" s="22">
        <v>882</v>
      </c>
      <c r="F50" s="22">
        <v>41</v>
      </c>
      <c r="G50" s="22">
        <v>0</v>
      </c>
      <c r="H50" s="22">
        <v>0</v>
      </c>
      <c r="I50" s="26">
        <f t="shared" si="19"/>
        <v>5759</v>
      </c>
      <c r="J50" s="12"/>
      <c r="K50" s="21">
        <v>31319238</v>
      </c>
      <c r="L50" s="22">
        <v>12105517</v>
      </c>
      <c r="M50" s="22">
        <v>17952115</v>
      </c>
      <c r="N50" s="22">
        <v>0</v>
      </c>
      <c r="O50" s="22">
        <v>477867</v>
      </c>
      <c r="P50" s="26">
        <f t="shared" si="20"/>
        <v>61854737</v>
      </c>
      <c r="Q50" s="12"/>
      <c r="R50" s="27">
        <v>4813814.802480001</v>
      </c>
      <c r="S50" s="28">
        <v>1840402.9499999997</v>
      </c>
      <c r="T50" s="28">
        <v>2358616.9392400002</v>
      </c>
      <c r="U50" s="22">
        <v>0</v>
      </c>
      <c r="V50" s="28">
        <v>99757.999999999985</v>
      </c>
      <c r="W50" s="29">
        <f t="shared" si="21"/>
        <v>9112592.6917200014</v>
      </c>
    </row>
    <row r="51" spans="2:23" x14ac:dyDescent="0.25">
      <c r="B51" s="127"/>
      <c r="C51" s="53" t="s">
        <v>52</v>
      </c>
      <c r="D51" s="22">
        <v>3498</v>
      </c>
      <c r="E51" s="22">
        <v>550</v>
      </c>
      <c r="F51" s="22">
        <v>94</v>
      </c>
      <c r="G51" s="22">
        <v>0</v>
      </c>
      <c r="H51" s="22">
        <v>4</v>
      </c>
      <c r="I51" s="26">
        <f t="shared" si="19"/>
        <v>4146</v>
      </c>
      <c r="J51" s="12"/>
      <c r="K51" s="21">
        <v>21460395</v>
      </c>
      <c r="L51" s="22">
        <v>5438160</v>
      </c>
      <c r="M51" s="22">
        <v>18243106</v>
      </c>
      <c r="N51" s="22">
        <v>0</v>
      </c>
      <c r="O51" s="22">
        <v>38148</v>
      </c>
      <c r="P51" s="26">
        <f t="shared" si="20"/>
        <v>45179809</v>
      </c>
      <c r="Q51" s="12"/>
      <c r="R51" s="27">
        <v>3374513</v>
      </c>
      <c r="S51" s="28">
        <v>876899</v>
      </c>
      <c r="T51" s="28">
        <v>2761860</v>
      </c>
      <c r="U51" s="22">
        <v>0</v>
      </c>
      <c r="V51" s="28">
        <v>22597</v>
      </c>
      <c r="W51" s="29">
        <f t="shared" si="21"/>
        <v>7035869</v>
      </c>
    </row>
    <row r="52" spans="2:23" x14ac:dyDescent="0.25">
      <c r="B52" s="127"/>
      <c r="C52" s="53" t="s">
        <v>53</v>
      </c>
      <c r="D52" s="24">
        <v>1620.3333333333333</v>
      </c>
      <c r="E52" s="25">
        <v>193.08333333333334</v>
      </c>
      <c r="F52" s="22">
        <v>16.166666666666664</v>
      </c>
      <c r="G52" s="22">
        <v>1</v>
      </c>
      <c r="H52" s="22">
        <v>32</v>
      </c>
      <c r="I52" s="23">
        <f t="shared" si="19"/>
        <v>1862.5833333333333</v>
      </c>
      <c r="J52" s="12"/>
      <c r="K52" s="21">
        <v>10186640</v>
      </c>
      <c r="L52" s="22">
        <v>2384371</v>
      </c>
      <c r="M52" s="22">
        <v>7314434</v>
      </c>
      <c r="N52" s="22">
        <v>8849076</v>
      </c>
      <c r="O52" s="22">
        <v>89453</v>
      </c>
      <c r="P52" s="26">
        <f t="shared" si="20"/>
        <v>28823974</v>
      </c>
      <c r="Q52" s="12"/>
      <c r="R52" s="27">
        <v>1404573.94</v>
      </c>
      <c r="S52" s="28">
        <v>381453.29022000008</v>
      </c>
      <c r="T52" s="28">
        <v>840329.7797800001</v>
      </c>
      <c r="U52" s="28">
        <v>1105238.9499999997</v>
      </c>
      <c r="V52" s="57">
        <v>25796.15</v>
      </c>
      <c r="W52" s="58">
        <f t="shared" si="21"/>
        <v>3757392.11</v>
      </c>
    </row>
    <row r="53" spans="2:23" x14ac:dyDescent="0.25">
      <c r="B53" s="127"/>
      <c r="C53" s="53" t="s">
        <v>54</v>
      </c>
      <c r="D53" s="24">
        <v>575</v>
      </c>
      <c r="E53" s="25">
        <v>68</v>
      </c>
      <c r="F53" s="22">
        <v>0</v>
      </c>
      <c r="G53" s="22">
        <v>1</v>
      </c>
      <c r="H53" s="22">
        <v>21</v>
      </c>
      <c r="I53" s="23">
        <f t="shared" si="19"/>
        <v>665</v>
      </c>
      <c r="J53" s="12"/>
      <c r="K53" s="21">
        <v>3938087</v>
      </c>
      <c r="L53" s="22">
        <v>1571359</v>
      </c>
      <c r="M53" s="22">
        <v>0</v>
      </c>
      <c r="N53" s="22">
        <v>6624000</v>
      </c>
      <c r="O53" s="22">
        <v>554536</v>
      </c>
      <c r="P53" s="26">
        <f t="shared" si="20"/>
        <v>12687982</v>
      </c>
      <c r="Q53" s="12"/>
      <c r="R53" s="27">
        <v>510863.49000000005</v>
      </c>
      <c r="S53" s="28">
        <v>223244.77</v>
      </c>
      <c r="T53" s="22">
        <v>0</v>
      </c>
      <c r="U53" s="28">
        <v>1010195.9200000002</v>
      </c>
      <c r="V53" s="57">
        <v>80854.489999999991</v>
      </c>
      <c r="W53" s="58">
        <f t="shared" si="21"/>
        <v>1825158.6700000002</v>
      </c>
    </row>
    <row r="54" spans="2:23" x14ac:dyDescent="0.25">
      <c r="B54" s="127"/>
      <c r="C54" s="53" t="s">
        <v>55</v>
      </c>
      <c r="D54" s="24">
        <v>3289</v>
      </c>
      <c r="E54" s="25">
        <v>421</v>
      </c>
      <c r="F54" s="22">
        <v>0</v>
      </c>
      <c r="G54" s="22">
        <v>0</v>
      </c>
      <c r="H54" s="22">
        <v>13</v>
      </c>
      <c r="I54" s="23">
        <f>SUM(D54:H54)</f>
        <v>3723</v>
      </c>
      <c r="J54" s="12"/>
      <c r="K54" s="21">
        <v>26143717</v>
      </c>
      <c r="L54" s="22">
        <v>25850209</v>
      </c>
      <c r="M54" s="22">
        <v>0</v>
      </c>
      <c r="N54" s="22">
        <v>0</v>
      </c>
      <c r="O54" s="22">
        <v>1144637</v>
      </c>
      <c r="P54" s="26">
        <f>SUM(K54:O54)</f>
        <v>53138563</v>
      </c>
      <c r="Q54" s="12"/>
      <c r="R54" s="27">
        <v>3402759</v>
      </c>
      <c r="S54" s="28">
        <v>3241062</v>
      </c>
      <c r="T54" s="22">
        <v>0</v>
      </c>
      <c r="U54" s="22">
        <v>0</v>
      </c>
      <c r="V54" s="57">
        <v>144074</v>
      </c>
      <c r="W54" s="58">
        <f t="shared" si="21"/>
        <v>6787895</v>
      </c>
    </row>
    <row r="55" spans="2:23" ht="15.75" thickBot="1" x14ac:dyDescent="0.3">
      <c r="B55" s="128"/>
      <c r="C55" s="70" t="s">
        <v>56</v>
      </c>
      <c r="D55" s="71">
        <f>SUM(D44:D54)</f>
        <v>25890.583333333332</v>
      </c>
      <c r="E55" s="72">
        <f t="shared" ref="E55:G55" si="22">SUM(E44:E54)</f>
        <v>3066.1666666666665</v>
      </c>
      <c r="F55" s="72">
        <f t="shared" si="22"/>
        <v>963.33333333333326</v>
      </c>
      <c r="G55" s="72">
        <f t="shared" si="22"/>
        <v>14</v>
      </c>
      <c r="H55" s="72">
        <f>SUM(H44:H54)</f>
        <v>139.08333333333334</v>
      </c>
      <c r="I55" s="73">
        <f t="shared" ref="I55" si="23">SUM(I44:I54)</f>
        <v>30073.166666666668</v>
      </c>
      <c r="J55" s="45"/>
      <c r="K55" s="71">
        <f t="shared" ref="K55:P55" si="24">SUM(K44:K54)</f>
        <v>165649680.33632806</v>
      </c>
      <c r="L55" s="72">
        <f t="shared" si="24"/>
        <v>57883469.68</v>
      </c>
      <c r="M55" s="72">
        <f>SUM(M44:M54)</f>
        <v>78073261.340000004</v>
      </c>
      <c r="N55" s="72">
        <f t="shared" si="24"/>
        <v>43397903</v>
      </c>
      <c r="O55" s="72">
        <f t="shared" si="24"/>
        <v>3121110.3</v>
      </c>
      <c r="P55" s="73">
        <f t="shared" si="24"/>
        <v>348125424.65632808</v>
      </c>
      <c r="Q55" s="45"/>
      <c r="R55" s="62">
        <f>SUM(R44:R54)</f>
        <v>25606624.937759999</v>
      </c>
      <c r="S55" s="63">
        <f t="shared" ref="S55:W55" si="25">SUM(S44:S54)</f>
        <v>8487058.4130898174</v>
      </c>
      <c r="T55" s="63">
        <f t="shared" si="25"/>
        <v>11564140.046240181</v>
      </c>
      <c r="U55" s="63">
        <f t="shared" si="25"/>
        <v>6304880.9019999988</v>
      </c>
      <c r="V55" s="63">
        <f t="shared" si="25"/>
        <v>599759.84346</v>
      </c>
      <c r="W55" s="64">
        <f t="shared" si="25"/>
        <v>52562464.142549999</v>
      </c>
    </row>
    <row r="56" spans="2:23" x14ac:dyDescent="0.25"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</row>
    <row r="57" spans="2:23" x14ac:dyDescent="0.25"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</row>
    <row r="58" spans="2:23" ht="15.75" thickBot="1" x14ac:dyDescent="0.3"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</row>
    <row r="59" spans="2:23" ht="15.75" thickBot="1" x14ac:dyDescent="0.3">
      <c r="B59" s="125">
        <v>2020</v>
      </c>
      <c r="C59" s="118">
        <v>2020</v>
      </c>
      <c r="D59" s="118"/>
      <c r="E59" s="118"/>
      <c r="F59" s="118"/>
      <c r="G59" s="118"/>
      <c r="H59" s="118"/>
      <c r="I59" s="118"/>
      <c r="J59" s="119"/>
      <c r="K59" s="118"/>
      <c r="L59" s="118"/>
      <c r="M59" s="118"/>
      <c r="N59" s="118"/>
      <c r="O59" s="118"/>
      <c r="P59" s="118"/>
      <c r="Q59" s="119"/>
      <c r="R59" s="118"/>
      <c r="S59" s="118"/>
      <c r="T59" s="118"/>
      <c r="U59" s="118"/>
      <c r="V59" s="118"/>
      <c r="W59" s="120"/>
    </row>
    <row r="60" spans="2:23" ht="30.75" customHeight="1" thickTop="1" x14ac:dyDescent="0.25">
      <c r="B60" s="126"/>
      <c r="C60" s="13"/>
      <c r="D60" s="121" t="s">
        <v>22</v>
      </c>
      <c r="E60" s="121"/>
      <c r="F60" s="121"/>
      <c r="G60" s="121"/>
      <c r="H60" s="121"/>
      <c r="I60" s="121"/>
      <c r="J60" s="14"/>
      <c r="K60" s="122" t="s">
        <v>23</v>
      </c>
      <c r="L60" s="123"/>
      <c r="M60" s="123"/>
      <c r="N60" s="123"/>
      <c r="O60" s="123"/>
      <c r="P60" s="124"/>
      <c r="Q60" s="14"/>
      <c r="R60" s="122" t="s">
        <v>24</v>
      </c>
      <c r="S60" s="123"/>
      <c r="T60" s="123"/>
      <c r="U60" s="123"/>
      <c r="V60" s="123"/>
      <c r="W60" s="124"/>
    </row>
    <row r="61" spans="2:23" ht="30" x14ac:dyDescent="0.25">
      <c r="B61" s="126"/>
      <c r="C61" s="15" t="s">
        <v>25</v>
      </c>
      <c r="D61" s="16" t="s">
        <v>26</v>
      </c>
      <c r="E61" s="17" t="s">
        <v>27</v>
      </c>
      <c r="F61" s="17" t="s">
        <v>28</v>
      </c>
      <c r="G61" s="17" t="s">
        <v>29</v>
      </c>
      <c r="H61" s="17" t="s">
        <v>30</v>
      </c>
      <c r="I61" s="18" t="s">
        <v>31</v>
      </c>
      <c r="J61" s="19"/>
      <c r="K61" s="16" t="s">
        <v>32</v>
      </c>
      <c r="L61" s="17" t="s">
        <v>33</v>
      </c>
      <c r="M61" s="17" t="s">
        <v>34</v>
      </c>
      <c r="N61" s="17" t="s">
        <v>35</v>
      </c>
      <c r="O61" s="17" t="s">
        <v>36</v>
      </c>
      <c r="P61" s="18" t="s">
        <v>37</v>
      </c>
      <c r="Q61" s="19"/>
      <c r="R61" s="16" t="s">
        <v>38</v>
      </c>
      <c r="S61" s="17" t="s">
        <v>39</v>
      </c>
      <c r="T61" s="17" t="s">
        <v>40</v>
      </c>
      <c r="U61" s="17" t="s">
        <v>41</v>
      </c>
      <c r="V61" s="17" t="s">
        <v>42</v>
      </c>
      <c r="W61" s="18" t="s">
        <v>43</v>
      </c>
    </row>
    <row r="62" spans="2:23" x14ac:dyDescent="0.25">
      <c r="B62" s="126"/>
      <c r="C62" s="20" t="s">
        <v>44</v>
      </c>
      <c r="D62" s="24">
        <v>1969.25</v>
      </c>
      <c r="E62" s="25">
        <v>185.91666666666666</v>
      </c>
      <c r="F62" s="22">
        <v>26</v>
      </c>
      <c r="G62" s="22">
        <v>0</v>
      </c>
      <c r="H62" s="22">
        <v>5</v>
      </c>
      <c r="I62" s="23">
        <f t="shared" ref="I62:I71" si="26">SUM(D62:H62)</f>
        <v>2186.1666666666665</v>
      </c>
      <c r="J62" s="12"/>
      <c r="K62" s="24">
        <v>10862720</v>
      </c>
      <c r="L62" s="22">
        <v>902219</v>
      </c>
      <c r="M62" s="22">
        <v>2128822</v>
      </c>
      <c r="N62" s="22">
        <v>0</v>
      </c>
      <c r="O62" s="22">
        <v>130160</v>
      </c>
      <c r="P62" s="26">
        <f>SUM(K62:O62)</f>
        <v>14023921</v>
      </c>
      <c r="Q62" s="12"/>
      <c r="R62" s="27">
        <v>2152392.4900000002</v>
      </c>
      <c r="S62" s="28">
        <v>197282.92592168655</v>
      </c>
      <c r="T62" s="28">
        <v>425107.37407831335</v>
      </c>
      <c r="U62" s="22">
        <v>0</v>
      </c>
      <c r="V62" s="57">
        <v>34982.92</v>
      </c>
      <c r="W62" s="58">
        <f>SUM(R62:V62)</f>
        <v>2809765.71</v>
      </c>
    </row>
    <row r="63" spans="2:23" x14ac:dyDescent="0.25">
      <c r="B63" s="126"/>
      <c r="C63" s="20" t="s">
        <v>45</v>
      </c>
      <c r="D63" s="24">
        <v>1558.8333333333333</v>
      </c>
      <c r="E63" s="25">
        <v>195</v>
      </c>
      <c r="F63" s="22">
        <v>21</v>
      </c>
      <c r="G63" s="22">
        <v>4</v>
      </c>
      <c r="H63" s="22">
        <v>7</v>
      </c>
      <c r="I63" s="23">
        <f t="shared" si="26"/>
        <v>1785.8333333333333</v>
      </c>
      <c r="J63" s="12"/>
      <c r="K63" s="24">
        <v>14305721.120440386</v>
      </c>
      <c r="L63" s="22">
        <v>2129518</v>
      </c>
      <c r="M63" s="22">
        <v>2901605</v>
      </c>
      <c r="N63" s="22">
        <v>6972120</v>
      </c>
      <c r="O63" s="22">
        <v>83813</v>
      </c>
      <c r="P63" s="26">
        <f t="shared" ref="P63:P72" si="27">SUM(K63:O63)</f>
        <v>26392777.120440386</v>
      </c>
      <c r="Q63" s="12"/>
      <c r="R63" s="27">
        <v>2343160.85</v>
      </c>
      <c r="S63" s="28">
        <v>358067.37338999991</v>
      </c>
      <c r="T63" s="28">
        <v>453452.31414999999</v>
      </c>
      <c r="U63" s="28">
        <v>927789.38840000005</v>
      </c>
      <c r="V63" s="57">
        <v>17667.174919999998</v>
      </c>
      <c r="W63" s="58">
        <f t="shared" ref="W63:W72" si="28">SUM(R63:V63)</f>
        <v>4100137.1008600001</v>
      </c>
    </row>
    <row r="64" spans="2:23" x14ac:dyDescent="0.25">
      <c r="B64" s="126"/>
      <c r="C64" s="20" t="s">
        <v>46</v>
      </c>
      <c r="D64" s="24">
        <v>4203</v>
      </c>
      <c r="E64" s="25">
        <v>379</v>
      </c>
      <c r="F64" s="22">
        <v>34</v>
      </c>
      <c r="G64" s="22">
        <v>0</v>
      </c>
      <c r="H64" s="22">
        <v>20</v>
      </c>
      <c r="I64" s="23">
        <f t="shared" si="26"/>
        <v>4636</v>
      </c>
      <c r="J64" s="12"/>
      <c r="K64" s="24">
        <v>24488770</v>
      </c>
      <c r="L64" s="22">
        <v>5037580</v>
      </c>
      <c r="M64" s="22">
        <v>4925179</v>
      </c>
      <c r="N64" s="22">
        <v>0</v>
      </c>
      <c r="O64" s="22">
        <v>154895.65852999999</v>
      </c>
      <c r="P64" s="26">
        <f t="shared" si="27"/>
        <v>34606424.658529997</v>
      </c>
      <c r="Q64" s="12"/>
      <c r="R64" s="27">
        <v>4124407.9700000007</v>
      </c>
      <c r="S64" s="28">
        <v>889550.76000000013</v>
      </c>
      <c r="T64" s="28">
        <v>825124.7</v>
      </c>
      <c r="U64" s="28">
        <v>0</v>
      </c>
      <c r="V64" s="57">
        <v>45241.510000000009</v>
      </c>
      <c r="W64" s="58">
        <f t="shared" si="28"/>
        <v>5884324.9400000004</v>
      </c>
    </row>
    <row r="65" spans="2:23" x14ac:dyDescent="0.25">
      <c r="B65" s="126"/>
      <c r="C65" s="20" t="s">
        <v>47</v>
      </c>
      <c r="D65" s="24">
        <v>663.41666666666663</v>
      </c>
      <c r="E65" s="25">
        <v>50.416666666666664</v>
      </c>
      <c r="F65" s="22">
        <v>0</v>
      </c>
      <c r="G65" s="22">
        <v>4</v>
      </c>
      <c r="H65" s="22">
        <v>1</v>
      </c>
      <c r="I65" s="23">
        <f t="shared" si="26"/>
        <v>718.83333333333326</v>
      </c>
      <c r="J65" s="12"/>
      <c r="K65" s="24">
        <v>3637588</v>
      </c>
      <c r="L65" s="22">
        <v>578354</v>
      </c>
      <c r="M65" s="22">
        <v>0</v>
      </c>
      <c r="N65" s="22">
        <v>732662</v>
      </c>
      <c r="O65" s="22">
        <v>17226</v>
      </c>
      <c r="P65" s="26">
        <f t="shared" si="27"/>
        <v>4965830</v>
      </c>
      <c r="Q65" s="12"/>
      <c r="R65" s="27">
        <v>625211.55999999994</v>
      </c>
      <c r="S65" s="28">
        <v>99444.26999999999</v>
      </c>
      <c r="T65" s="28">
        <v>0</v>
      </c>
      <c r="U65" s="28">
        <v>130909.88</v>
      </c>
      <c r="V65" s="57">
        <v>3311.2200000000007</v>
      </c>
      <c r="W65" s="58">
        <f t="shared" si="28"/>
        <v>858876.92999999993</v>
      </c>
    </row>
    <row r="66" spans="2:23" x14ac:dyDescent="0.25">
      <c r="B66" s="126"/>
      <c r="C66" s="20" t="s">
        <v>48</v>
      </c>
      <c r="D66" s="24">
        <v>810.5</v>
      </c>
      <c r="E66" s="25">
        <v>120.91666666666667</v>
      </c>
      <c r="F66" s="22">
        <v>17</v>
      </c>
      <c r="G66" s="22">
        <v>0</v>
      </c>
      <c r="H66" s="22">
        <v>33</v>
      </c>
      <c r="I66" s="23">
        <f t="shared" si="26"/>
        <v>981.41666666666663</v>
      </c>
      <c r="J66" s="12"/>
      <c r="K66" s="24">
        <v>5474159.2300000004</v>
      </c>
      <c r="L66" s="22">
        <v>1343704.79</v>
      </c>
      <c r="M66" s="22">
        <v>4671221.1500000004</v>
      </c>
      <c r="N66" s="22">
        <v>0</v>
      </c>
      <c r="O66" s="22">
        <v>63776</v>
      </c>
      <c r="P66" s="26">
        <f t="shared" si="27"/>
        <v>11552861.170000002</v>
      </c>
      <c r="Q66" s="12"/>
      <c r="R66" s="27">
        <v>948377.49</v>
      </c>
      <c r="S66" s="28">
        <v>262559.90000000002</v>
      </c>
      <c r="T66" s="28">
        <v>788275.66</v>
      </c>
      <c r="U66" s="22">
        <v>0</v>
      </c>
      <c r="V66" s="57">
        <v>15192.2</v>
      </c>
      <c r="W66" s="58">
        <f t="shared" si="28"/>
        <v>2014405.2500000002</v>
      </c>
    </row>
    <row r="67" spans="2:23" x14ac:dyDescent="0.25">
      <c r="B67" s="126"/>
      <c r="C67" s="20" t="s">
        <v>49</v>
      </c>
      <c r="D67" s="74">
        <v>3085</v>
      </c>
      <c r="E67" s="74">
        <v>642</v>
      </c>
      <c r="F67" s="74">
        <v>117</v>
      </c>
      <c r="G67" s="75" t="s">
        <v>50</v>
      </c>
      <c r="H67" s="74">
        <v>9</v>
      </c>
      <c r="I67" s="23">
        <f t="shared" si="26"/>
        <v>3853</v>
      </c>
      <c r="J67" s="12"/>
      <c r="K67" s="24">
        <v>18985814</v>
      </c>
      <c r="L67" s="74">
        <v>3426226</v>
      </c>
      <c r="M67" s="74">
        <v>27789576</v>
      </c>
      <c r="N67" s="75" t="s">
        <v>50</v>
      </c>
      <c r="O67" s="74">
        <f>319162+1</f>
        <v>319163</v>
      </c>
      <c r="P67" s="26">
        <f t="shared" si="27"/>
        <v>50520779</v>
      </c>
      <c r="Q67" s="12"/>
      <c r="R67" s="27">
        <v>2550667</v>
      </c>
      <c r="S67" s="76">
        <v>661335</v>
      </c>
      <c r="T67" s="76">
        <v>4314820</v>
      </c>
      <c r="U67" s="75" t="s">
        <v>50</v>
      </c>
      <c r="V67" s="76">
        <v>99353</v>
      </c>
      <c r="W67" s="58">
        <f t="shared" si="28"/>
        <v>7626175</v>
      </c>
    </row>
    <row r="68" spans="2:23" x14ac:dyDescent="0.25">
      <c r="B68" s="126"/>
      <c r="C68" s="20" t="s">
        <v>51</v>
      </c>
      <c r="D68" s="21">
        <v>4865.5</v>
      </c>
      <c r="E68" s="22">
        <v>907.66666666666663</v>
      </c>
      <c r="F68" s="22">
        <v>41</v>
      </c>
      <c r="G68" s="22">
        <v>0</v>
      </c>
      <c r="H68" s="22">
        <v>0</v>
      </c>
      <c r="I68" s="26">
        <f t="shared" si="26"/>
        <v>5814.166666666667</v>
      </c>
      <c r="J68" s="12"/>
      <c r="K68" s="21">
        <v>32187261</v>
      </c>
      <c r="L68" s="22">
        <v>11528733</v>
      </c>
      <c r="M68" s="22">
        <v>15791850</v>
      </c>
      <c r="N68" s="22">
        <v>0</v>
      </c>
      <c r="O68" s="22">
        <v>476968</v>
      </c>
      <c r="P68" s="26">
        <f t="shared" si="27"/>
        <v>59984812</v>
      </c>
      <c r="Q68" s="12"/>
      <c r="R68" s="27">
        <v>4979695</v>
      </c>
      <c r="S68" s="28">
        <v>1760149.9790000001</v>
      </c>
      <c r="T68" s="28">
        <v>2150014.0209999997</v>
      </c>
      <c r="U68" s="22">
        <v>0</v>
      </c>
      <c r="V68" s="28">
        <v>100271.00000000001</v>
      </c>
      <c r="W68" s="29">
        <f t="shared" si="28"/>
        <v>8990130</v>
      </c>
    </row>
    <row r="69" spans="2:23" x14ac:dyDescent="0.25">
      <c r="B69" s="126"/>
      <c r="C69" s="20" t="s">
        <v>52</v>
      </c>
      <c r="D69" s="74">
        <v>3602</v>
      </c>
      <c r="E69" s="74">
        <v>564</v>
      </c>
      <c r="F69" s="74">
        <v>98</v>
      </c>
      <c r="G69" s="22">
        <v>0</v>
      </c>
      <c r="H69" s="74">
        <v>4</v>
      </c>
      <c r="I69" s="23">
        <f t="shared" si="26"/>
        <v>4268</v>
      </c>
      <c r="J69" s="12"/>
      <c r="K69" s="24">
        <v>22894833</v>
      </c>
      <c r="L69" s="74">
        <v>5242915</v>
      </c>
      <c r="M69" s="74">
        <v>17889995</v>
      </c>
      <c r="N69" s="22">
        <v>0</v>
      </c>
      <c r="O69" s="74">
        <v>37380</v>
      </c>
      <c r="P69" s="26">
        <f t="shared" si="27"/>
        <v>46065123</v>
      </c>
      <c r="Q69" s="12"/>
      <c r="R69" s="27">
        <v>3572479</v>
      </c>
      <c r="S69" s="76">
        <v>802659</v>
      </c>
      <c r="T69" s="76">
        <v>2710409</v>
      </c>
      <c r="U69" s="22">
        <v>0</v>
      </c>
      <c r="V69" s="76">
        <v>22597</v>
      </c>
      <c r="W69" s="58">
        <f t="shared" si="28"/>
        <v>7108144</v>
      </c>
    </row>
    <row r="70" spans="2:23" x14ac:dyDescent="0.25">
      <c r="B70" s="126"/>
      <c r="C70" s="20" t="s">
        <v>53</v>
      </c>
      <c r="D70" s="24">
        <v>1619.5</v>
      </c>
      <c r="E70" s="25">
        <v>192</v>
      </c>
      <c r="F70" s="22">
        <v>16</v>
      </c>
      <c r="G70" s="22">
        <v>1</v>
      </c>
      <c r="H70" s="22">
        <v>32</v>
      </c>
      <c r="I70" s="23">
        <f t="shared" si="26"/>
        <v>1860.5</v>
      </c>
      <c r="J70" s="12"/>
      <c r="K70" s="24">
        <v>10696038</v>
      </c>
      <c r="L70" s="22">
        <v>2639620.3710927158</v>
      </c>
      <c r="M70" s="22">
        <v>6263633.6289072838</v>
      </c>
      <c r="N70" s="22">
        <v>7241326</v>
      </c>
      <c r="O70" s="22">
        <v>88271</v>
      </c>
      <c r="P70" s="26">
        <f t="shared" si="27"/>
        <v>26928889</v>
      </c>
      <c r="Q70" s="12"/>
      <c r="R70" s="27">
        <v>1473533.26</v>
      </c>
      <c r="S70" s="28">
        <v>388457.75811334804</v>
      </c>
      <c r="T70" s="28">
        <v>714240.99188665173</v>
      </c>
      <c r="U70" s="28">
        <v>915528.91000000015</v>
      </c>
      <c r="V70" s="57">
        <v>25531.510000000002</v>
      </c>
      <c r="W70" s="58">
        <f t="shared" si="28"/>
        <v>3517292.4299999997</v>
      </c>
    </row>
    <row r="71" spans="2:23" x14ac:dyDescent="0.25">
      <c r="B71" s="126"/>
      <c r="C71" s="20" t="s">
        <v>54</v>
      </c>
      <c r="D71" s="24">
        <v>577.08333333333337</v>
      </c>
      <c r="E71" s="25">
        <v>68</v>
      </c>
      <c r="F71" s="22">
        <v>0</v>
      </c>
      <c r="G71" s="22">
        <v>1</v>
      </c>
      <c r="H71" s="22">
        <v>20.916666666666668</v>
      </c>
      <c r="I71" s="23">
        <f t="shared" si="26"/>
        <v>667</v>
      </c>
      <c r="J71" s="12"/>
      <c r="K71" s="24">
        <v>4042098</v>
      </c>
      <c r="L71" s="22">
        <v>1627329</v>
      </c>
      <c r="M71" s="22">
        <v>0</v>
      </c>
      <c r="N71" s="22">
        <v>5743200</v>
      </c>
      <c r="O71" s="22">
        <v>536306</v>
      </c>
      <c r="P71" s="26">
        <f t="shared" si="27"/>
        <v>11948933</v>
      </c>
      <c r="Q71" s="12"/>
      <c r="R71" s="27">
        <v>523072</v>
      </c>
      <c r="S71" s="28">
        <v>230734.74492999999</v>
      </c>
      <c r="T71" s="28">
        <v>0</v>
      </c>
      <c r="U71" s="28">
        <v>903104.8180000002</v>
      </c>
      <c r="V71" s="57">
        <v>78560.212499999994</v>
      </c>
      <c r="W71" s="58">
        <f t="shared" si="28"/>
        <v>1735471.7754300002</v>
      </c>
    </row>
    <row r="72" spans="2:23" x14ac:dyDescent="0.25">
      <c r="B72" s="126"/>
      <c r="C72" s="20" t="s">
        <v>55</v>
      </c>
      <c r="D72" s="24">
        <v>3327</v>
      </c>
      <c r="E72" s="25">
        <v>414</v>
      </c>
      <c r="F72" s="22">
        <v>0</v>
      </c>
      <c r="G72" s="22">
        <v>0</v>
      </c>
      <c r="H72" s="22">
        <v>13</v>
      </c>
      <c r="I72" s="23">
        <f>SUM(D72:H72)</f>
        <v>3754</v>
      </c>
      <c r="J72" s="12"/>
      <c r="K72" s="24">
        <v>27461438</v>
      </c>
      <c r="L72" s="22">
        <v>25143039</v>
      </c>
      <c r="M72" s="22">
        <v>0</v>
      </c>
      <c r="N72" s="22">
        <v>0</v>
      </c>
      <c r="O72" s="22">
        <v>1132655</v>
      </c>
      <c r="P72" s="26">
        <f t="shared" si="27"/>
        <v>53737132</v>
      </c>
      <c r="Q72" s="12"/>
      <c r="R72" s="27">
        <v>3540746</v>
      </c>
      <c r="S72" s="28">
        <v>3181951</v>
      </c>
      <c r="T72" s="28">
        <v>0</v>
      </c>
      <c r="U72" s="28">
        <v>0</v>
      </c>
      <c r="V72" s="57">
        <v>143862</v>
      </c>
      <c r="W72" s="58">
        <f t="shared" si="28"/>
        <v>6866559</v>
      </c>
    </row>
    <row r="73" spans="2:23" ht="15.75" thickBot="1" x14ac:dyDescent="0.3">
      <c r="B73" s="128"/>
      <c r="C73" s="70" t="s">
        <v>56</v>
      </c>
      <c r="D73" s="71">
        <f>SUM(D62:D72)</f>
        <v>26281.083333333332</v>
      </c>
      <c r="E73" s="72">
        <f t="shared" ref="E73:G73" si="29">SUM(E62:E72)</f>
        <v>3718.9166666666665</v>
      </c>
      <c r="F73" s="72">
        <f t="shared" si="29"/>
        <v>370</v>
      </c>
      <c r="G73" s="72">
        <f t="shared" si="29"/>
        <v>10</v>
      </c>
      <c r="H73" s="72">
        <f>SUM(H62:H72)</f>
        <v>144.91666666666666</v>
      </c>
      <c r="I73" s="73">
        <f>SUM(I62:I72)</f>
        <v>30524.916666666668</v>
      </c>
      <c r="J73" s="45"/>
      <c r="K73" s="71">
        <f t="shared" ref="K73:P73" si="30">SUM(K62:K72)</f>
        <v>175036440.35044038</v>
      </c>
      <c r="L73" s="72">
        <f t="shared" si="30"/>
        <v>59599238.161092713</v>
      </c>
      <c r="M73" s="72">
        <f t="shared" si="30"/>
        <v>82361881.778907284</v>
      </c>
      <c r="N73" s="72">
        <f t="shared" si="30"/>
        <v>20689308</v>
      </c>
      <c r="O73" s="72">
        <f t="shared" si="30"/>
        <v>3040613.6585300001</v>
      </c>
      <c r="P73" s="73">
        <f t="shared" si="30"/>
        <v>340727481.94897038</v>
      </c>
      <c r="Q73" s="45"/>
      <c r="R73" s="62">
        <f>SUM(R62:R72)</f>
        <v>26833742.620000001</v>
      </c>
      <c r="S73" s="63">
        <f t="shared" ref="S73:W73" si="31">SUM(S62:S72)</f>
        <v>8832192.7113550343</v>
      </c>
      <c r="T73" s="63">
        <f t="shared" si="31"/>
        <v>12381444.061114965</v>
      </c>
      <c r="U73" s="63">
        <f t="shared" si="31"/>
        <v>2877332.9964000005</v>
      </c>
      <c r="V73" s="63">
        <f t="shared" si="31"/>
        <v>586569.74742000003</v>
      </c>
      <c r="W73" s="64">
        <f t="shared" si="31"/>
        <v>51511282.136289999</v>
      </c>
    </row>
    <row r="74" spans="2:23" x14ac:dyDescent="0.25"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</row>
    <row r="75" spans="2:23" x14ac:dyDescent="0.25"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</row>
    <row r="76" spans="2:23" ht="15.75" thickBot="1" x14ac:dyDescent="0.3"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</row>
    <row r="77" spans="2:23" ht="15.75" thickBot="1" x14ac:dyDescent="0.3">
      <c r="B77" s="115">
        <v>2021</v>
      </c>
      <c r="C77" s="118">
        <v>2021</v>
      </c>
      <c r="D77" s="118"/>
      <c r="E77" s="118"/>
      <c r="F77" s="118"/>
      <c r="G77" s="118"/>
      <c r="H77" s="118"/>
      <c r="I77" s="118"/>
      <c r="J77" s="119"/>
      <c r="K77" s="118"/>
      <c r="L77" s="118"/>
      <c r="M77" s="118"/>
      <c r="N77" s="118"/>
      <c r="O77" s="118"/>
      <c r="P77" s="118"/>
      <c r="Q77" s="119"/>
      <c r="R77" s="118"/>
      <c r="S77" s="118"/>
      <c r="T77" s="118"/>
      <c r="U77" s="118"/>
      <c r="V77" s="118"/>
      <c r="W77" s="120"/>
    </row>
    <row r="78" spans="2:23" ht="37.5" customHeight="1" thickTop="1" x14ac:dyDescent="0.25">
      <c r="B78" s="130"/>
      <c r="C78" s="13"/>
      <c r="D78" s="121" t="s">
        <v>22</v>
      </c>
      <c r="E78" s="121"/>
      <c r="F78" s="121"/>
      <c r="G78" s="121"/>
      <c r="H78" s="121"/>
      <c r="I78" s="121"/>
      <c r="J78" s="14"/>
      <c r="K78" s="122" t="s">
        <v>23</v>
      </c>
      <c r="L78" s="123"/>
      <c r="M78" s="123"/>
      <c r="N78" s="123"/>
      <c r="O78" s="123"/>
      <c r="P78" s="124"/>
      <c r="Q78" s="14"/>
      <c r="R78" s="122" t="s">
        <v>57</v>
      </c>
      <c r="S78" s="123"/>
      <c r="T78" s="123"/>
      <c r="U78" s="123"/>
      <c r="V78" s="123"/>
      <c r="W78" s="124"/>
    </row>
    <row r="79" spans="2:23" ht="30" x14ac:dyDescent="0.25">
      <c r="B79" s="130"/>
      <c r="C79" s="15" t="s">
        <v>25</v>
      </c>
      <c r="D79" s="16" t="s">
        <v>26</v>
      </c>
      <c r="E79" s="17" t="s">
        <v>27</v>
      </c>
      <c r="F79" s="17" t="s">
        <v>28</v>
      </c>
      <c r="G79" s="17" t="s">
        <v>29</v>
      </c>
      <c r="H79" s="17" t="s">
        <v>30</v>
      </c>
      <c r="I79" s="18" t="s">
        <v>31</v>
      </c>
      <c r="J79" s="19"/>
      <c r="K79" s="16" t="s">
        <v>32</v>
      </c>
      <c r="L79" s="17" t="s">
        <v>33</v>
      </c>
      <c r="M79" s="17" t="s">
        <v>34</v>
      </c>
      <c r="N79" s="17" t="s">
        <v>35</v>
      </c>
      <c r="O79" s="17" t="s">
        <v>36</v>
      </c>
      <c r="P79" s="18" t="s">
        <v>37</v>
      </c>
      <c r="Q79" s="19"/>
      <c r="R79" s="16" t="s">
        <v>38</v>
      </c>
      <c r="S79" s="17" t="s">
        <v>39</v>
      </c>
      <c r="T79" s="17" t="s">
        <v>40</v>
      </c>
      <c r="U79" s="17" t="s">
        <v>41</v>
      </c>
      <c r="V79" s="17" t="s">
        <v>42</v>
      </c>
      <c r="W79" s="18" t="s">
        <v>43</v>
      </c>
    </row>
    <row r="80" spans="2:23" x14ac:dyDescent="0.25">
      <c r="B80" s="130"/>
      <c r="C80" s="20" t="s">
        <v>44</v>
      </c>
      <c r="D80" s="24">
        <v>1977.5</v>
      </c>
      <c r="E80" s="25">
        <v>184.25</v>
      </c>
      <c r="F80" s="22">
        <v>26.333333333333332</v>
      </c>
      <c r="G80" s="22">
        <v>0</v>
      </c>
      <c r="H80" s="22">
        <v>5</v>
      </c>
      <c r="I80" s="23">
        <f t="shared" ref="I80:I90" si="32">SUM(D80:H80)</f>
        <v>2193.0833333333335</v>
      </c>
      <c r="J80" s="12"/>
      <c r="K80" s="24">
        <v>10936635</v>
      </c>
      <c r="L80" s="25">
        <v>969661</v>
      </c>
      <c r="M80" s="22">
        <v>2207167</v>
      </c>
      <c r="N80" s="22">
        <v>0</v>
      </c>
      <c r="O80" s="22">
        <v>118088</v>
      </c>
      <c r="P80" s="26">
        <f>SUM(K80:O80)</f>
        <v>14231551</v>
      </c>
      <c r="Q80" s="12"/>
      <c r="R80" s="65">
        <v>2092075.5265714286</v>
      </c>
      <c r="S80" s="66">
        <v>204305.7924100504</v>
      </c>
      <c r="T80" s="66">
        <v>428074.7015899496</v>
      </c>
      <c r="U80" s="55">
        <v>0</v>
      </c>
      <c r="V80" s="67">
        <v>30637.24971428571</v>
      </c>
      <c r="W80" s="68">
        <f>SUM(R80:V80)</f>
        <v>2755093.270285714</v>
      </c>
    </row>
    <row r="81" spans="2:23" x14ac:dyDescent="0.25">
      <c r="B81" s="130"/>
      <c r="C81" s="20" t="s">
        <v>45</v>
      </c>
      <c r="D81" s="24">
        <v>1569.5833333333333</v>
      </c>
      <c r="E81" s="25">
        <v>195.66666666666666</v>
      </c>
      <c r="F81" s="22">
        <v>20.416666666666668</v>
      </c>
      <c r="G81" s="22">
        <v>4</v>
      </c>
      <c r="H81" s="22">
        <v>7</v>
      </c>
      <c r="I81" s="23">
        <f t="shared" si="32"/>
        <v>1796.6666666666667</v>
      </c>
      <c r="J81" s="12"/>
      <c r="K81" s="24">
        <v>14365658.582324499</v>
      </c>
      <c r="L81" s="25">
        <v>2226114</v>
      </c>
      <c r="M81" s="22">
        <v>2938576</v>
      </c>
      <c r="N81" s="22">
        <v>7007520</v>
      </c>
      <c r="O81" s="22">
        <v>64260</v>
      </c>
      <c r="P81" s="26">
        <f t="shared" ref="P81:P90" si="33">SUM(K81:O81)</f>
        <v>26602128.582324497</v>
      </c>
      <c r="Q81" s="12"/>
      <c r="R81" s="27">
        <v>2420802.5825200002</v>
      </c>
      <c r="S81" s="28">
        <v>383512.66712</v>
      </c>
      <c r="T81" s="28">
        <v>471775.97055999999</v>
      </c>
      <c r="U81" s="28">
        <v>1031816.3984000001</v>
      </c>
      <c r="V81" s="57">
        <v>14763.496209999998</v>
      </c>
      <c r="W81" s="58">
        <f t="shared" ref="W81:W90" si="34">SUM(R81:V81)</f>
        <v>4322671.1148099992</v>
      </c>
    </row>
    <row r="82" spans="2:23" x14ac:dyDescent="0.25">
      <c r="B82" s="130"/>
      <c r="C82" s="20" t="s">
        <v>46</v>
      </c>
      <c r="D82" s="24">
        <v>3929.5</v>
      </c>
      <c r="E82" s="25">
        <v>364</v>
      </c>
      <c r="F82" s="22">
        <v>22.5</v>
      </c>
      <c r="G82" s="22">
        <v>0</v>
      </c>
      <c r="H82" s="22">
        <v>11</v>
      </c>
      <c r="I82" s="23">
        <f t="shared" si="32"/>
        <v>4327</v>
      </c>
      <c r="J82" s="12"/>
      <c r="K82" s="24">
        <v>24869917</v>
      </c>
      <c r="L82" s="25">
        <v>4937456</v>
      </c>
      <c r="M82" s="22">
        <v>5527444</v>
      </c>
      <c r="N82" s="22">
        <v>0</v>
      </c>
      <c r="O82" s="22">
        <v>153435</v>
      </c>
      <c r="P82" s="26">
        <f t="shared" si="33"/>
        <v>35488252</v>
      </c>
      <c r="Q82" s="12"/>
      <c r="R82" s="27">
        <v>4246816.1400000006</v>
      </c>
      <c r="S82" s="28">
        <v>902411.75</v>
      </c>
      <c r="T82" s="28">
        <v>946819.50999999989</v>
      </c>
      <c r="U82" s="28">
        <v>0</v>
      </c>
      <c r="V82" s="57">
        <v>41053.65</v>
      </c>
      <c r="W82" s="58">
        <f t="shared" si="34"/>
        <v>6137101.0500000007</v>
      </c>
    </row>
    <row r="83" spans="2:23" x14ac:dyDescent="0.25">
      <c r="B83" s="130"/>
      <c r="C83" s="20" t="s">
        <v>47</v>
      </c>
      <c r="D83" s="24">
        <v>670.16666666666663</v>
      </c>
      <c r="E83" s="25">
        <v>53.416666666666664</v>
      </c>
      <c r="F83" s="22">
        <v>0</v>
      </c>
      <c r="G83" s="22">
        <v>4</v>
      </c>
      <c r="H83" s="22">
        <v>1</v>
      </c>
      <c r="I83" s="23">
        <f t="shared" si="32"/>
        <v>728.58333333333326</v>
      </c>
      <c r="J83" s="12"/>
      <c r="K83" s="24">
        <v>3793058</v>
      </c>
      <c r="L83" s="25">
        <v>593617</v>
      </c>
      <c r="M83" s="22">
        <v>0</v>
      </c>
      <c r="N83" s="22">
        <v>790907</v>
      </c>
      <c r="O83" s="22">
        <v>17172</v>
      </c>
      <c r="P83" s="26">
        <f t="shared" si="33"/>
        <v>5194754</v>
      </c>
      <c r="Q83" s="12"/>
      <c r="R83" s="27">
        <v>651209.07999999996</v>
      </c>
      <c r="S83" s="28">
        <v>102041.65999999997</v>
      </c>
      <c r="T83" s="28">
        <v>0</v>
      </c>
      <c r="U83" s="28">
        <v>140374.59000000003</v>
      </c>
      <c r="V83" s="57">
        <v>3300.8400000000006</v>
      </c>
      <c r="W83" s="58">
        <f t="shared" si="34"/>
        <v>896926.17</v>
      </c>
    </row>
    <row r="84" spans="2:23" x14ac:dyDescent="0.25">
      <c r="B84" s="130"/>
      <c r="C84" s="20" t="s">
        <v>48</v>
      </c>
      <c r="D84" s="24">
        <v>821</v>
      </c>
      <c r="E84" s="25">
        <v>123</v>
      </c>
      <c r="F84" s="22">
        <v>18</v>
      </c>
      <c r="G84" s="22">
        <v>0</v>
      </c>
      <c r="H84" s="22">
        <v>34</v>
      </c>
      <c r="I84" s="23">
        <f t="shared" si="32"/>
        <v>996</v>
      </c>
      <c r="J84" s="12"/>
      <c r="K84" s="24">
        <v>5396836</v>
      </c>
      <c r="L84" s="25">
        <v>1302901</v>
      </c>
      <c r="M84" s="22">
        <v>5334938</v>
      </c>
      <c r="N84" s="22">
        <v>0</v>
      </c>
      <c r="O84" s="22">
        <v>63993</v>
      </c>
      <c r="P84" s="26">
        <f t="shared" si="33"/>
        <v>12098668</v>
      </c>
      <c r="Q84" s="12"/>
      <c r="R84" s="27">
        <v>936988.88</v>
      </c>
      <c r="S84" s="28">
        <v>254243.5</v>
      </c>
      <c r="T84" s="28">
        <v>871044.24</v>
      </c>
      <c r="U84" s="22">
        <v>0</v>
      </c>
      <c r="V84" s="57">
        <v>15226.84</v>
      </c>
      <c r="W84" s="58">
        <f t="shared" si="34"/>
        <v>2077503.46</v>
      </c>
    </row>
    <row r="85" spans="2:23" x14ac:dyDescent="0.25">
      <c r="B85" s="130"/>
      <c r="C85" s="20" t="s">
        <v>49</v>
      </c>
      <c r="D85" s="22">
        <v>2975</v>
      </c>
      <c r="E85" s="22">
        <v>585</v>
      </c>
      <c r="F85" s="22">
        <v>121</v>
      </c>
      <c r="G85" s="30" t="s">
        <v>50</v>
      </c>
      <c r="H85" s="22">
        <v>11</v>
      </c>
      <c r="I85" s="26">
        <f t="shared" si="32"/>
        <v>3692</v>
      </c>
      <c r="J85" s="12"/>
      <c r="K85" s="21">
        <v>17416982</v>
      </c>
      <c r="L85" s="22">
        <v>5007407</v>
      </c>
      <c r="M85" s="22">
        <v>28168429</v>
      </c>
      <c r="N85" s="30" t="s">
        <v>50</v>
      </c>
      <c r="O85" s="22">
        <v>180496</v>
      </c>
      <c r="P85" s="26">
        <f t="shared" si="33"/>
        <v>50773314</v>
      </c>
      <c r="Q85" s="12"/>
      <c r="R85" s="27">
        <v>2325768</v>
      </c>
      <c r="S85" s="28">
        <v>924325</v>
      </c>
      <c r="T85" s="28">
        <v>4183104</v>
      </c>
      <c r="U85" s="32" t="s">
        <v>50</v>
      </c>
      <c r="V85" s="28">
        <v>92365</v>
      </c>
      <c r="W85" s="29">
        <f t="shared" si="34"/>
        <v>7525562</v>
      </c>
    </row>
    <row r="86" spans="2:23" x14ac:dyDescent="0.25">
      <c r="B86" s="130"/>
      <c r="C86" s="20" t="s">
        <v>51</v>
      </c>
      <c r="D86" s="21">
        <v>4905</v>
      </c>
      <c r="E86" s="22">
        <v>938</v>
      </c>
      <c r="F86" s="22">
        <v>40</v>
      </c>
      <c r="G86" s="22">
        <v>0</v>
      </c>
      <c r="H86" s="22">
        <v>0</v>
      </c>
      <c r="I86" s="26">
        <f t="shared" si="32"/>
        <v>5883</v>
      </c>
      <c r="J86" s="12"/>
      <c r="K86" s="21">
        <v>32753090</v>
      </c>
      <c r="L86" s="22">
        <v>11903747</v>
      </c>
      <c r="M86" s="22">
        <v>16943526</v>
      </c>
      <c r="N86" s="22">
        <v>0</v>
      </c>
      <c r="O86" s="22">
        <v>476514</v>
      </c>
      <c r="P86" s="26">
        <f t="shared" si="33"/>
        <v>62076877</v>
      </c>
      <c r="Q86" s="12"/>
      <c r="R86" s="27">
        <v>5047890.348473073</v>
      </c>
      <c r="S86" s="28">
        <v>1836012.5485402625</v>
      </c>
      <c r="T86" s="28">
        <v>2339927.3246154985</v>
      </c>
      <c r="U86" s="22">
        <v>0</v>
      </c>
      <c r="V86" s="28">
        <v>100728.28259940955</v>
      </c>
      <c r="W86" s="29">
        <f t="shared" si="34"/>
        <v>9324558.5042282436</v>
      </c>
    </row>
    <row r="87" spans="2:23" x14ac:dyDescent="0.25">
      <c r="B87" s="130"/>
      <c r="C87" s="20" t="s">
        <v>52</v>
      </c>
      <c r="D87" s="22">
        <v>3593</v>
      </c>
      <c r="E87" s="22">
        <v>567</v>
      </c>
      <c r="F87" s="22">
        <v>99</v>
      </c>
      <c r="G87" s="22">
        <v>0</v>
      </c>
      <c r="H87" s="22">
        <v>11</v>
      </c>
      <c r="I87" s="26">
        <f t="shared" si="32"/>
        <v>4270</v>
      </c>
      <c r="J87" s="12"/>
      <c r="K87" s="21">
        <v>23068072</v>
      </c>
      <c r="L87" s="22">
        <v>5172574</v>
      </c>
      <c r="M87" s="22">
        <v>18080775</v>
      </c>
      <c r="N87" s="22">
        <v>0</v>
      </c>
      <c r="O87" s="22">
        <v>68699</v>
      </c>
      <c r="P87" s="26">
        <f t="shared" si="33"/>
        <v>46390120</v>
      </c>
      <c r="Q87" s="12"/>
      <c r="R87" s="27">
        <v>3603031</v>
      </c>
      <c r="S87" s="28">
        <v>708145</v>
      </c>
      <c r="T87" s="28">
        <v>2756750</v>
      </c>
      <c r="U87" s="22">
        <v>0</v>
      </c>
      <c r="V87" s="28">
        <v>33205</v>
      </c>
      <c r="W87" s="29">
        <f t="shared" si="34"/>
        <v>7101131</v>
      </c>
    </row>
    <row r="88" spans="2:23" x14ac:dyDescent="0.25">
      <c r="B88" s="130"/>
      <c r="C88" s="20" t="s">
        <v>53</v>
      </c>
      <c r="D88" s="24">
        <v>1621.5833333333333</v>
      </c>
      <c r="E88" s="25">
        <v>193.16666666666666</v>
      </c>
      <c r="F88" s="22">
        <v>16.5</v>
      </c>
      <c r="G88" s="22">
        <v>1</v>
      </c>
      <c r="H88" s="22">
        <v>32</v>
      </c>
      <c r="I88" s="23">
        <f t="shared" si="32"/>
        <v>1864.25</v>
      </c>
      <c r="J88" s="12"/>
      <c r="K88" s="24">
        <v>10594021</v>
      </c>
      <c r="L88" s="25">
        <v>2565390.879994587</v>
      </c>
      <c r="M88" s="22">
        <v>7218841.120005413</v>
      </c>
      <c r="N88" s="22">
        <v>7896119</v>
      </c>
      <c r="O88" s="22">
        <v>88147</v>
      </c>
      <c r="P88" s="26">
        <f t="shared" si="33"/>
        <v>28362519</v>
      </c>
      <c r="Q88" s="12"/>
      <c r="R88" s="27">
        <v>1459091.99</v>
      </c>
      <c r="S88" s="28">
        <v>359395.10517135472</v>
      </c>
      <c r="T88" s="28">
        <v>849989.90482864541</v>
      </c>
      <c r="U88" s="28">
        <v>989038.19000000018</v>
      </c>
      <c r="V88" s="57">
        <v>25476.22</v>
      </c>
      <c r="W88" s="58">
        <f t="shared" si="34"/>
        <v>3682991.4100000006</v>
      </c>
    </row>
    <row r="89" spans="2:23" x14ac:dyDescent="0.25">
      <c r="B89" s="130"/>
      <c r="C89" s="20" t="s">
        <v>54</v>
      </c>
      <c r="D89" s="24">
        <v>579.58333333333337</v>
      </c>
      <c r="E89" s="25">
        <v>68</v>
      </c>
      <c r="F89" s="22">
        <v>0</v>
      </c>
      <c r="G89" s="22">
        <v>1</v>
      </c>
      <c r="H89" s="22">
        <v>22.833333333333332</v>
      </c>
      <c r="I89" s="23">
        <f t="shared" si="32"/>
        <v>671.41666666666674</v>
      </c>
      <c r="J89" s="12"/>
      <c r="K89" s="24">
        <v>4065215</v>
      </c>
      <c r="L89" s="25">
        <v>1677040</v>
      </c>
      <c r="M89" s="22">
        <v>0</v>
      </c>
      <c r="N89" s="22">
        <v>6616800</v>
      </c>
      <c r="O89" s="22">
        <v>499552</v>
      </c>
      <c r="P89" s="26">
        <f t="shared" si="33"/>
        <v>12858607</v>
      </c>
      <c r="Q89" s="12"/>
      <c r="R89" s="27">
        <v>525695.5</v>
      </c>
      <c r="S89" s="28">
        <v>237276.52000000002</v>
      </c>
      <c r="T89" s="22">
        <v>0</v>
      </c>
      <c r="U89" s="28">
        <v>992702.12</v>
      </c>
      <c r="V89" s="57">
        <v>74484.91</v>
      </c>
      <c r="W89" s="58">
        <f t="shared" si="34"/>
        <v>1830159.05</v>
      </c>
    </row>
    <row r="90" spans="2:23" x14ac:dyDescent="0.25">
      <c r="B90" s="130"/>
      <c r="C90" s="20" t="s">
        <v>55</v>
      </c>
      <c r="D90" s="24">
        <v>3340</v>
      </c>
      <c r="E90" s="25">
        <v>332</v>
      </c>
      <c r="F90" s="22">
        <v>85</v>
      </c>
      <c r="G90" s="22">
        <v>0</v>
      </c>
      <c r="H90" s="22">
        <v>13</v>
      </c>
      <c r="I90" s="23">
        <f t="shared" si="32"/>
        <v>3770</v>
      </c>
      <c r="J90" s="12"/>
      <c r="K90" s="24">
        <v>27226447</v>
      </c>
      <c r="L90" s="25">
        <v>2886433</v>
      </c>
      <c r="M90" s="22">
        <v>21258466</v>
      </c>
      <c r="N90" s="22">
        <v>0</v>
      </c>
      <c r="O90" s="22">
        <v>1199706</v>
      </c>
      <c r="P90" s="26">
        <f t="shared" si="33"/>
        <v>52571052</v>
      </c>
      <c r="Q90" s="12"/>
      <c r="R90" s="27">
        <v>3604429</v>
      </c>
      <c r="S90" s="28">
        <v>433386</v>
      </c>
      <c r="T90" s="28">
        <v>2683290</v>
      </c>
      <c r="U90" s="28">
        <v>0</v>
      </c>
      <c r="V90" s="57">
        <v>159974</v>
      </c>
      <c r="W90" s="58">
        <f t="shared" si="34"/>
        <v>6881079</v>
      </c>
    </row>
    <row r="91" spans="2:23" x14ac:dyDescent="0.25">
      <c r="B91" s="131"/>
      <c r="C91" s="77" t="s">
        <v>56</v>
      </c>
      <c r="D91" s="71">
        <f>SUM(D80:D90)</f>
        <v>25981.916666666664</v>
      </c>
      <c r="E91" s="72">
        <f t="shared" ref="E91:G91" si="35">SUM(E80:E90)</f>
        <v>3603.4999999999995</v>
      </c>
      <c r="F91" s="72">
        <f t="shared" si="35"/>
        <v>448.75</v>
      </c>
      <c r="G91" s="72">
        <f t="shared" si="35"/>
        <v>10</v>
      </c>
      <c r="H91" s="72">
        <f>SUM(H80:H90)</f>
        <v>147.83333333333334</v>
      </c>
      <c r="I91" s="73">
        <f t="shared" ref="I91" si="36">SUM(I80:I90)</f>
        <v>30192.000000000004</v>
      </c>
      <c r="J91" s="45"/>
      <c r="K91" s="71">
        <f t="shared" ref="K91:P91" si="37">SUM(K80:K90)</f>
        <v>174485931.5823245</v>
      </c>
      <c r="L91" s="72">
        <f t="shared" si="37"/>
        <v>39242340.879994586</v>
      </c>
      <c r="M91" s="72">
        <f t="shared" si="37"/>
        <v>107678162.12000541</v>
      </c>
      <c r="N91" s="72">
        <f t="shared" si="37"/>
        <v>22311346</v>
      </c>
      <c r="O91" s="72">
        <f t="shared" si="37"/>
        <v>2930062</v>
      </c>
      <c r="P91" s="73">
        <f t="shared" si="37"/>
        <v>346647842.5823245</v>
      </c>
      <c r="Q91" s="45"/>
      <c r="R91" s="62">
        <f>SUM(R80:R90)</f>
        <v>26913798.047564503</v>
      </c>
      <c r="S91" s="63">
        <f t="shared" ref="S91:W91" si="38">SUM(S80:S90)</f>
        <v>6345055.5432416666</v>
      </c>
      <c r="T91" s="63">
        <f t="shared" si="38"/>
        <v>15530775.651594093</v>
      </c>
      <c r="U91" s="63">
        <f t="shared" si="38"/>
        <v>3153931.2984000007</v>
      </c>
      <c r="V91" s="63">
        <f t="shared" si="38"/>
        <v>591215.48852369527</v>
      </c>
      <c r="W91" s="64">
        <f t="shared" si="38"/>
        <v>52534776.029323958</v>
      </c>
    </row>
    <row r="92" spans="2:23" x14ac:dyDescent="0.25">
      <c r="B92" s="12"/>
      <c r="C92" s="78" t="s">
        <v>58</v>
      </c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</row>
    <row r="93" spans="2:23" x14ac:dyDescent="0.25"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</row>
    <row r="94" spans="2:23" x14ac:dyDescent="0.25"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</row>
    <row r="95" spans="2:23" ht="30" x14ac:dyDescent="0.25">
      <c r="B95" s="12" t="s">
        <v>65</v>
      </c>
      <c r="C95" s="15" t="s">
        <v>25</v>
      </c>
      <c r="D95" s="16" t="s">
        <v>26</v>
      </c>
      <c r="E95" s="17" t="s">
        <v>27</v>
      </c>
      <c r="F95" s="17" t="s">
        <v>28</v>
      </c>
      <c r="G95" s="17" t="s">
        <v>29</v>
      </c>
      <c r="H95" s="17" t="s">
        <v>30</v>
      </c>
      <c r="I95" s="18" t="s">
        <v>31</v>
      </c>
      <c r="J95" s="12"/>
      <c r="K95" s="16" t="s">
        <v>32</v>
      </c>
      <c r="L95" s="17" t="s">
        <v>33</v>
      </c>
      <c r="M95" s="17" t="s">
        <v>34</v>
      </c>
      <c r="N95" s="17" t="s">
        <v>35</v>
      </c>
      <c r="O95" s="17" t="s">
        <v>36</v>
      </c>
      <c r="P95" s="18" t="s">
        <v>37</v>
      </c>
      <c r="Q95" s="19"/>
      <c r="R95" s="16" t="s">
        <v>38</v>
      </c>
      <c r="S95" s="17" t="s">
        <v>39</v>
      </c>
      <c r="T95" s="17" t="s">
        <v>40</v>
      </c>
      <c r="U95" s="17" t="s">
        <v>41</v>
      </c>
      <c r="V95" s="17" t="s">
        <v>42</v>
      </c>
      <c r="W95" s="18" t="s">
        <v>43</v>
      </c>
    </row>
    <row r="96" spans="2:23" x14ac:dyDescent="0.25">
      <c r="B96" s="12"/>
      <c r="C96" s="20" t="s">
        <v>44</v>
      </c>
      <c r="D96" s="79">
        <f>AVERAGE(D8, D26,D44,D62,D80)</f>
        <v>1959.55</v>
      </c>
      <c r="E96" s="79">
        <f t="shared" ref="E96:H96" si="39">AVERAGE(E8, E26,E44,E62,E80)</f>
        <v>186.86666666666665</v>
      </c>
      <c r="F96" s="79">
        <f t="shared" si="39"/>
        <v>25.866666666666667</v>
      </c>
      <c r="G96" s="79">
        <f t="shared" si="39"/>
        <v>0</v>
      </c>
      <c r="H96" s="79">
        <f t="shared" si="39"/>
        <v>4.9666666666666668</v>
      </c>
      <c r="I96" s="79">
        <f>AVERAGE(I8, I26,I44,I62,I80)</f>
        <v>2177.25</v>
      </c>
      <c r="J96" s="79"/>
      <c r="K96" s="79">
        <f t="shared" ref="K96:W97" si="40">AVERAGE(K8, K26,K44,K62,K80)</f>
        <v>10428160</v>
      </c>
      <c r="L96" s="79">
        <f t="shared" si="40"/>
        <v>969742</v>
      </c>
      <c r="M96" s="79">
        <f t="shared" si="40"/>
        <v>2274334.7999999998</v>
      </c>
      <c r="N96" s="79">
        <f t="shared" si="40"/>
        <v>0</v>
      </c>
      <c r="O96" s="79">
        <f t="shared" si="40"/>
        <v>123556.8</v>
      </c>
      <c r="P96" s="79">
        <f t="shared" si="40"/>
        <v>13795793.6</v>
      </c>
      <c r="Q96" s="79"/>
      <c r="R96" s="79">
        <f t="shared" si="40"/>
        <v>2061452.3693142857</v>
      </c>
      <c r="S96" s="79">
        <f t="shared" si="40"/>
        <v>210182.85488794843</v>
      </c>
      <c r="T96" s="79">
        <f t="shared" si="40"/>
        <v>453136.44564901275</v>
      </c>
      <c r="U96" s="79">
        <f t="shared" si="40"/>
        <v>0</v>
      </c>
      <c r="V96" s="79">
        <f t="shared" si="40"/>
        <v>33591.367942857141</v>
      </c>
      <c r="W96" s="79">
        <f t="shared" si="40"/>
        <v>2758363.0377941043</v>
      </c>
    </row>
    <row r="97" spans="2:23" x14ac:dyDescent="0.25">
      <c r="B97" s="12"/>
      <c r="C97" s="20" t="s">
        <v>45</v>
      </c>
      <c r="D97" s="79">
        <f t="shared" ref="D97:S106" si="41">AVERAGE(D9, D27,D45,D63,D81)</f>
        <v>1544.4166666666665</v>
      </c>
      <c r="E97" s="79">
        <f t="shared" si="41"/>
        <v>192.34999999999997</v>
      </c>
      <c r="F97" s="79">
        <f t="shared" si="41"/>
        <v>20.56666666666667</v>
      </c>
      <c r="G97" s="79">
        <f t="shared" si="41"/>
        <v>4</v>
      </c>
      <c r="H97" s="79">
        <f t="shared" si="41"/>
        <v>7</v>
      </c>
      <c r="I97" s="79">
        <f t="shared" si="41"/>
        <v>1768.3333333333333</v>
      </c>
      <c r="J97" s="79"/>
      <c r="K97" s="79">
        <f t="shared" si="41"/>
        <v>14076983.559846867</v>
      </c>
      <c r="L97" s="79">
        <f t="shared" si="41"/>
        <v>2239332.2000000002</v>
      </c>
      <c r="M97" s="79">
        <f t="shared" si="41"/>
        <v>2958502</v>
      </c>
      <c r="N97" s="79">
        <f t="shared" si="41"/>
        <v>7063560</v>
      </c>
      <c r="O97" s="79">
        <f t="shared" si="41"/>
        <v>117082.84944077628</v>
      </c>
      <c r="P97" s="79">
        <f t="shared" si="41"/>
        <v>26455460.609287642</v>
      </c>
      <c r="Q97" s="79"/>
      <c r="R97" s="79">
        <f t="shared" si="41"/>
        <v>2283009.3766000001</v>
      </c>
      <c r="S97" s="79">
        <f t="shared" si="41"/>
        <v>372064.23476799997</v>
      </c>
      <c r="T97" s="79">
        <f t="shared" si="40"/>
        <v>460881.73892000003</v>
      </c>
      <c r="U97" s="79">
        <f t="shared" si="40"/>
        <v>965413.13479999988</v>
      </c>
      <c r="V97" s="79">
        <f t="shared" si="40"/>
        <v>22917.521161999997</v>
      </c>
      <c r="W97" s="79">
        <f t="shared" si="40"/>
        <v>4104286.0062500001</v>
      </c>
    </row>
    <row r="98" spans="2:23" x14ac:dyDescent="0.25">
      <c r="B98" s="12"/>
      <c r="C98" s="20" t="s">
        <v>46</v>
      </c>
      <c r="D98" s="79">
        <f>AVERAGE(D10, D28,D46,D64,D82)</f>
        <v>4055.9</v>
      </c>
      <c r="E98" s="79">
        <f t="shared" ref="E98:W106" si="42">AVERAGE(E10, E28,E46,E64,E82)</f>
        <v>381.4</v>
      </c>
      <c r="F98" s="79">
        <f t="shared" si="42"/>
        <v>28.9</v>
      </c>
      <c r="G98" s="79">
        <f t="shared" si="42"/>
        <v>0</v>
      </c>
      <c r="H98" s="79">
        <f t="shared" si="42"/>
        <v>24.2</v>
      </c>
      <c r="I98" s="79">
        <f t="shared" si="42"/>
        <v>4490.3999999999996</v>
      </c>
      <c r="J98" s="79"/>
      <c r="K98" s="79">
        <f t="shared" si="42"/>
        <v>23890226.800000001</v>
      </c>
      <c r="L98" s="79">
        <f t="shared" si="42"/>
        <v>4998399.5999999996</v>
      </c>
      <c r="M98" s="79">
        <f t="shared" si="42"/>
        <v>5109030.8</v>
      </c>
      <c r="N98" s="79">
        <f t="shared" si="42"/>
        <v>0</v>
      </c>
      <c r="O98" s="79">
        <f t="shared" si="42"/>
        <v>168404.13170600001</v>
      </c>
      <c r="P98" s="79">
        <f t="shared" si="42"/>
        <v>34166061.331706002</v>
      </c>
      <c r="Q98" s="79"/>
      <c r="R98" s="79">
        <f t="shared" si="42"/>
        <v>4159662.4219999998</v>
      </c>
      <c r="S98" s="79">
        <f t="shared" si="42"/>
        <v>908119.50199999998</v>
      </c>
      <c r="T98" s="79">
        <f t="shared" si="42"/>
        <v>869292.04200000002</v>
      </c>
      <c r="U98" s="79">
        <f t="shared" si="42"/>
        <v>0</v>
      </c>
      <c r="V98" s="79">
        <f t="shared" si="42"/>
        <v>45020.031999999999</v>
      </c>
      <c r="W98" s="79">
        <f t="shared" si="42"/>
        <v>5982093.9980000006</v>
      </c>
    </row>
    <row r="99" spans="2:23" x14ac:dyDescent="0.25">
      <c r="B99" s="12"/>
      <c r="C99" s="20" t="s">
        <v>47</v>
      </c>
      <c r="D99" s="79">
        <f t="shared" si="41"/>
        <v>660.13333333333333</v>
      </c>
      <c r="E99" s="79">
        <f t="shared" si="41"/>
        <v>51.266666666666666</v>
      </c>
      <c r="F99" s="79">
        <f t="shared" si="41"/>
        <v>0</v>
      </c>
      <c r="G99" s="79">
        <f t="shared" si="41"/>
        <v>4</v>
      </c>
      <c r="H99" s="79">
        <f t="shared" si="41"/>
        <v>1</v>
      </c>
      <c r="I99" s="79">
        <f t="shared" si="41"/>
        <v>716.39999999999986</v>
      </c>
      <c r="J99" s="79"/>
      <c r="K99" s="79">
        <f t="shared" si="41"/>
        <v>3580407.2</v>
      </c>
      <c r="L99" s="79">
        <f t="shared" si="41"/>
        <v>573252.19999999995</v>
      </c>
      <c r="M99" s="79">
        <f t="shared" si="41"/>
        <v>0</v>
      </c>
      <c r="N99" s="79">
        <f t="shared" si="41"/>
        <v>830993.8</v>
      </c>
      <c r="O99" s="79">
        <f t="shared" si="41"/>
        <v>17099.32</v>
      </c>
      <c r="P99" s="79">
        <f t="shared" si="41"/>
        <v>5001752.5200000005</v>
      </c>
      <c r="Q99" s="79"/>
      <c r="R99" s="79">
        <f t="shared" si="41"/>
        <v>607185.05000000005</v>
      </c>
      <c r="S99" s="79">
        <f t="shared" si="41"/>
        <v>98862.69</v>
      </c>
      <c r="T99" s="79">
        <f t="shared" si="42"/>
        <v>0</v>
      </c>
      <c r="U99" s="79">
        <f t="shared" si="42"/>
        <v>145646.38400000002</v>
      </c>
      <c r="V99" s="79">
        <f t="shared" si="42"/>
        <v>3298.7640000000006</v>
      </c>
      <c r="W99" s="79">
        <f t="shared" si="42"/>
        <v>854992.88799999992</v>
      </c>
    </row>
    <row r="100" spans="2:23" x14ac:dyDescent="0.25">
      <c r="B100" s="12"/>
      <c r="C100" s="20" t="s">
        <v>48</v>
      </c>
      <c r="D100" s="79">
        <f t="shared" si="41"/>
        <v>805.26666666666665</v>
      </c>
      <c r="E100" s="79">
        <f t="shared" si="41"/>
        <v>123.46666666666667</v>
      </c>
      <c r="F100" s="79">
        <f t="shared" si="41"/>
        <v>15.866666666666669</v>
      </c>
      <c r="G100" s="79">
        <f t="shared" si="41"/>
        <v>0</v>
      </c>
      <c r="H100" s="79">
        <f t="shared" si="41"/>
        <v>33.233333333333334</v>
      </c>
      <c r="I100" s="79">
        <f t="shared" si="41"/>
        <v>977.83333333333326</v>
      </c>
      <c r="J100" s="79"/>
      <c r="K100" s="79">
        <f t="shared" si="41"/>
        <v>5217251.3620000007</v>
      </c>
      <c r="L100" s="79">
        <f t="shared" si="41"/>
        <v>1529267.848</v>
      </c>
      <c r="M100" s="79">
        <f t="shared" si="41"/>
        <v>5387115.898</v>
      </c>
      <c r="N100" s="79">
        <f t="shared" si="41"/>
        <v>0</v>
      </c>
      <c r="O100" s="79">
        <f t="shared" si="41"/>
        <v>64847.082000000009</v>
      </c>
      <c r="P100" s="79">
        <f t="shared" si="41"/>
        <v>12198482.190000001</v>
      </c>
      <c r="Q100" s="79"/>
      <c r="R100" s="79">
        <f t="shared" si="41"/>
        <v>907410.89399999997</v>
      </c>
      <c r="S100" s="79">
        <f t="shared" si="41"/>
        <v>294764.68</v>
      </c>
      <c r="T100" s="79">
        <f t="shared" si="42"/>
        <v>878793.86600000004</v>
      </c>
      <c r="U100" s="79">
        <f t="shared" si="42"/>
        <v>0</v>
      </c>
      <c r="V100" s="79">
        <f t="shared" si="42"/>
        <v>15431.938</v>
      </c>
      <c r="W100" s="79">
        <f t="shared" si="42"/>
        <v>2096401.378</v>
      </c>
    </row>
    <row r="101" spans="2:23" x14ac:dyDescent="0.25">
      <c r="B101" s="12"/>
      <c r="C101" s="20" t="s">
        <v>49</v>
      </c>
      <c r="D101" s="79">
        <f t="shared" si="41"/>
        <v>3045.8</v>
      </c>
      <c r="E101" s="79">
        <f t="shared" si="41"/>
        <v>613.5</v>
      </c>
      <c r="F101" s="79">
        <f t="shared" si="41"/>
        <v>473</v>
      </c>
      <c r="G101" s="79">
        <f t="shared" si="41"/>
        <v>4</v>
      </c>
      <c r="H101" s="79">
        <f t="shared" si="41"/>
        <v>6.2</v>
      </c>
      <c r="I101" s="79">
        <f t="shared" si="41"/>
        <v>3772.8</v>
      </c>
      <c r="J101" s="79"/>
      <c r="K101" s="79">
        <f>AVERAGE(K13, K31,K49,K67,K85)</f>
        <v>17269118.199999999</v>
      </c>
      <c r="L101" s="79">
        <f t="shared" si="41"/>
        <v>4216816.5</v>
      </c>
      <c r="M101" s="79">
        <f t="shared" si="41"/>
        <v>21788980.600000001</v>
      </c>
      <c r="N101" s="79">
        <f t="shared" si="41"/>
        <v>17752572.333333332</v>
      </c>
      <c r="O101" s="79">
        <f t="shared" si="41"/>
        <v>330308.40000000002</v>
      </c>
      <c r="P101" s="79">
        <f t="shared" si="41"/>
        <v>51726677.200000003</v>
      </c>
      <c r="Q101" s="79"/>
      <c r="R101" s="79">
        <f t="shared" si="41"/>
        <v>2291905.6</v>
      </c>
      <c r="S101" s="79">
        <f t="shared" si="41"/>
        <v>792830</v>
      </c>
      <c r="T101" s="79">
        <f t="shared" si="42"/>
        <v>3423060.4</v>
      </c>
      <c r="U101" s="79">
        <f t="shared" si="42"/>
        <v>2773268.3333333335</v>
      </c>
      <c r="V101" s="79">
        <f t="shared" si="42"/>
        <v>97838</v>
      </c>
      <c r="W101" s="79">
        <f t="shared" si="42"/>
        <v>7793897</v>
      </c>
    </row>
    <row r="102" spans="2:23" x14ac:dyDescent="0.25">
      <c r="B102" s="12"/>
      <c r="C102" s="20" t="s">
        <v>51</v>
      </c>
      <c r="D102" s="79">
        <f t="shared" si="41"/>
        <v>4854.1000000000004</v>
      </c>
      <c r="E102" s="79">
        <f t="shared" si="41"/>
        <v>889.28333333333319</v>
      </c>
      <c r="F102" s="79">
        <f t="shared" si="41"/>
        <v>41.05</v>
      </c>
      <c r="G102" s="79">
        <f t="shared" si="41"/>
        <v>0</v>
      </c>
      <c r="H102" s="79">
        <f t="shared" si="41"/>
        <v>0</v>
      </c>
      <c r="I102" s="79">
        <f t="shared" si="41"/>
        <v>5785.6333333333332</v>
      </c>
      <c r="J102" s="79"/>
      <c r="K102" s="79">
        <f t="shared" si="41"/>
        <v>31562109.399999999</v>
      </c>
      <c r="L102" s="79">
        <f t="shared" si="41"/>
        <v>11695058.800000001</v>
      </c>
      <c r="M102" s="79">
        <f t="shared" si="41"/>
        <v>16936564.399999999</v>
      </c>
      <c r="N102" s="79">
        <f t="shared" si="41"/>
        <v>0</v>
      </c>
      <c r="O102" s="79">
        <f t="shared" si="41"/>
        <v>479246.6</v>
      </c>
      <c r="P102" s="79">
        <f t="shared" si="41"/>
        <v>60672979.200000003</v>
      </c>
      <c r="Q102" s="79"/>
      <c r="R102" s="79">
        <f t="shared" si="41"/>
        <v>4894476.5281906147</v>
      </c>
      <c r="S102" s="79">
        <f t="shared" si="41"/>
        <v>1826212.7103080526</v>
      </c>
      <c r="T102" s="79">
        <f t="shared" si="42"/>
        <v>2344261.8421711</v>
      </c>
      <c r="U102" s="79">
        <f t="shared" si="42"/>
        <v>0</v>
      </c>
      <c r="V102" s="79">
        <f t="shared" si="42"/>
        <v>100689.85651988191</v>
      </c>
      <c r="W102" s="79">
        <f t="shared" si="42"/>
        <v>9165640.9371896498</v>
      </c>
    </row>
    <row r="103" spans="2:23" x14ac:dyDescent="0.25">
      <c r="B103" s="12"/>
      <c r="C103" s="20" t="s">
        <v>52</v>
      </c>
      <c r="D103" s="79">
        <f t="shared" si="41"/>
        <v>3544.8</v>
      </c>
      <c r="E103" s="79">
        <f t="shared" si="41"/>
        <v>594.20000000000005</v>
      </c>
      <c r="F103" s="79">
        <f t="shared" si="41"/>
        <v>58.2</v>
      </c>
      <c r="G103" s="79">
        <f t="shared" si="41"/>
        <v>0</v>
      </c>
      <c r="H103" s="79">
        <f t="shared" si="41"/>
        <v>5</v>
      </c>
      <c r="I103" s="79">
        <f t="shared" si="41"/>
        <v>4202.2</v>
      </c>
      <c r="J103" s="79"/>
      <c r="K103" s="79">
        <f t="shared" si="41"/>
        <v>21976026</v>
      </c>
      <c r="L103" s="79">
        <f t="shared" si="41"/>
        <v>12632608.4</v>
      </c>
      <c r="M103" s="79">
        <f t="shared" si="41"/>
        <v>10842775.199999999</v>
      </c>
      <c r="N103" s="79">
        <f t="shared" si="41"/>
        <v>0</v>
      </c>
      <c r="O103" s="79">
        <f t="shared" si="41"/>
        <v>43813.599999999999</v>
      </c>
      <c r="P103" s="79">
        <f t="shared" si="41"/>
        <v>45495223.200000003</v>
      </c>
      <c r="Q103" s="79"/>
      <c r="R103" s="79">
        <f t="shared" si="41"/>
        <v>3437523</v>
      </c>
      <c r="S103" s="79">
        <f t="shared" si="41"/>
        <v>1945230.8</v>
      </c>
      <c r="T103" s="79">
        <f t="shared" si="42"/>
        <v>1645803.8</v>
      </c>
      <c r="U103" s="79">
        <f t="shared" si="42"/>
        <v>0</v>
      </c>
      <c r="V103" s="79">
        <f t="shared" si="42"/>
        <v>24770.400000000001</v>
      </c>
      <c r="W103" s="79">
        <f t="shared" si="42"/>
        <v>7053328</v>
      </c>
    </row>
    <row r="104" spans="2:23" x14ac:dyDescent="0.25">
      <c r="B104" s="12"/>
      <c r="C104" s="20" t="s">
        <v>53</v>
      </c>
      <c r="D104" s="79">
        <f t="shared" si="41"/>
        <v>1615.0166666666667</v>
      </c>
      <c r="E104" s="79">
        <f t="shared" si="41"/>
        <v>195.63333333333333</v>
      </c>
      <c r="F104" s="79">
        <f t="shared" si="41"/>
        <v>16.083333333333332</v>
      </c>
      <c r="G104" s="79">
        <f t="shared" si="41"/>
        <v>1</v>
      </c>
      <c r="H104" s="79">
        <f t="shared" si="41"/>
        <v>32</v>
      </c>
      <c r="I104" s="79">
        <f t="shared" si="41"/>
        <v>1859.7333333333331</v>
      </c>
      <c r="J104" s="79"/>
      <c r="K104" s="79">
        <f t="shared" si="41"/>
        <v>10305696.6</v>
      </c>
      <c r="L104" s="79">
        <f t="shared" si="41"/>
        <v>2482916.4502174607</v>
      </c>
      <c r="M104" s="79">
        <f t="shared" si="41"/>
        <v>6927681.7497825399</v>
      </c>
      <c r="N104" s="79">
        <f t="shared" si="41"/>
        <v>8180824.7999999998</v>
      </c>
      <c r="O104" s="79">
        <f t="shared" si="41"/>
        <v>89409.4</v>
      </c>
      <c r="P104" s="79">
        <f t="shared" si="41"/>
        <v>27986529</v>
      </c>
      <c r="Q104" s="79"/>
      <c r="R104" s="79">
        <f t="shared" si="41"/>
        <v>1421000.5020000001</v>
      </c>
      <c r="S104" s="79">
        <f t="shared" si="41"/>
        <v>381598.52174094052</v>
      </c>
      <c r="T104" s="79">
        <f t="shared" si="42"/>
        <v>834282.0082590594</v>
      </c>
      <c r="U104" s="79">
        <f t="shared" si="42"/>
        <v>1025473.922</v>
      </c>
      <c r="V104" s="79">
        <f t="shared" si="42"/>
        <v>25792.167999999998</v>
      </c>
      <c r="W104" s="79">
        <f t="shared" si="42"/>
        <v>3688147.122</v>
      </c>
    </row>
    <row r="105" spans="2:23" x14ac:dyDescent="0.25">
      <c r="B105" s="12"/>
      <c r="C105" s="20" t="s">
        <v>54</v>
      </c>
      <c r="D105" s="79">
        <f t="shared" si="41"/>
        <v>579.13333333333344</v>
      </c>
      <c r="E105" s="79">
        <f t="shared" si="41"/>
        <v>66.8</v>
      </c>
      <c r="F105" s="79">
        <f t="shared" si="41"/>
        <v>0</v>
      </c>
      <c r="G105" s="79">
        <f t="shared" si="41"/>
        <v>1</v>
      </c>
      <c r="H105" s="79">
        <f t="shared" si="41"/>
        <v>21.35</v>
      </c>
      <c r="I105" s="79">
        <f t="shared" si="41"/>
        <v>668.28333333333342</v>
      </c>
      <c r="J105" s="79"/>
      <c r="K105" s="79">
        <f t="shared" si="41"/>
        <v>4026253</v>
      </c>
      <c r="L105" s="79">
        <f t="shared" si="41"/>
        <v>1621318.2</v>
      </c>
      <c r="M105" s="79">
        <f t="shared" si="41"/>
        <v>0</v>
      </c>
      <c r="N105" s="79">
        <f t="shared" si="41"/>
        <v>6655200</v>
      </c>
      <c r="O105" s="79">
        <f t="shared" si="41"/>
        <v>533567</v>
      </c>
      <c r="P105" s="79">
        <f t="shared" si="41"/>
        <v>12836338.199999999</v>
      </c>
      <c r="Q105" s="79"/>
      <c r="R105" s="79">
        <f t="shared" si="41"/>
        <v>521194.908</v>
      </c>
      <c r="S105" s="79">
        <f t="shared" si="41"/>
        <v>229522.30898600002</v>
      </c>
      <c r="T105" s="79">
        <f t="shared" si="42"/>
        <v>0</v>
      </c>
      <c r="U105" s="79">
        <f t="shared" si="42"/>
        <v>1008170.7716</v>
      </c>
      <c r="V105" s="79">
        <f t="shared" si="42"/>
        <v>78239.596500000014</v>
      </c>
      <c r="W105" s="79">
        <f t="shared" si="42"/>
        <v>1837127.5850859999</v>
      </c>
    </row>
    <row r="106" spans="2:23" x14ac:dyDescent="0.25">
      <c r="B106" s="12"/>
      <c r="C106" s="33" t="s">
        <v>55</v>
      </c>
      <c r="D106" s="79">
        <f t="shared" si="41"/>
        <v>3295.6</v>
      </c>
      <c r="E106" s="79">
        <f t="shared" si="41"/>
        <v>401.6</v>
      </c>
      <c r="F106" s="79">
        <f t="shared" si="41"/>
        <v>31</v>
      </c>
      <c r="G106" s="79">
        <f t="shared" si="41"/>
        <v>0</v>
      </c>
      <c r="H106" s="79">
        <f t="shared" si="41"/>
        <v>13</v>
      </c>
      <c r="I106" s="79">
        <f t="shared" si="41"/>
        <v>3741.2</v>
      </c>
      <c r="J106" s="79"/>
      <c r="K106" s="79">
        <f t="shared" si="41"/>
        <v>26510905</v>
      </c>
      <c r="L106" s="79">
        <f t="shared" si="41"/>
        <v>16977842.600000001</v>
      </c>
      <c r="M106" s="79">
        <f t="shared" si="41"/>
        <v>8808733.5999999996</v>
      </c>
      <c r="N106" s="79">
        <f t="shared" si="41"/>
        <v>0</v>
      </c>
      <c r="O106" s="79">
        <f t="shared" si="41"/>
        <v>1115889.6000000001</v>
      </c>
      <c r="P106" s="79">
        <f t="shared" si="41"/>
        <v>53413370.799999997</v>
      </c>
      <c r="Q106" s="79"/>
      <c r="R106" s="79">
        <f t="shared" si="41"/>
        <v>3466814.4</v>
      </c>
      <c r="S106" s="79">
        <f t="shared" si="41"/>
        <v>2169391.4</v>
      </c>
      <c r="T106" s="79">
        <f t="shared" si="42"/>
        <v>1142213.2</v>
      </c>
      <c r="U106" s="79">
        <f t="shared" si="42"/>
        <v>0</v>
      </c>
      <c r="V106" s="79">
        <f t="shared" si="42"/>
        <v>144253.79999999999</v>
      </c>
      <c r="W106" s="79">
        <f t="shared" si="42"/>
        <v>6922672.7999999998</v>
      </c>
    </row>
    <row r="107" spans="2:23" x14ac:dyDescent="0.25"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</row>
    <row r="108" spans="2:23" x14ac:dyDescent="0.25"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</row>
    <row r="109" spans="2:23" x14ac:dyDescent="0.25"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</row>
    <row r="110" spans="2:23" x14ac:dyDescent="0.25"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</row>
    <row r="111" spans="2:23" x14ac:dyDescent="0.25"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</row>
    <row r="112" spans="2:23" x14ac:dyDescent="0.25"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</row>
    <row r="113" spans="2:23" x14ac:dyDescent="0.25"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</row>
    <row r="114" spans="2:23" x14ac:dyDescent="0.25"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</row>
    <row r="115" spans="2:23" x14ac:dyDescent="0.25"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</row>
    <row r="116" spans="2:23" x14ac:dyDescent="0.25"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</row>
    <row r="117" spans="2:23" x14ac:dyDescent="0.25"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</row>
    <row r="118" spans="2:23" x14ac:dyDescent="0.25"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</row>
    <row r="119" spans="2:23" x14ac:dyDescent="0.25"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</row>
    <row r="120" spans="2:23" x14ac:dyDescent="0.25"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</row>
    <row r="121" spans="2:23" x14ac:dyDescent="0.25"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</row>
    <row r="122" spans="2:23" x14ac:dyDescent="0.25"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</row>
    <row r="123" spans="2:23" x14ac:dyDescent="0.25"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</row>
    <row r="124" spans="2:23" x14ac:dyDescent="0.25"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</row>
    <row r="125" spans="2:23" x14ac:dyDescent="0.25"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</row>
    <row r="126" spans="2:23" x14ac:dyDescent="0.25"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</row>
    <row r="127" spans="2:23" x14ac:dyDescent="0.25"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</row>
    <row r="128" spans="2:23" x14ac:dyDescent="0.25"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</row>
    <row r="129" spans="2:23" x14ac:dyDescent="0.25"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</row>
  </sheetData>
  <mergeCells count="26">
    <mergeCell ref="B59:B73"/>
    <mergeCell ref="C59:W59"/>
    <mergeCell ref="D60:I60"/>
    <mergeCell ref="K60:P60"/>
    <mergeCell ref="R60:W60"/>
    <mergeCell ref="B77:B91"/>
    <mergeCell ref="C77:W77"/>
    <mergeCell ref="D78:I78"/>
    <mergeCell ref="K78:P78"/>
    <mergeCell ref="R78:W78"/>
    <mergeCell ref="B23:B37"/>
    <mergeCell ref="C23:W23"/>
    <mergeCell ref="D24:I24"/>
    <mergeCell ref="K24:P24"/>
    <mergeCell ref="R24:W24"/>
    <mergeCell ref="B41:B55"/>
    <mergeCell ref="C41:W41"/>
    <mergeCell ref="D42:I42"/>
    <mergeCell ref="K42:P42"/>
    <mergeCell ref="R42:W42"/>
    <mergeCell ref="B4:B19"/>
    <mergeCell ref="C4:W4"/>
    <mergeCell ref="C5:W5"/>
    <mergeCell ref="D6:I6"/>
    <mergeCell ref="K6:P6"/>
    <mergeCell ref="R6:W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C6181-1D77-4074-8633-657A4EAFE5D6}">
  <dimension ref="A4:N84"/>
  <sheetViews>
    <sheetView workbookViewId="0">
      <selection activeCell="H15" sqref="H15"/>
    </sheetView>
  </sheetViews>
  <sheetFormatPr defaultRowHeight="15" x14ac:dyDescent="0.25"/>
  <cols>
    <col min="1" max="1" width="19.7109375" bestFit="1" customWidth="1"/>
  </cols>
  <sheetData>
    <row r="4" spans="1:6" x14ac:dyDescent="0.25">
      <c r="B4" t="s">
        <v>66</v>
      </c>
    </row>
    <row r="7" spans="1:6" s="110" customFormat="1" x14ac:dyDescent="0.25">
      <c r="B7" s="110" t="s">
        <v>71</v>
      </c>
      <c r="C7" s="110" t="s">
        <v>72</v>
      </c>
      <c r="E7" s="110" t="s">
        <v>73</v>
      </c>
      <c r="F7" s="110" t="s">
        <v>61</v>
      </c>
    </row>
    <row r="8" spans="1:6" x14ac:dyDescent="0.25">
      <c r="A8" s="111" t="s">
        <v>3</v>
      </c>
      <c r="B8" s="100">
        <v>1.3264349452971802</v>
      </c>
      <c r="C8" s="100">
        <v>1.6211982664743312</v>
      </c>
      <c r="E8" s="98">
        <v>1.2469178264479687E-2</v>
      </c>
      <c r="F8" s="98">
        <v>1.5240106767697393E-2</v>
      </c>
    </row>
    <row r="9" spans="1:6" x14ac:dyDescent="0.25">
      <c r="A9" s="112" t="s">
        <v>4</v>
      </c>
      <c r="B9" s="100">
        <v>1.3449691831642256</v>
      </c>
      <c r="C9" s="100">
        <v>1.6438512238673868</v>
      </c>
      <c r="E9" s="98">
        <v>1.2905305882471688E-2</v>
      </c>
      <c r="F9" s="98">
        <v>1.5773151634132062E-2</v>
      </c>
    </row>
    <row r="10" spans="1:6" x14ac:dyDescent="0.25">
      <c r="A10" s="112" t="s">
        <v>5</v>
      </c>
      <c r="B10" s="100">
        <v>1.6121547043681741</v>
      </c>
      <c r="C10" s="100">
        <v>1.9704113053388799</v>
      </c>
      <c r="E10" s="98">
        <v>1.5135294851794066E-2</v>
      </c>
      <c r="F10" s="98">
        <v>1.8498693707748308E-2</v>
      </c>
    </row>
    <row r="11" spans="1:6" x14ac:dyDescent="0.25">
      <c r="A11" s="112" t="s">
        <v>6</v>
      </c>
      <c r="B11" s="100">
        <v>1.4103698142899697</v>
      </c>
      <c r="C11" s="100">
        <v>1.7237853285766294</v>
      </c>
      <c r="E11" s="98">
        <v>2.168308659455576E-2</v>
      </c>
      <c r="F11" s="98">
        <v>2.6501550282234814E-2</v>
      </c>
    </row>
    <row r="12" spans="1:6" x14ac:dyDescent="0.25">
      <c r="A12" s="81" t="s">
        <v>7</v>
      </c>
      <c r="B12" s="100">
        <v>1.5192182483807377</v>
      </c>
      <c r="C12" s="100">
        <v>1.8568223035764575</v>
      </c>
      <c r="E12" s="98">
        <v>1.4004212897775275E-2</v>
      </c>
      <c r="F12" s="98">
        <v>1.7116260208392003E-2</v>
      </c>
    </row>
    <row r="13" spans="1:6" x14ac:dyDescent="0.25">
      <c r="A13" s="81" t="s">
        <v>8</v>
      </c>
      <c r="B13" s="100">
        <v>1.2612045806261072</v>
      </c>
      <c r="C13" s="100">
        <v>1.5414722652096866</v>
      </c>
      <c r="E13" s="98">
        <v>1.2284940194920255E-2</v>
      </c>
      <c r="F13" s="98">
        <v>1.5014926904902534E-2</v>
      </c>
    </row>
    <row r="14" spans="1:6" ht="16.149999999999999" customHeight="1" x14ac:dyDescent="0.25">
      <c r="A14" s="81" t="s">
        <v>44</v>
      </c>
      <c r="B14" s="100">
        <v>1.8533898325560747</v>
      </c>
      <c r="C14" s="100">
        <v>2.2652542397907576</v>
      </c>
      <c r="E14" s="98">
        <v>2.1141269720978295E-2</v>
      </c>
      <c r="F14" s="98">
        <v>2.5839329658973467E-2</v>
      </c>
    </row>
    <row r="15" spans="1:6" ht="16.149999999999999" customHeight="1" x14ac:dyDescent="0.25">
      <c r="A15" s="81" t="s">
        <v>45</v>
      </c>
      <c r="B15" s="100">
        <v>1.7429195052271444</v>
      </c>
      <c r="C15" s="100">
        <v>2.1302349508331764</v>
      </c>
      <c r="E15" s="98">
        <v>1.41486616399623E-2</v>
      </c>
      <c r="F15" s="98">
        <v>1.7292808671065033E-2</v>
      </c>
    </row>
    <row r="16" spans="1:6" ht="16.149999999999999" customHeight="1" x14ac:dyDescent="0.25">
      <c r="A16" s="81" t="s">
        <v>46</v>
      </c>
      <c r="B16" s="100">
        <v>1.0734030000651387</v>
      </c>
      <c r="C16" s="100">
        <v>1.3119370000796142</v>
      </c>
      <c r="E16" s="98">
        <v>1.2559524652592196E-2</v>
      </c>
      <c r="F16" s="98">
        <v>1.5350530130946021E-2</v>
      </c>
    </row>
    <row r="17" spans="1:14" x14ac:dyDescent="0.25">
      <c r="A17" s="81" t="s">
        <v>47</v>
      </c>
      <c r="B17" s="100">
        <v>1.2776821089824124</v>
      </c>
      <c r="C17" s="100">
        <v>1.5616114665340597</v>
      </c>
      <c r="E17" s="98">
        <v>1.6669195979899503E-2</v>
      </c>
      <c r="F17" s="98">
        <v>2.0373461753210503E-2</v>
      </c>
    </row>
    <row r="18" spans="1:14" x14ac:dyDescent="0.25">
      <c r="A18" s="81" t="s">
        <v>48</v>
      </c>
      <c r="B18" s="100">
        <v>1.9157010713835865</v>
      </c>
      <c r="C18" s="100">
        <v>2.3414124205799385</v>
      </c>
      <c r="E18" s="98">
        <v>2.0400683654337823E-2</v>
      </c>
      <c r="F18" s="98">
        <v>2.4934168910857334E-2</v>
      </c>
      <c r="J18" s="5"/>
      <c r="K18" s="5"/>
      <c r="L18" s="5"/>
      <c r="M18" s="5"/>
      <c r="N18" s="5"/>
    </row>
    <row r="19" spans="1:14" x14ac:dyDescent="0.25">
      <c r="A19" s="81" t="s">
        <v>49</v>
      </c>
      <c r="B19" s="100">
        <v>0.94311478053435127</v>
      </c>
      <c r="C19" s="100">
        <v>1.152695842875318</v>
      </c>
      <c r="E19" s="98">
        <v>1.5040090648854965E-2</v>
      </c>
      <c r="F19" s="98">
        <v>1.8382333015267177E-2</v>
      </c>
      <c r="G19" s="98"/>
      <c r="J19" s="99"/>
      <c r="K19" s="5"/>
      <c r="L19" s="5"/>
      <c r="M19" s="5"/>
      <c r="N19" s="5"/>
    </row>
    <row r="20" spans="1:14" x14ac:dyDescent="0.25">
      <c r="A20" s="81" t="s">
        <v>51</v>
      </c>
      <c r="B20" s="100">
        <v>1.4228170429369167</v>
      </c>
      <c r="C20" s="100">
        <v>1.7389986080340094</v>
      </c>
      <c r="E20" s="98">
        <v>1.693295575534802E-2</v>
      </c>
      <c r="F20" s="98">
        <v>2.0695834812092022E-2</v>
      </c>
      <c r="G20" s="98"/>
      <c r="J20" s="5"/>
      <c r="K20" s="5"/>
      <c r="L20" s="5"/>
      <c r="M20" s="5"/>
      <c r="N20" s="5"/>
    </row>
    <row r="21" spans="1:14" x14ac:dyDescent="0.25">
      <c r="A21" s="81" t="s">
        <v>52</v>
      </c>
      <c r="B21" s="100">
        <v>1.104339643520061</v>
      </c>
      <c r="C21" s="100">
        <v>1.3497484531911856</v>
      </c>
      <c r="E21" s="98">
        <v>1.3665641806672698E-2</v>
      </c>
      <c r="F21" s="98">
        <v>1.6702451097044407E-2</v>
      </c>
      <c r="G21" s="98"/>
      <c r="J21" s="5"/>
      <c r="K21" s="5"/>
      <c r="L21" s="5"/>
      <c r="M21" s="5"/>
      <c r="N21" s="5"/>
    </row>
    <row r="22" spans="1:14" x14ac:dyDescent="0.25">
      <c r="A22" s="81" t="s">
        <v>53</v>
      </c>
      <c r="B22" s="100">
        <v>1.0616051974115912</v>
      </c>
      <c r="C22" s="100">
        <v>1.2975174635030562</v>
      </c>
      <c r="E22" s="98">
        <v>1.4478616311478346E-2</v>
      </c>
      <c r="F22" s="98">
        <v>1.7696086602917983E-2</v>
      </c>
      <c r="G22" s="98"/>
      <c r="J22" s="5"/>
      <c r="K22" s="5"/>
      <c r="L22" s="5"/>
      <c r="M22" s="5"/>
      <c r="N22" s="5"/>
    </row>
    <row r="23" spans="1:14" x14ac:dyDescent="0.25">
      <c r="A23" s="81" t="s">
        <v>54</v>
      </c>
      <c r="B23" s="100">
        <v>1.7460035917175849</v>
      </c>
      <c r="C23" s="100">
        <v>2.134004389877048</v>
      </c>
      <c r="E23" s="98">
        <v>2.3281168665984991E-2</v>
      </c>
      <c r="F23" s="98">
        <v>2.8454761702870538E-2</v>
      </c>
      <c r="G23" s="98"/>
      <c r="J23" s="5"/>
      <c r="K23" s="5"/>
      <c r="L23" s="5"/>
      <c r="M23" s="5"/>
      <c r="N23" s="5"/>
    </row>
    <row r="24" spans="1:14" x14ac:dyDescent="0.25">
      <c r="A24" s="82" t="s">
        <v>55</v>
      </c>
      <c r="B24" s="101">
        <v>1.1936518494066075</v>
      </c>
      <c r="C24" s="101">
        <v>1.4589078159414093</v>
      </c>
      <c r="D24" s="110"/>
      <c r="E24" s="114">
        <v>1.3616416390462953E-2</v>
      </c>
      <c r="F24" s="114">
        <v>1.6642286699454722E-2</v>
      </c>
      <c r="G24" s="98"/>
      <c r="J24" s="5"/>
      <c r="K24" s="5"/>
      <c r="L24" s="5"/>
      <c r="M24" s="5"/>
      <c r="N24" s="5"/>
    </row>
    <row r="25" spans="1:14" x14ac:dyDescent="0.25">
      <c r="A25" s="113" t="s">
        <v>60</v>
      </c>
      <c r="B25" s="100">
        <v>1.3644485378724696</v>
      </c>
      <c r="C25" s="100">
        <v>1.6676593240663526</v>
      </c>
      <c r="E25" s="98">
        <v>1.3371893908156724E-2</v>
      </c>
      <c r="F25" s="98">
        <v>1.6343425887747117E-2</v>
      </c>
      <c r="G25" s="98"/>
      <c r="J25" s="5"/>
      <c r="K25" s="5"/>
      <c r="L25" s="5"/>
      <c r="M25" s="5"/>
      <c r="N25" s="5"/>
    </row>
    <row r="26" spans="1:14" x14ac:dyDescent="0.25">
      <c r="A26" s="113" t="s">
        <v>20</v>
      </c>
      <c r="B26" s="100">
        <v>1.4306300884783854</v>
      </c>
      <c r="C26" s="100">
        <v>1.7485478859180257</v>
      </c>
      <c r="E26" s="98">
        <v>1.5596624391049804E-2</v>
      </c>
      <c r="F26" s="98">
        <v>1.9062540922394195E-2</v>
      </c>
      <c r="G26" s="98"/>
      <c r="J26" s="5"/>
      <c r="K26" s="5"/>
      <c r="L26" s="5"/>
      <c r="M26" s="5"/>
      <c r="N26" s="5"/>
    </row>
    <row r="27" spans="1:14" x14ac:dyDescent="0.25">
      <c r="G27" s="98"/>
      <c r="J27" s="5"/>
      <c r="K27" s="5"/>
      <c r="L27" s="5"/>
      <c r="M27" s="5"/>
      <c r="N27" s="5"/>
    </row>
    <row r="28" spans="1:14" x14ac:dyDescent="0.25">
      <c r="G28" s="98"/>
    </row>
    <row r="29" spans="1:14" x14ac:dyDescent="0.25">
      <c r="G29" s="98"/>
    </row>
    <row r="30" spans="1:14" x14ac:dyDescent="0.25">
      <c r="G30" s="98"/>
    </row>
    <row r="31" spans="1:14" x14ac:dyDescent="0.25">
      <c r="G31" s="98"/>
    </row>
    <row r="32" spans="1:14" x14ac:dyDescent="0.25">
      <c r="G32" s="98"/>
    </row>
    <row r="33" spans="2:7" x14ac:dyDescent="0.25">
      <c r="G33" s="98"/>
    </row>
    <row r="34" spans="2:7" x14ac:dyDescent="0.25">
      <c r="G34" s="98"/>
    </row>
    <row r="35" spans="2:7" x14ac:dyDescent="0.25">
      <c r="G35" s="98"/>
    </row>
    <row r="36" spans="2:7" x14ac:dyDescent="0.25">
      <c r="G36" s="98"/>
    </row>
    <row r="37" spans="2:7" x14ac:dyDescent="0.25">
      <c r="G37" s="98"/>
    </row>
    <row r="42" spans="2:7" x14ac:dyDescent="0.25">
      <c r="B42" s="102"/>
      <c r="C42" s="102"/>
      <c r="E42" s="103"/>
      <c r="F42" s="103"/>
      <c r="G42" s="103"/>
    </row>
    <row r="43" spans="2:7" x14ac:dyDescent="0.25">
      <c r="B43" s="102"/>
      <c r="C43" s="102"/>
      <c r="E43" s="103"/>
      <c r="F43" s="103"/>
      <c r="G43" s="103"/>
    </row>
    <row r="44" spans="2:7" x14ac:dyDescent="0.25">
      <c r="B44" s="102"/>
      <c r="C44" s="102"/>
      <c r="E44" s="103"/>
      <c r="F44" s="103"/>
      <c r="G44" s="103"/>
    </row>
    <row r="45" spans="2:7" x14ac:dyDescent="0.25">
      <c r="B45" s="102"/>
      <c r="C45" s="102"/>
      <c r="E45" s="103"/>
      <c r="F45" s="103"/>
      <c r="G45" s="103"/>
    </row>
    <row r="46" spans="2:7" x14ac:dyDescent="0.25">
      <c r="B46" s="102"/>
      <c r="C46" s="102"/>
      <c r="E46" s="103"/>
      <c r="F46" s="103"/>
      <c r="G46" s="103"/>
    </row>
    <row r="47" spans="2:7" x14ac:dyDescent="0.25">
      <c r="B47" s="102"/>
      <c r="C47" s="102"/>
      <c r="E47" s="103"/>
      <c r="F47" s="103"/>
      <c r="G47" s="103"/>
    </row>
    <row r="48" spans="2:7" x14ac:dyDescent="0.25">
      <c r="B48" s="102"/>
      <c r="C48" s="102"/>
      <c r="E48" s="103"/>
      <c r="F48" s="103"/>
      <c r="G48" s="103"/>
    </row>
    <row r="49" spans="2:7" x14ac:dyDescent="0.25">
      <c r="B49" s="102"/>
      <c r="C49" s="102"/>
      <c r="E49" s="103"/>
      <c r="F49" s="103"/>
      <c r="G49" s="103"/>
    </row>
    <row r="50" spans="2:7" x14ac:dyDescent="0.25">
      <c r="B50" s="102"/>
      <c r="C50" s="102"/>
      <c r="E50" s="103"/>
      <c r="F50" s="103"/>
      <c r="G50" s="103"/>
    </row>
    <row r="51" spans="2:7" x14ac:dyDescent="0.25">
      <c r="B51" s="102"/>
      <c r="C51" s="102"/>
      <c r="E51" s="103"/>
      <c r="F51" s="103"/>
      <c r="G51" s="103"/>
    </row>
    <row r="52" spans="2:7" x14ac:dyDescent="0.25">
      <c r="B52" s="102"/>
      <c r="C52" s="102"/>
      <c r="E52" s="103"/>
      <c r="F52" s="103"/>
      <c r="G52" s="103"/>
    </row>
    <row r="53" spans="2:7" x14ac:dyDescent="0.25">
      <c r="B53" s="102"/>
      <c r="C53" s="102"/>
      <c r="E53" s="103"/>
      <c r="F53" s="103"/>
      <c r="G53" s="103"/>
    </row>
    <row r="54" spans="2:7" x14ac:dyDescent="0.25">
      <c r="B54" s="102"/>
      <c r="C54" s="102"/>
      <c r="E54" s="103"/>
      <c r="F54" s="103"/>
      <c r="G54" s="103"/>
    </row>
    <row r="55" spans="2:7" x14ac:dyDescent="0.25">
      <c r="B55" s="102"/>
      <c r="C55" s="102"/>
      <c r="E55" s="103"/>
      <c r="F55" s="103"/>
      <c r="G55" s="103"/>
    </row>
    <row r="56" spans="2:7" x14ac:dyDescent="0.25">
      <c r="B56" s="102"/>
      <c r="C56" s="102"/>
      <c r="E56" s="103"/>
      <c r="F56" s="103"/>
      <c r="G56" s="103"/>
    </row>
    <row r="57" spans="2:7" x14ac:dyDescent="0.25">
      <c r="B57" s="102"/>
      <c r="C57" s="102"/>
      <c r="E57" s="103"/>
      <c r="F57" s="103"/>
      <c r="G57" s="103"/>
    </row>
    <row r="58" spans="2:7" x14ac:dyDescent="0.25">
      <c r="B58" s="102"/>
      <c r="C58" s="102"/>
      <c r="E58" s="103"/>
      <c r="F58" s="103"/>
      <c r="G58" s="103"/>
    </row>
    <row r="59" spans="2:7" x14ac:dyDescent="0.25">
      <c r="B59" s="102"/>
      <c r="C59" s="102"/>
      <c r="E59" s="103"/>
      <c r="F59" s="103"/>
      <c r="G59" s="103"/>
    </row>
    <row r="60" spans="2:7" x14ac:dyDescent="0.25">
      <c r="B60" s="102"/>
      <c r="C60" s="102"/>
      <c r="E60" s="103"/>
      <c r="F60" s="103"/>
      <c r="G60" s="103"/>
    </row>
    <row r="63" spans="2:7" x14ac:dyDescent="0.25">
      <c r="B63" s="84"/>
    </row>
    <row r="66" spans="2:9" x14ac:dyDescent="0.25">
      <c r="B66" s="102"/>
      <c r="C66" s="102"/>
      <c r="E66" s="102"/>
      <c r="F66" s="102"/>
      <c r="H66" s="104"/>
      <c r="I66" s="104"/>
    </row>
    <row r="67" spans="2:9" x14ac:dyDescent="0.25">
      <c r="B67" s="102"/>
      <c r="C67" s="102"/>
      <c r="E67" s="102"/>
      <c r="F67" s="102"/>
      <c r="H67" s="104"/>
      <c r="I67" s="104"/>
    </row>
    <row r="68" spans="2:9" x14ac:dyDescent="0.25">
      <c r="B68" s="102"/>
      <c r="C68" s="102"/>
      <c r="E68" s="102"/>
      <c r="F68" s="102"/>
      <c r="H68" s="104"/>
      <c r="I68" s="104"/>
    </row>
    <row r="69" spans="2:9" x14ac:dyDescent="0.25">
      <c r="B69" s="102"/>
      <c r="C69" s="102"/>
      <c r="E69" s="102"/>
      <c r="F69" s="102"/>
      <c r="H69" s="104"/>
      <c r="I69" s="104"/>
    </row>
    <row r="70" spans="2:9" x14ac:dyDescent="0.25">
      <c r="B70" s="102"/>
      <c r="C70" s="102"/>
      <c r="E70" s="102"/>
      <c r="F70" s="102"/>
      <c r="H70" s="104"/>
      <c r="I70" s="104"/>
    </row>
    <row r="71" spans="2:9" x14ac:dyDescent="0.25">
      <c r="B71" s="102"/>
      <c r="C71" s="102"/>
      <c r="E71" s="102"/>
      <c r="F71" s="102"/>
      <c r="H71" s="104"/>
      <c r="I71" s="104"/>
    </row>
    <row r="72" spans="2:9" x14ac:dyDescent="0.25">
      <c r="B72" s="102"/>
      <c r="C72" s="102"/>
      <c r="E72" s="102"/>
      <c r="F72" s="102"/>
      <c r="H72" s="104"/>
      <c r="I72" s="104"/>
    </row>
    <row r="73" spans="2:9" x14ac:dyDescent="0.25">
      <c r="B73" s="102"/>
      <c r="C73" s="102"/>
      <c r="E73" s="102"/>
      <c r="F73" s="102"/>
      <c r="H73" s="104"/>
      <c r="I73" s="104"/>
    </row>
    <row r="74" spans="2:9" x14ac:dyDescent="0.25">
      <c r="B74" s="102"/>
      <c r="C74" s="102"/>
      <c r="E74" s="102"/>
      <c r="F74" s="102"/>
      <c r="H74" s="104"/>
      <c r="I74" s="104"/>
    </row>
    <row r="75" spans="2:9" x14ac:dyDescent="0.25">
      <c r="B75" s="102"/>
      <c r="C75" s="102"/>
      <c r="E75" s="102"/>
      <c r="F75" s="102"/>
      <c r="H75" s="104"/>
      <c r="I75" s="104"/>
    </row>
    <row r="76" spans="2:9" x14ac:dyDescent="0.25">
      <c r="B76" s="102"/>
      <c r="C76" s="102"/>
      <c r="E76" s="102"/>
      <c r="F76" s="102"/>
      <c r="H76" s="104"/>
      <c r="I76" s="104"/>
    </row>
    <row r="77" spans="2:9" x14ac:dyDescent="0.25">
      <c r="B77" s="102"/>
      <c r="C77" s="102"/>
      <c r="E77" s="102"/>
      <c r="F77" s="102"/>
      <c r="H77" s="104"/>
      <c r="I77" s="104"/>
    </row>
    <row r="78" spans="2:9" x14ac:dyDescent="0.25">
      <c r="B78" s="102"/>
      <c r="C78" s="102"/>
      <c r="E78" s="102"/>
      <c r="F78" s="102"/>
      <c r="H78" s="104"/>
      <c r="I78" s="104"/>
    </row>
    <row r="79" spans="2:9" x14ac:dyDescent="0.25">
      <c r="B79" s="102"/>
      <c r="C79" s="102"/>
      <c r="E79" s="102"/>
      <c r="F79" s="102"/>
      <c r="H79" s="104"/>
      <c r="I79" s="104"/>
    </row>
    <row r="80" spans="2:9" x14ac:dyDescent="0.25">
      <c r="B80" s="102"/>
      <c r="C80" s="102"/>
      <c r="E80" s="102"/>
      <c r="F80" s="102"/>
      <c r="H80" s="104"/>
      <c r="I80" s="104"/>
    </row>
    <row r="81" spans="2:9" x14ac:dyDescent="0.25">
      <c r="B81" s="102"/>
      <c r="C81" s="102"/>
      <c r="E81" s="102"/>
      <c r="F81" s="102"/>
      <c r="H81" s="104"/>
      <c r="I81" s="104"/>
    </row>
    <row r="82" spans="2:9" x14ac:dyDescent="0.25">
      <c r="B82" s="102"/>
      <c r="C82" s="102"/>
      <c r="E82" s="102"/>
      <c r="F82" s="102"/>
      <c r="H82" s="104"/>
      <c r="I82" s="104"/>
    </row>
    <row r="83" spans="2:9" x14ac:dyDescent="0.25">
      <c r="B83" s="102"/>
      <c r="C83" s="102"/>
      <c r="E83" s="102"/>
      <c r="F83" s="102"/>
      <c r="H83" s="104"/>
      <c r="I83" s="104"/>
    </row>
    <row r="84" spans="2:9" x14ac:dyDescent="0.25">
      <c r="B84" s="102"/>
      <c r="C84" s="102"/>
      <c r="E84" s="102"/>
      <c r="F84" s="102"/>
      <c r="H84" s="104"/>
      <c r="I84" s="104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Instructions</vt:lpstr>
      <vt:lpstr>Model</vt:lpstr>
      <vt:lpstr>Raw data</vt:lpstr>
      <vt:lpstr>VPPSA data</vt:lpstr>
      <vt:lpstr>Outputs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PUC</dc:creator>
  <cp:lastModifiedBy>Schilling, Elizabeth</cp:lastModifiedBy>
  <dcterms:created xsi:type="dcterms:W3CDTF">2022-07-19T18:32:24Z</dcterms:created>
  <dcterms:modified xsi:type="dcterms:W3CDTF">2022-09-22T18:10:52Z</dcterms:modified>
</cp:coreProperties>
</file>