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drawings/drawing5.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3.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4"/>
  <workbookPr codeName="ThisWorkbook" defaultThemeVersion="166925"/>
  <mc:AlternateContent xmlns:mc="http://schemas.openxmlformats.org/markup-compatibility/2006">
    <mc:Choice Requires="x15">
      <x15ac:absPath xmlns:x15ac="http://schemas.microsoft.com/office/spreadsheetml/2010/11/ac" url="/Users/jade/Documents/Energy/VGS RNG/Prefiled Documents/"/>
    </mc:Choice>
  </mc:AlternateContent>
  <xr:revisionPtr revIDLastSave="0" documentId="8_{D253709D-EE4E-E240-A924-F496C5792AF1}" xr6:coauthVersionLast="47" xr6:coauthVersionMax="47" xr10:uidLastSave="{00000000-0000-0000-0000-000000000000}"/>
  <bookViews>
    <workbookView xWindow="0" yWindow="760" windowWidth="34560" windowHeight="20100" xr2:uid="{5BA594BE-AFEC-9547-89A5-F95539248556}"/>
  </bookViews>
  <sheets>
    <sheet name="Cover" sheetId="35" r:id="rId1"/>
    <sheet name="Methane leakage assumptions" sheetId="18" r:id="rId2"/>
    <sheet name="GWP of methane by scenario" sheetId="31" r:id="rId3"/>
    <sheet name="Figures--&gt;" sheetId="36" r:id="rId4"/>
    <sheet name="Figure 1 - GWP, intl prod" sheetId="32" r:id="rId5"/>
    <sheet name="Figure 2 - vented vs intl prod" sheetId="24" r:id="rId6"/>
    <sheet name="Figure 3 - 99% eff flare" sheetId="33" r:id="rId7"/>
    <sheet name="Figure S1 - 86% eff flare" sheetId="21"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9" i="32" l="1"/>
  <c r="D9" i="32"/>
  <c r="E9" i="32"/>
  <c r="F9" i="32"/>
  <c r="G9" i="32"/>
  <c r="H9" i="32"/>
  <c r="B9" i="32"/>
  <c r="A33" i="32"/>
  <c r="B14" i="31"/>
  <c r="B13" i="31" l="1"/>
  <c r="B6" i="31" l="1"/>
  <c r="A31" i="32"/>
  <c r="D34" i="24"/>
  <c r="D35" i="24"/>
  <c r="D36" i="24"/>
  <c r="D37" i="24"/>
  <c r="D38" i="24"/>
  <c r="D33" i="24"/>
  <c r="C34" i="24"/>
  <c r="C35" i="24"/>
  <c r="C36" i="24"/>
  <c r="C37" i="24"/>
  <c r="C38" i="24"/>
  <c r="C33" i="24"/>
  <c r="C4" i="31" l="1"/>
  <c r="I37" i="18" l="1"/>
  <c r="I38" i="18"/>
  <c r="I39" i="18"/>
  <c r="I40" i="18"/>
  <c r="I41" i="18"/>
  <c r="I42" i="18"/>
  <c r="F50" i="18" s="1"/>
  <c r="I43" i="18"/>
  <c r="I44" i="18"/>
  <c r="I45" i="18"/>
  <c r="I46" i="18"/>
  <c r="I36" i="18"/>
  <c r="F49" i="18" s="1"/>
  <c r="A48" i="18"/>
  <c r="F48" i="18" l="1"/>
  <c r="B12" i="31"/>
  <c r="B27" i="32" l="1"/>
  <c r="B26" i="32"/>
  <c r="D27" i="32"/>
  <c r="D26" i="32"/>
  <c r="C26" i="32"/>
  <c r="C27" i="32"/>
  <c r="C33" i="31"/>
  <c r="E33" i="31" s="1"/>
  <c r="D33" i="31"/>
  <c r="F33" i="31" s="1"/>
  <c r="C34" i="31"/>
  <c r="E34" i="31" s="1"/>
  <c r="D34" i="31"/>
  <c r="F34" i="31"/>
  <c r="P80" i="33" l="1"/>
  <c r="P79" i="33"/>
  <c r="P78" i="33"/>
  <c r="P77" i="33"/>
  <c r="P76" i="33"/>
  <c r="P75" i="33"/>
  <c r="P74" i="33"/>
  <c r="P73" i="33"/>
  <c r="P72" i="33"/>
  <c r="P71" i="33"/>
  <c r="P70" i="33"/>
  <c r="P69" i="33"/>
  <c r="P68" i="33"/>
  <c r="P67" i="33"/>
  <c r="P66" i="33"/>
  <c r="P65" i="33"/>
  <c r="P64" i="33"/>
  <c r="P63" i="33"/>
  <c r="P62" i="33"/>
  <c r="P61" i="33"/>
  <c r="A61" i="33"/>
  <c r="A62" i="33" s="1"/>
  <c r="A63" i="33" s="1"/>
  <c r="A64" i="33" s="1"/>
  <c r="A65" i="33" s="1"/>
  <c r="A66" i="33" s="1"/>
  <c r="A67" i="33" s="1"/>
  <c r="A68" i="33" s="1"/>
  <c r="A69" i="33" s="1"/>
  <c r="A70" i="33" s="1"/>
  <c r="A71" i="33" s="1"/>
  <c r="A72" i="33" s="1"/>
  <c r="A73" i="33" s="1"/>
  <c r="A74" i="33" s="1"/>
  <c r="A75" i="33" s="1"/>
  <c r="A76" i="33" s="1"/>
  <c r="A77" i="33" s="1"/>
  <c r="A78" i="33" s="1"/>
  <c r="A79" i="33" s="1"/>
  <c r="A80" i="33" s="1"/>
  <c r="P60" i="33"/>
  <c r="A8" i="33"/>
  <c r="A9" i="33" s="1"/>
  <c r="A7" i="33"/>
  <c r="I4" i="33"/>
  <c r="B4" i="33"/>
  <c r="P80" i="21"/>
  <c r="P79" i="21"/>
  <c r="P78" i="21"/>
  <c r="P77" i="21"/>
  <c r="P76" i="21"/>
  <c r="P75" i="21"/>
  <c r="P74" i="21"/>
  <c r="P73" i="21"/>
  <c r="P72" i="21"/>
  <c r="P71" i="21"/>
  <c r="P70" i="21"/>
  <c r="P69" i="21"/>
  <c r="P68" i="21"/>
  <c r="P67" i="21"/>
  <c r="P66" i="21"/>
  <c r="P65" i="21"/>
  <c r="P64" i="21"/>
  <c r="P63" i="21"/>
  <c r="P62" i="21"/>
  <c r="P61" i="21"/>
  <c r="A61" i="21"/>
  <c r="A62" i="21" s="1"/>
  <c r="A63" i="21" s="1"/>
  <c r="A64" i="21" s="1"/>
  <c r="A65" i="21" s="1"/>
  <c r="A66" i="21" s="1"/>
  <c r="A67" i="21" s="1"/>
  <c r="A68" i="21" s="1"/>
  <c r="A69" i="21" s="1"/>
  <c r="A70" i="21" s="1"/>
  <c r="A71" i="21" s="1"/>
  <c r="A72" i="21" s="1"/>
  <c r="A73" i="21" s="1"/>
  <c r="A74" i="21" s="1"/>
  <c r="A75" i="21" s="1"/>
  <c r="A76" i="21" s="1"/>
  <c r="A77" i="21" s="1"/>
  <c r="A78" i="21" s="1"/>
  <c r="A79" i="21" s="1"/>
  <c r="A80" i="21" s="1"/>
  <c r="P60" i="21"/>
  <c r="A7" i="21"/>
  <c r="P60" i="24"/>
  <c r="A61" i="24"/>
  <c r="A62" i="24" s="1"/>
  <c r="A63" i="24" s="1"/>
  <c r="A64" i="24" s="1"/>
  <c r="A65" i="24" s="1"/>
  <c r="A66" i="24" s="1"/>
  <c r="A67" i="24" s="1"/>
  <c r="A68" i="24" s="1"/>
  <c r="A69" i="24" s="1"/>
  <c r="A70" i="24" s="1"/>
  <c r="A71" i="24" s="1"/>
  <c r="A72" i="24" s="1"/>
  <c r="A73" i="24" s="1"/>
  <c r="A74" i="24" s="1"/>
  <c r="A75" i="24" s="1"/>
  <c r="A76" i="24" s="1"/>
  <c r="A77" i="24" s="1"/>
  <c r="A78" i="24" s="1"/>
  <c r="A79" i="24" s="1"/>
  <c r="A80" i="24" s="1"/>
  <c r="P61" i="24"/>
  <c r="P62" i="24"/>
  <c r="P63" i="24"/>
  <c r="P64" i="24"/>
  <c r="P65" i="24"/>
  <c r="P66" i="24"/>
  <c r="P67" i="24"/>
  <c r="P68" i="24"/>
  <c r="P69" i="24"/>
  <c r="P70" i="24"/>
  <c r="P71" i="24"/>
  <c r="P72" i="24"/>
  <c r="P73" i="24"/>
  <c r="P74" i="24"/>
  <c r="P75" i="24"/>
  <c r="P76" i="24"/>
  <c r="P77" i="24"/>
  <c r="P78" i="24"/>
  <c r="P79" i="24"/>
  <c r="P80" i="24"/>
  <c r="A8" i="21" l="1"/>
  <c r="A10" i="33"/>
  <c r="B4" i="32"/>
  <c r="A9" i="21" l="1"/>
  <c r="A11" i="33"/>
  <c r="B27" i="31"/>
  <c r="B26" i="31"/>
  <c r="B17" i="31"/>
  <c r="I4" i="31"/>
  <c r="A50" i="18"/>
  <c r="A49" i="18"/>
  <c r="H7" i="32" l="1"/>
  <c r="C15" i="32"/>
  <c r="H8" i="32"/>
  <c r="D4" i="31"/>
  <c r="K4" i="31" s="1"/>
  <c r="J4" i="33"/>
  <c r="C4" i="33"/>
  <c r="C4" i="32"/>
  <c r="A10" i="21"/>
  <c r="A12" i="33"/>
  <c r="C14" i="32"/>
  <c r="I9" i="31"/>
  <c r="J4" i="31"/>
  <c r="Q75" i="33" l="1"/>
  <c r="Q67" i="33"/>
  <c r="Q80" i="33"/>
  <c r="Q77" i="33"/>
  <c r="Q69" i="33"/>
  <c r="Q61" i="33"/>
  <c r="Q74" i="33"/>
  <c r="Q66" i="33"/>
  <c r="Q79" i="33"/>
  <c r="Q71" i="33"/>
  <c r="Q63" i="33"/>
  <c r="Q76" i="33"/>
  <c r="Q72" i="33"/>
  <c r="Q68" i="33"/>
  <c r="Q64" i="33"/>
  <c r="Q73" i="21"/>
  <c r="Q65" i="21"/>
  <c r="Q60" i="21"/>
  <c r="Q63" i="24"/>
  <c r="Q71" i="24"/>
  <c r="Q79" i="24"/>
  <c r="Q60" i="33"/>
  <c r="Q75" i="21"/>
  <c r="Q67" i="21"/>
  <c r="Q61" i="24"/>
  <c r="Q69" i="24"/>
  <c r="Q77" i="24"/>
  <c r="Q64" i="21"/>
  <c r="Q64" i="24"/>
  <c r="Q72" i="24"/>
  <c r="Q80" i="24"/>
  <c r="Q78" i="21"/>
  <c r="Q70" i="21"/>
  <c r="Q62" i="21"/>
  <c r="Q66" i="24"/>
  <c r="Q74" i="24"/>
  <c r="Q72" i="21"/>
  <c r="Q80" i="21"/>
  <c r="Q68" i="24"/>
  <c r="Q76" i="24"/>
  <c r="Q78" i="33"/>
  <c r="Q62" i="33"/>
  <c r="Q76" i="21"/>
  <c r="Q70" i="24"/>
  <c r="Q79" i="21"/>
  <c r="Q63" i="21"/>
  <c r="Q67" i="24"/>
  <c r="Q70" i="33"/>
  <c r="Q66" i="21"/>
  <c r="Q65" i="24"/>
  <c r="Q73" i="24"/>
  <c r="Q73" i="33"/>
  <c r="Q68" i="21"/>
  <c r="Q62" i="24"/>
  <c r="Q78" i="24"/>
  <c r="Q71" i="21"/>
  <c r="Q75" i="24"/>
  <c r="Q65" i="33"/>
  <c r="Q74" i="21"/>
  <c r="Q60" i="24"/>
  <c r="Q69" i="21"/>
  <c r="Q61" i="21"/>
  <c r="Q77" i="21"/>
  <c r="B7" i="32"/>
  <c r="C7" i="32"/>
  <c r="G7" i="32"/>
  <c r="D7" i="32"/>
  <c r="F7" i="32"/>
  <c r="E7" i="32"/>
  <c r="A11" i="21"/>
  <c r="R80" i="33"/>
  <c r="R72" i="33"/>
  <c r="R64" i="33"/>
  <c r="R74" i="33"/>
  <c r="R66" i="33"/>
  <c r="R79" i="33"/>
  <c r="R71" i="33"/>
  <c r="R63" i="33"/>
  <c r="R76" i="33"/>
  <c r="R68" i="33"/>
  <c r="R78" i="21"/>
  <c r="R70" i="21"/>
  <c r="R62" i="21"/>
  <c r="R68" i="24"/>
  <c r="R76" i="24"/>
  <c r="R75" i="33"/>
  <c r="R66" i="24"/>
  <c r="R69" i="21"/>
  <c r="R60" i="33"/>
  <c r="R75" i="21"/>
  <c r="R67" i="21"/>
  <c r="R63" i="24"/>
  <c r="R71" i="24"/>
  <c r="R79" i="24"/>
  <c r="R67" i="33"/>
  <c r="R80" i="21"/>
  <c r="R72" i="21"/>
  <c r="R64" i="21"/>
  <c r="R74" i="24"/>
  <c r="R77" i="21"/>
  <c r="R61" i="21"/>
  <c r="R61" i="24"/>
  <c r="R77" i="24"/>
  <c r="R69" i="24"/>
  <c r="R78" i="33"/>
  <c r="R70" i="33"/>
  <c r="R62" i="33"/>
  <c r="R69" i="33"/>
  <c r="R73" i="21"/>
  <c r="R65" i="21"/>
  <c r="R60" i="21"/>
  <c r="R71" i="21"/>
  <c r="R61" i="33"/>
  <c r="R70" i="24"/>
  <c r="R65" i="33"/>
  <c r="R66" i="21"/>
  <c r="R73" i="33"/>
  <c r="R76" i="21"/>
  <c r="R68" i="21"/>
  <c r="R65" i="24"/>
  <c r="R73" i="24"/>
  <c r="R79" i="21"/>
  <c r="R63" i="21"/>
  <c r="R77" i="33"/>
  <c r="R62" i="24"/>
  <c r="R78" i="24"/>
  <c r="R74" i="21"/>
  <c r="R67" i="24"/>
  <c r="R75" i="24"/>
  <c r="R60" i="24"/>
  <c r="R80" i="24"/>
  <c r="R64" i="24"/>
  <c r="R72" i="24"/>
  <c r="C8" i="32"/>
  <c r="D8" i="32"/>
  <c r="E8" i="32"/>
  <c r="G8" i="32"/>
  <c r="F8" i="32"/>
  <c r="B8" i="32"/>
  <c r="E4" i="31"/>
  <c r="E7" i="31" s="1"/>
  <c r="K4" i="33"/>
  <c r="D4" i="33"/>
  <c r="D4" i="32"/>
  <c r="A13" i="33"/>
  <c r="D7" i="31"/>
  <c r="B8" i="31"/>
  <c r="B9" i="31"/>
  <c r="C6" i="31"/>
  <c r="D8" i="31"/>
  <c r="C8" i="31"/>
  <c r="D6" i="31"/>
  <c r="C7" i="31"/>
  <c r="I7" i="31"/>
  <c r="J7" i="31"/>
  <c r="I6" i="31"/>
  <c r="I8" i="31"/>
  <c r="C9" i="31"/>
  <c r="B7" i="31"/>
  <c r="K7" i="31"/>
  <c r="D9" i="31"/>
  <c r="K9" i="31"/>
  <c r="K8" i="31"/>
  <c r="J9" i="31"/>
  <c r="J8" i="31"/>
  <c r="J6" i="31"/>
  <c r="K6" i="31"/>
  <c r="F33" i="24" l="1"/>
  <c r="F35" i="24"/>
  <c r="F38" i="24"/>
  <c r="F34" i="24"/>
  <c r="F36" i="24"/>
  <c r="B26" i="24"/>
  <c r="B13" i="33"/>
  <c r="B67" i="33" s="1"/>
  <c r="B7" i="33"/>
  <c r="B61" i="33" s="1"/>
  <c r="B12" i="33"/>
  <c r="B66" i="33" s="1"/>
  <c r="B11" i="33"/>
  <c r="B65" i="33" s="1"/>
  <c r="B8" i="33"/>
  <c r="B10" i="33"/>
  <c r="B64" i="33" s="1"/>
  <c r="B9" i="33"/>
  <c r="B63" i="33" s="1"/>
  <c r="D7" i="33"/>
  <c r="D61" i="33" s="1"/>
  <c r="D10" i="33"/>
  <c r="D64" i="33" s="1"/>
  <c r="D8" i="33"/>
  <c r="D62" i="33" s="1"/>
  <c r="D13" i="33"/>
  <c r="D67" i="33" s="1"/>
  <c r="D11" i="33"/>
  <c r="D65" i="33" s="1"/>
  <c r="D9" i="33"/>
  <c r="D63" i="33" s="1"/>
  <c r="D12" i="33"/>
  <c r="D66" i="33" s="1"/>
  <c r="D6" i="33"/>
  <c r="D60" i="33" s="1"/>
  <c r="C10" i="33"/>
  <c r="C64" i="33" s="1"/>
  <c r="C13" i="33"/>
  <c r="C67" i="33" s="1"/>
  <c r="C12" i="33"/>
  <c r="C66" i="33" s="1"/>
  <c r="C6" i="33"/>
  <c r="C60" i="33" s="1"/>
  <c r="C11" i="33"/>
  <c r="C65" i="33" s="1"/>
  <c r="C9" i="33"/>
  <c r="C63" i="33" s="1"/>
  <c r="C8" i="33"/>
  <c r="C62" i="33" s="1"/>
  <c r="C7" i="33"/>
  <c r="C61" i="33" s="1"/>
  <c r="E8" i="31"/>
  <c r="C10" i="21"/>
  <c r="C64" i="21" s="1"/>
  <c r="I10" i="21"/>
  <c r="I64" i="21" s="1"/>
  <c r="B10" i="21"/>
  <c r="B64" i="21" s="1"/>
  <c r="K10" i="21"/>
  <c r="K64" i="21" s="1"/>
  <c r="F4" i="31"/>
  <c r="E4" i="33"/>
  <c r="L4" i="33"/>
  <c r="E4" i="32"/>
  <c r="L4" i="31"/>
  <c r="K8" i="33"/>
  <c r="K62" i="33" s="1"/>
  <c r="K7" i="33"/>
  <c r="K61" i="33" s="1"/>
  <c r="K6" i="33"/>
  <c r="K60" i="33" s="1"/>
  <c r="K13" i="33"/>
  <c r="K67" i="33" s="1"/>
  <c r="K12" i="33"/>
  <c r="K66" i="33" s="1"/>
  <c r="K11" i="33"/>
  <c r="K65" i="33" s="1"/>
  <c r="K6" i="24"/>
  <c r="K60" i="24" s="1"/>
  <c r="K9" i="33"/>
  <c r="K63" i="33" s="1"/>
  <c r="K10" i="33"/>
  <c r="K64" i="33" s="1"/>
  <c r="K6" i="21"/>
  <c r="K60" i="21" s="1"/>
  <c r="K7" i="21"/>
  <c r="K61" i="21" s="1"/>
  <c r="D6" i="32"/>
  <c r="K8" i="21"/>
  <c r="K62" i="21" s="1"/>
  <c r="K9" i="21"/>
  <c r="K63" i="21" s="1"/>
  <c r="I6" i="33"/>
  <c r="I60" i="33" s="1"/>
  <c r="I14" i="33"/>
  <c r="I13" i="33"/>
  <c r="I67" i="33" s="1"/>
  <c r="I12" i="33"/>
  <c r="I66" i="33" s="1"/>
  <c r="I11" i="33"/>
  <c r="I65" i="33" s="1"/>
  <c r="I10" i="33"/>
  <c r="I64" i="33" s="1"/>
  <c r="I9" i="33"/>
  <c r="I63" i="33" s="1"/>
  <c r="I6" i="21"/>
  <c r="I60" i="21" s="1"/>
  <c r="I7" i="33"/>
  <c r="I61" i="33" s="1"/>
  <c r="I8" i="33"/>
  <c r="I62" i="33" s="1"/>
  <c r="I6" i="24"/>
  <c r="I60" i="24" s="1"/>
  <c r="B6" i="32"/>
  <c r="I7" i="21"/>
  <c r="I61" i="21" s="1"/>
  <c r="I8" i="21"/>
  <c r="I62" i="21" s="1"/>
  <c r="I9" i="21"/>
  <c r="I63" i="21" s="1"/>
  <c r="E9" i="31"/>
  <c r="D6" i="21"/>
  <c r="D60" i="21" s="1"/>
  <c r="D6" i="24"/>
  <c r="D60" i="24" s="1"/>
  <c r="D7" i="21"/>
  <c r="D61" i="21" s="1"/>
  <c r="D5" i="32"/>
  <c r="D8" i="21"/>
  <c r="D62" i="21" s="1"/>
  <c r="D9" i="21"/>
  <c r="D63" i="21" s="1"/>
  <c r="C6" i="21"/>
  <c r="C60" i="21" s="1"/>
  <c r="C6" i="24"/>
  <c r="C60" i="24" s="1"/>
  <c r="C8" i="21"/>
  <c r="C62" i="21" s="1"/>
  <c r="C5" i="32"/>
  <c r="C7" i="21"/>
  <c r="C61" i="21" s="1"/>
  <c r="C9" i="21"/>
  <c r="C63" i="21" s="1"/>
  <c r="J7" i="33"/>
  <c r="J61" i="33" s="1"/>
  <c r="J6" i="33"/>
  <c r="J60" i="33" s="1"/>
  <c r="J14" i="33"/>
  <c r="J13" i="33"/>
  <c r="J67" i="33" s="1"/>
  <c r="J12" i="33"/>
  <c r="J66" i="33" s="1"/>
  <c r="J11" i="33"/>
  <c r="J65" i="33" s="1"/>
  <c r="J10" i="33"/>
  <c r="J64" i="33" s="1"/>
  <c r="J8" i="33"/>
  <c r="J62" i="33" s="1"/>
  <c r="J6" i="21"/>
  <c r="J60" i="21" s="1"/>
  <c r="J6" i="24"/>
  <c r="J60" i="24" s="1"/>
  <c r="J9" i="33"/>
  <c r="J63" i="33" s="1"/>
  <c r="J7" i="21"/>
  <c r="J61" i="21" s="1"/>
  <c r="J8" i="21"/>
  <c r="J62" i="21" s="1"/>
  <c r="C6" i="32"/>
  <c r="J9" i="21"/>
  <c r="J63" i="21" s="1"/>
  <c r="D10" i="21"/>
  <c r="D64" i="21" s="1"/>
  <c r="A12" i="21"/>
  <c r="B11" i="21"/>
  <c r="B65" i="21" s="1"/>
  <c r="I11" i="21"/>
  <c r="I65" i="21" s="1"/>
  <c r="J11" i="21"/>
  <c r="J65" i="21" s="1"/>
  <c r="D11" i="21"/>
  <c r="D65" i="21" s="1"/>
  <c r="C11" i="21"/>
  <c r="C65" i="21" s="1"/>
  <c r="K11" i="21"/>
  <c r="K65" i="21" s="1"/>
  <c r="E6" i="31"/>
  <c r="J10" i="21"/>
  <c r="J64" i="21" s="1"/>
  <c r="B62" i="33"/>
  <c r="B6" i="33"/>
  <c r="B60" i="33" s="1"/>
  <c r="B6" i="21"/>
  <c r="B60" i="21" s="1"/>
  <c r="B6" i="24"/>
  <c r="B60" i="24" s="1"/>
  <c r="B7" i="21"/>
  <c r="B61" i="21" s="1"/>
  <c r="B5" i="32"/>
  <c r="B8" i="21"/>
  <c r="B62" i="21" s="1"/>
  <c r="B9" i="21"/>
  <c r="B63" i="21" s="1"/>
  <c r="A14" i="33"/>
  <c r="B14" i="33" s="1"/>
  <c r="K14" i="33" l="1"/>
  <c r="D14" i="33"/>
  <c r="C14" i="33"/>
  <c r="E11" i="21"/>
  <c r="E65" i="21" s="1"/>
  <c r="E8" i="33"/>
  <c r="E62" i="33" s="1"/>
  <c r="E7" i="33"/>
  <c r="E61" i="33" s="1"/>
  <c r="E14" i="33"/>
  <c r="E68" i="33" s="1"/>
  <c r="E12" i="33"/>
  <c r="E66" i="33" s="1"/>
  <c r="E11" i="33"/>
  <c r="E65" i="33" s="1"/>
  <c r="E10" i="33"/>
  <c r="E64" i="33" s="1"/>
  <c r="E9" i="33"/>
  <c r="E63" i="33" s="1"/>
  <c r="E6" i="33"/>
  <c r="E60" i="33" s="1"/>
  <c r="E13" i="33"/>
  <c r="E67" i="33" s="1"/>
  <c r="L7" i="31"/>
  <c r="L9" i="31"/>
  <c r="L6" i="31"/>
  <c r="L8" i="31"/>
  <c r="E6" i="21"/>
  <c r="E60" i="21" s="1"/>
  <c r="E6" i="24"/>
  <c r="E60" i="24" s="1"/>
  <c r="E7" i="21"/>
  <c r="E61" i="21" s="1"/>
  <c r="E8" i="21"/>
  <c r="E62" i="21" s="1"/>
  <c r="E5" i="32"/>
  <c r="E9" i="21"/>
  <c r="E63" i="21" s="1"/>
  <c r="E10" i="21"/>
  <c r="E64" i="21" s="1"/>
  <c r="A13" i="21"/>
  <c r="C12" i="21"/>
  <c r="C66" i="21" s="1"/>
  <c r="K12" i="21"/>
  <c r="K66" i="21" s="1"/>
  <c r="B12" i="21"/>
  <c r="B66" i="21" s="1"/>
  <c r="I12" i="21"/>
  <c r="I66" i="21" s="1"/>
  <c r="E12" i="21"/>
  <c r="E66" i="21" s="1"/>
  <c r="D12" i="21"/>
  <c r="D66" i="21" s="1"/>
  <c r="J12" i="21"/>
  <c r="J66" i="21" s="1"/>
  <c r="G4" i="31"/>
  <c r="F4" i="33"/>
  <c r="M4" i="33"/>
  <c r="F4" i="32"/>
  <c r="M4" i="31"/>
  <c r="F9" i="31"/>
  <c r="F6" i="31"/>
  <c r="F8" i="31"/>
  <c r="F7" i="31"/>
  <c r="D68" i="33"/>
  <c r="K68" i="33"/>
  <c r="C68" i="33"/>
  <c r="J68" i="33"/>
  <c r="B68" i="33"/>
  <c r="I68" i="33"/>
  <c r="A15" i="33"/>
  <c r="J15" i="33" l="1"/>
  <c r="I15" i="33"/>
  <c r="B15" i="33"/>
  <c r="K15" i="33"/>
  <c r="D15" i="33"/>
  <c r="C15" i="33"/>
  <c r="C69" i="33" s="1"/>
  <c r="E15" i="33"/>
  <c r="E69" i="33" s="1"/>
  <c r="F12" i="21"/>
  <c r="F66" i="21" s="1"/>
  <c r="F9" i="33"/>
  <c r="F63" i="33" s="1"/>
  <c r="F12" i="33"/>
  <c r="F66" i="33" s="1"/>
  <c r="F8" i="33"/>
  <c r="F62" i="33" s="1"/>
  <c r="F15" i="33"/>
  <c r="F69" i="33" s="1"/>
  <c r="F7" i="33"/>
  <c r="F61" i="33" s="1"/>
  <c r="F13" i="33"/>
  <c r="F67" i="33" s="1"/>
  <c r="F6" i="33"/>
  <c r="F60" i="33" s="1"/>
  <c r="F10" i="33"/>
  <c r="F64" i="33" s="1"/>
  <c r="F14" i="33"/>
  <c r="F68" i="33" s="1"/>
  <c r="F11" i="33"/>
  <c r="L9" i="33"/>
  <c r="L63" i="33" s="1"/>
  <c r="L8" i="33"/>
  <c r="L62" i="33" s="1"/>
  <c r="L7" i="33"/>
  <c r="L61" i="33" s="1"/>
  <c r="L15" i="33"/>
  <c r="L69" i="33" s="1"/>
  <c r="L6" i="33"/>
  <c r="L60" i="33" s="1"/>
  <c r="L14" i="33"/>
  <c r="L68" i="33" s="1"/>
  <c r="L13" i="33"/>
  <c r="L67" i="33" s="1"/>
  <c r="L12" i="33"/>
  <c r="L66" i="33" s="1"/>
  <c r="L10" i="33"/>
  <c r="L64" i="33" s="1"/>
  <c r="L6" i="24"/>
  <c r="L60" i="24" s="1"/>
  <c r="L11" i="33"/>
  <c r="L65" i="33" s="1"/>
  <c r="L6" i="21"/>
  <c r="L60" i="21" s="1"/>
  <c r="L8" i="21"/>
  <c r="L62" i="21" s="1"/>
  <c r="E6" i="32"/>
  <c r="L7" i="21"/>
  <c r="L61" i="21" s="1"/>
  <c r="L9" i="21"/>
  <c r="L63" i="21" s="1"/>
  <c r="L10" i="21"/>
  <c r="L64" i="21" s="1"/>
  <c r="L11" i="21"/>
  <c r="L65" i="21" s="1"/>
  <c r="F65" i="33"/>
  <c r="F6" i="24"/>
  <c r="F60" i="24" s="1"/>
  <c r="F6" i="21"/>
  <c r="F60" i="21" s="1"/>
  <c r="F8" i="21"/>
  <c r="F62" i="21" s="1"/>
  <c r="F7" i="21"/>
  <c r="F61" i="21" s="1"/>
  <c r="F5" i="32"/>
  <c r="F9" i="21"/>
  <c r="F63" i="21" s="1"/>
  <c r="F10" i="21"/>
  <c r="F64" i="21" s="1"/>
  <c r="F11" i="21"/>
  <c r="F65" i="21" s="1"/>
  <c r="A14" i="21"/>
  <c r="L13" i="21"/>
  <c r="L67" i="21" s="1"/>
  <c r="F13" i="21"/>
  <c r="F67" i="21" s="1"/>
  <c r="E13" i="21"/>
  <c r="E67" i="21" s="1"/>
  <c r="D13" i="21"/>
  <c r="D67" i="21" s="1"/>
  <c r="J13" i="21"/>
  <c r="J67" i="21" s="1"/>
  <c r="K13" i="21"/>
  <c r="K67" i="21" s="1"/>
  <c r="B13" i="21"/>
  <c r="B67" i="21" s="1"/>
  <c r="C13" i="21"/>
  <c r="C67" i="21" s="1"/>
  <c r="I13" i="21"/>
  <c r="I67" i="21" s="1"/>
  <c r="N4" i="31"/>
  <c r="G4" i="33"/>
  <c r="N4" i="33"/>
  <c r="G4" i="32"/>
  <c r="H4" i="31"/>
  <c r="H4" i="32" s="1"/>
  <c r="G6" i="31"/>
  <c r="G7" i="31"/>
  <c r="G8" i="31"/>
  <c r="G9" i="31"/>
  <c r="M6" i="31"/>
  <c r="M7" i="31"/>
  <c r="M9" i="31"/>
  <c r="M8" i="31"/>
  <c r="L12" i="21"/>
  <c r="L66" i="21" s="1"/>
  <c r="D69" i="33"/>
  <c r="K69" i="33"/>
  <c r="J69" i="33"/>
  <c r="B69" i="33"/>
  <c r="I69" i="33"/>
  <c r="A16" i="33"/>
  <c r="L16" i="33" s="1"/>
  <c r="J4" i="24"/>
  <c r="I4" i="24"/>
  <c r="C4" i="24"/>
  <c r="B4" i="24"/>
  <c r="J4" i="21"/>
  <c r="I4" i="21"/>
  <c r="C4" i="21"/>
  <c r="B4" i="21"/>
  <c r="A7" i="24"/>
  <c r="F16" i="33" l="1"/>
  <c r="D16" i="33"/>
  <c r="J16" i="33"/>
  <c r="J70" i="33" s="1"/>
  <c r="K16" i="33"/>
  <c r="K70" i="33" s="1"/>
  <c r="I16" i="33"/>
  <c r="I70" i="33" s="1"/>
  <c r="C16" i="33"/>
  <c r="C70" i="33" s="1"/>
  <c r="B16" i="33"/>
  <c r="B70" i="33" s="1"/>
  <c r="E16" i="33"/>
  <c r="E70" i="33" s="1"/>
  <c r="G10" i="33"/>
  <c r="G12" i="33"/>
  <c r="G66" i="33" s="1"/>
  <c r="G9" i="33"/>
  <c r="G63" i="33" s="1"/>
  <c r="G17" i="33"/>
  <c r="G8" i="33"/>
  <c r="G62" i="33" s="1"/>
  <c r="G14" i="33"/>
  <c r="G68" i="33" s="1"/>
  <c r="G16" i="33"/>
  <c r="G70" i="33" s="1"/>
  <c r="G7" i="33"/>
  <c r="G61" i="33" s="1"/>
  <c r="G15" i="33"/>
  <c r="G13" i="33"/>
  <c r="G67" i="33" s="1"/>
  <c r="G6" i="33"/>
  <c r="G60" i="33" s="1"/>
  <c r="G11" i="33"/>
  <c r="G65" i="33" s="1"/>
  <c r="M13" i="21"/>
  <c r="M67" i="21" s="1"/>
  <c r="G13" i="21"/>
  <c r="G67" i="21" s="1"/>
  <c r="N7" i="31"/>
  <c r="N8" i="31"/>
  <c r="N6" i="31"/>
  <c r="N9" i="31"/>
  <c r="G64" i="33"/>
  <c r="G6" i="24"/>
  <c r="G60" i="24" s="1"/>
  <c r="G69" i="33"/>
  <c r="G6" i="21"/>
  <c r="G60" i="21" s="1"/>
  <c r="G7" i="21"/>
  <c r="G61" i="21" s="1"/>
  <c r="G5" i="32"/>
  <c r="G8" i="21"/>
  <c r="G62" i="21" s="1"/>
  <c r="G9" i="21"/>
  <c r="G63" i="21" s="1"/>
  <c r="G10" i="21"/>
  <c r="G64" i="21" s="1"/>
  <c r="G11" i="21"/>
  <c r="G65" i="21" s="1"/>
  <c r="G12" i="21"/>
  <c r="G66" i="21" s="1"/>
  <c r="O4" i="31"/>
  <c r="O4" i="33"/>
  <c r="H4" i="33"/>
  <c r="H8" i="31"/>
  <c r="H7" i="31"/>
  <c r="H9" i="31"/>
  <c r="H6" i="31"/>
  <c r="H5" i="32" s="1"/>
  <c r="A15" i="21"/>
  <c r="M14" i="21"/>
  <c r="M68" i="21" s="1"/>
  <c r="C14" i="21"/>
  <c r="C68" i="21" s="1"/>
  <c r="F14" i="21"/>
  <c r="F68" i="21" s="1"/>
  <c r="I14" i="21"/>
  <c r="I68" i="21" s="1"/>
  <c r="E14" i="21"/>
  <c r="E68" i="21" s="1"/>
  <c r="D14" i="21"/>
  <c r="D68" i="21" s="1"/>
  <c r="K14" i="21"/>
  <c r="K68" i="21" s="1"/>
  <c r="G14" i="21"/>
  <c r="G68" i="21" s="1"/>
  <c r="J14" i="21"/>
  <c r="J68" i="21" s="1"/>
  <c r="L14" i="21"/>
  <c r="L68" i="21" s="1"/>
  <c r="B14" i="21"/>
  <c r="B68" i="21" s="1"/>
  <c r="M10" i="33"/>
  <c r="M64" i="33" s="1"/>
  <c r="M9" i="33"/>
  <c r="M63" i="33" s="1"/>
  <c r="M17" i="33"/>
  <c r="M8" i="33"/>
  <c r="M62" i="33" s="1"/>
  <c r="M16" i="33"/>
  <c r="M70" i="33" s="1"/>
  <c r="M7" i="33"/>
  <c r="M61" i="33" s="1"/>
  <c r="M15" i="33"/>
  <c r="M69" i="33" s="1"/>
  <c r="M6" i="33"/>
  <c r="M60" i="33" s="1"/>
  <c r="M14" i="33"/>
  <c r="M68" i="33" s="1"/>
  <c r="M13" i="33"/>
  <c r="M67" i="33" s="1"/>
  <c r="M11" i="33"/>
  <c r="M65" i="33" s="1"/>
  <c r="M6" i="24"/>
  <c r="M60" i="24" s="1"/>
  <c r="M12" i="33"/>
  <c r="M66" i="33" s="1"/>
  <c r="M6" i="21"/>
  <c r="M60" i="21" s="1"/>
  <c r="F6" i="32"/>
  <c r="M7" i="21"/>
  <c r="M61" i="21" s="1"/>
  <c r="M8" i="21"/>
  <c r="M62" i="21" s="1"/>
  <c r="M9" i="21"/>
  <c r="M63" i="21" s="1"/>
  <c r="M10" i="21"/>
  <c r="M64" i="21" s="1"/>
  <c r="M11" i="21"/>
  <c r="M65" i="21" s="1"/>
  <c r="M12" i="21"/>
  <c r="M66" i="21" s="1"/>
  <c r="F70" i="33"/>
  <c r="L70" i="33"/>
  <c r="D70" i="33"/>
  <c r="A17" i="33"/>
  <c r="A8" i="24"/>
  <c r="J7" i="24"/>
  <c r="J61" i="24" s="1"/>
  <c r="G7" i="24"/>
  <c r="G61" i="24" s="1"/>
  <c r="K7" i="24"/>
  <c r="K61" i="24" s="1"/>
  <c r="B7" i="24"/>
  <c r="B61" i="24" s="1"/>
  <c r="C7" i="24"/>
  <c r="C61" i="24" s="1"/>
  <c r="L7" i="24"/>
  <c r="L61" i="24" s="1"/>
  <c r="M7" i="24"/>
  <c r="M61" i="24" s="1"/>
  <c r="F7" i="24"/>
  <c r="F61" i="24" s="1"/>
  <c r="E7" i="24"/>
  <c r="E61" i="24" s="1"/>
  <c r="D7" i="24"/>
  <c r="D61" i="24" s="1"/>
  <c r="I7" i="24"/>
  <c r="I61" i="24" s="1"/>
  <c r="K4" i="21"/>
  <c r="K4" i="24"/>
  <c r="D4" i="24"/>
  <c r="D4" i="21"/>
  <c r="L4" i="24"/>
  <c r="L4" i="21"/>
  <c r="E4" i="24"/>
  <c r="E4" i="21"/>
  <c r="D17" i="33" l="1"/>
  <c r="J17" i="33"/>
  <c r="J71" i="33" s="1"/>
  <c r="K17" i="33"/>
  <c r="K71" i="33" s="1"/>
  <c r="C17" i="33"/>
  <c r="C71" i="33" s="1"/>
  <c r="B17" i="33"/>
  <c r="B71" i="33" s="1"/>
  <c r="I17" i="33"/>
  <c r="I71" i="33" s="1"/>
  <c r="E17" i="33"/>
  <c r="E71" i="33" s="1"/>
  <c r="F17" i="33"/>
  <c r="F71" i="33" s="1"/>
  <c r="L17" i="33"/>
  <c r="H11" i="33"/>
  <c r="H65" i="33" s="1"/>
  <c r="H6" i="33"/>
  <c r="H60" i="33" s="1"/>
  <c r="H10" i="33"/>
  <c r="H64" i="33" s="1"/>
  <c r="H18" i="33"/>
  <c r="H9" i="33"/>
  <c r="H63" i="33" s="1"/>
  <c r="H17" i="33"/>
  <c r="H71" i="33" s="1"/>
  <c r="H7" i="33"/>
  <c r="H61" i="33" s="1"/>
  <c r="H13" i="33"/>
  <c r="H67" i="33" s="1"/>
  <c r="H15" i="33"/>
  <c r="H69" i="33" s="1"/>
  <c r="H14" i="33"/>
  <c r="H68" i="33" s="1"/>
  <c r="H8" i="33"/>
  <c r="H62" i="33" s="1"/>
  <c r="H16" i="33"/>
  <c r="H70" i="33" s="1"/>
  <c r="H12" i="33"/>
  <c r="H66" i="33" s="1"/>
  <c r="N7" i="24"/>
  <c r="N61" i="24" s="1"/>
  <c r="N14" i="21"/>
  <c r="N68" i="21" s="1"/>
  <c r="H6" i="24"/>
  <c r="H60" i="24" s="1"/>
  <c r="H6" i="21"/>
  <c r="H60" i="21" s="1"/>
  <c r="H7" i="21"/>
  <c r="H61" i="21" s="1"/>
  <c r="H8" i="21"/>
  <c r="H62" i="21" s="1"/>
  <c r="H9" i="21"/>
  <c r="H63" i="21" s="1"/>
  <c r="H10" i="21"/>
  <c r="H64" i="21" s="1"/>
  <c r="H11" i="21"/>
  <c r="H65" i="21" s="1"/>
  <c r="H12" i="21"/>
  <c r="H66" i="21" s="1"/>
  <c r="H13" i="21"/>
  <c r="H67" i="21" s="1"/>
  <c r="H14" i="21"/>
  <c r="H68" i="21" s="1"/>
  <c r="N11" i="33"/>
  <c r="N65" i="33" s="1"/>
  <c r="N10" i="33"/>
  <c r="N64" i="33" s="1"/>
  <c r="N18" i="33"/>
  <c r="N9" i="33"/>
  <c r="N63" i="33" s="1"/>
  <c r="N17" i="33"/>
  <c r="N71" i="33" s="1"/>
  <c r="N8" i="33"/>
  <c r="N62" i="33" s="1"/>
  <c r="N16" i="33"/>
  <c r="N70" i="33" s="1"/>
  <c r="N7" i="33"/>
  <c r="N61" i="33" s="1"/>
  <c r="N15" i="33"/>
  <c r="N69" i="33" s="1"/>
  <c r="N6" i="33"/>
  <c r="N60" i="33" s="1"/>
  <c r="N14" i="33"/>
  <c r="N68" i="33" s="1"/>
  <c r="N6" i="24"/>
  <c r="N60" i="24" s="1"/>
  <c r="N12" i="33"/>
  <c r="N66" i="33" s="1"/>
  <c r="N13" i="33"/>
  <c r="N67" i="33" s="1"/>
  <c r="N6" i="21"/>
  <c r="N60" i="21" s="1"/>
  <c r="N8" i="21"/>
  <c r="N62" i="21" s="1"/>
  <c r="G6" i="32"/>
  <c r="N7" i="21"/>
  <c r="N61" i="21" s="1"/>
  <c r="N9" i="21"/>
  <c r="N63" i="21" s="1"/>
  <c r="N10" i="21"/>
  <c r="N64" i="21" s="1"/>
  <c r="N11" i="21"/>
  <c r="N65" i="21" s="1"/>
  <c r="N12" i="21"/>
  <c r="N66" i="21" s="1"/>
  <c r="N13" i="21"/>
  <c r="N67" i="21" s="1"/>
  <c r="O6" i="31"/>
  <c r="H6" i="32" s="1"/>
  <c r="O9" i="31"/>
  <c r="O7" i="31"/>
  <c r="O8" i="31"/>
  <c r="H7" i="24"/>
  <c r="H61" i="24" s="1"/>
  <c r="A16" i="21"/>
  <c r="C15" i="21"/>
  <c r="C69" i="21" s="1"/>
  <c r="L15" i="21"/>
  <c r="L69" i="21" s="1"/>
  <c r="H15" i="21"/>
  <c r="H69" i="21" s="1"/>
  <c r="G15" i="21"/>
  <c r="G69" i="21" s="1"/>
  <c r="K15" i="21"/>
  <c r="K69" i="21" s="1"/>
  <c r="J15" i="21"/>
  <c r="J69" i="21" s="1"/>
  <c r="B15" i="21"/>
  <c r="B69" i="21" s="1"/>
  <c r="E15" i="21"/>
  <c r="E69" i="21" s="1"/>
  <c r="I15" i="21"/>
  <c r="I69" i="21" s="1"/>
  <c r="M15" i="21"/>
  <c r="M69" i="21" s="1"/>
  <c r="N15" i="21"/>
  <c r="N69" i="21" s="1"/>
  <c r="F15" i="21"/>
  <c r="F69" i="21" s="1"/>
  <c r="D15" i="21"/>
  <c r="D69" i="21" s="1"/>
  <c r="G71" i="33"/>
  <c r="M71" i="33"/>
  <c r="L71" i="33"/>
  <c r="D71" i="33"/>
  <c r="A18" i="33"/>
  <c r="A9" i="24"/>
  <c r="K8" i="24"/>
  <c r="K62" i="24" s="1"/>
  <c r="H8" i="24"/>
  <c r="H62" i="24" s="1"/>
  <c r="L8" i="24"/>
  <c r="L62" i="24" s="1"/>
  <c r="D8" i="24"/>
  <c r="D62" i="24" s="1"/>
  <c r="F8" i="24"/>
  <c r="F62" i="24" s="1"/>
  <c r="M8" i="24"/>
  <c r="M62" i="24" s="1"/>
  <c r="B8" i="24"/>
  <c r="B62" i="24" s="1"/>
  <c r="N8" i="24"/>
  <c r="N62" i="24" s="1"/>
  <c r="C8" i="24"/>
  <c r="C62" i="24" s="1"/>
  <c r="I8" i="24"/>
  <c r="I62" i="24" s="1"/>
  <c r="G8" i="24"/>
  <c r="G62" i="24" s="1"/>
  <c r="E8" i="24"/>
  <c r="E62" i="24" s="1"/>
  <c r="J8" i="24"/>
  <c r="J62" i="24" s="1"/>
  <c r="F4" i="21"/>
  <c r="M4" i="24"/>
  <c r="M4" i="21"/>
  <c r="F4" i="24"/>
  <c r="K18" i="33" l="1"/>
  <c r="C18" i="33"/>
  <c r="C72" i="33" s="1"/>
  <c r="B18" i="33"/>
  <c r="B72" i="33" s="1"/>
  <c r="I18" i="33"/>
  <c r="I72" i="33" s="1"/>
  <c r="J18" i="33"/>
  <c r="D18" i="33"/>
  <c r="D72" i="33" s="1"/>
  <c r="E18" i="33"/>
  <c r="E72" i="33" s="1"/>
  <c r="L18" i="33"/>
  <c r="L72" i="33" s="1"/>
  <c r="F18" i="33"/>
  <c r="G18" i="33"/>
  <c r="M18" i="33"/>
  <c r="O15" i="21"/>
  <c r="O69" i="21" s="1"/>
  <c r="O8" i="24"/>
  <c r="O62" i="24" s="1"/>
  <c r="A17" i="21"/>
  <c r="K16" i="21"/>
  <c r="K70" i="21" s="1"/>
  <c r="C16" i="21"/>
  <c r="C70" i="21" s="1"/>
  <c r="L16" i="21"/>
  <c r="L70" i="21" s="1"/>
  <c r="G16" i="21"/>
  <c r="G70" i="21" s="1"/>
  <c r="F16" i="21"/>
  <c r="F70" i="21" s="1"/>
  <c r="D16" i="21"/>
  <c r="D70" i="21" s="1"/>
  <c r="B16" i="21"/>
  <c r="B70" i="21" s="1"/>
  <c r="E16" i="21"/>
  <c r="E70" i="21" s="1"/>
  <c r="M16" i="21"/>
  <c r="M70" i="21" s="1"/>
  <c r="J16" i="21"/>
  <c r="J70" i="21" s="1"/>
  <c r="H16" i="21"/>
  <c r="H70" i="21" s="1"/>
  <c r="N16" i="21"/>
  <c r="N70" i="21" s="1"/>
  <c r="I16" i="21"/>
  <c r="I70" i="21" s="1"/>
  <c r="O16" i="21"/>
  <c r="O70" i="21" s="1"/>
  <c r="O12" i="33"/>
  <c r="O66" i="33" s="1"/>
  <c r="O11" i="33"/>
  <c r="O65" i="33" s="1"/>
  <c r="O19" i="33"/>
  <c r="O10" i="33"/>
  <c r="O64" i="33" s="1"/>
  <c r="O18" i="33"/>
  <c r="O72" i="33" s="1"/>
  <c r="O9" i="33"/>
  <c r="O63" i="33" s="1"/>
  <c r="O17" i="33"/>
  <c r="O71" i="33" s="1"/>
  <c r="O8" i="33"/>
  <c r="O62" i="33" s="1"/>
  <c r="O16" i="33"/>
  <c r="O70" i="33" s="1"/>
  <c r="O7" i="33"/>
  <c r="O61" i="33" s="1"/>
  <c r="O15" i="33"/>
  <c r="O69" i="33" s="1"/>
  <c r="O6" i="21"/>
  <c r="O60" i="21" s="1"/>
  <c r="O6" i="33"/>
  <c r="O60" i="33" s="1"/>
  <c r="O6" i="24"/>
  <c r="O60" i="24" s="1"/>
  <c r="O13" i="33"/>
  <c r="O67" i="33" s="1"/>
  <c r="O14" i="33"/>
  <c r="O68" i="33" s="1"/>
  <c r="O7" i="21"/>
  <c r="O61" i="21" s="1"/>
  <c r="O8" i="21"/>
  <c r="O62" i="21" s="1"/>
  <c r="O9" i="21"/>
  <c r="O63" i="21" s="1"/>
  <c r="O10" i="21"/>
  <c r="O64" i="21" s="1"/>
  <c r="O11" i="21"/>
  <c r="O65" i="21" s="1"/>
  <c r="O12" i="21"/>
  <c r="O66" i="21" s="1"/>
  <c r="O13" i="21"/>
  <c r="O67" i="21" s="1"/>
  <c r="O7" i="24"/>
  <c r="O61" i="24" s="1"/>
  <c r="O14" i="21"/>
  <c r="O68" i="21" s="1"/>
  <c r="A19" i="33"/>
  <c r="H72" i="33"/>
  <c r="G72" i="33"/>
  <c r="N72" i="33"/>
  <c r="F72" i="33"/>
  <c r="M72" i="33"/>
  <c r="K72" i="33"/>
  <c r="J72" i="33"/>
  <c r="A10" i="24"/>
  <c r="L9" i="24"/>
  <c r="L63" i="24" s="1"/>
  <c r="M9" i="24"/>
  <c r="M63" i="24" s="1"/>
  <c r="B9" i="24"/>
  <c r="B63" i="24" s="1"/>
  <c r="O9" i="24"/>
  <c r="O63" i="24" s="1"/>
  <c r="D9" i="24"/>
  <c r="D63" i="24" s="1"/>
  <c r="J9" i="24"/>
  <c r="J63" i="24" s="1"/>
  <c r="N9" i="24"/>
  <c r="N63" i="24" s="1"/>
  <c r="C9" i="24"/>
  <c r="C63" i="24" s="1"/>
  <c r="G9" i="24"/>
  <c r="G63" i="24" s="1"/>
  <c r="H9" i="24"/>
  <c r="H63" i="24" s="1"/>
  <c r="E9" i="24"/>
  <c r="E63" i="24" s="1"/>
  <c r="I9" i="24"/>
  <c r="I63" i="24" s="1"/>
  <c r="F9" i="24"/>
  <c r="F63" i="24" s="1"/>
  <c r="K9" i="24"/>
  <c r="K63" i="24" s="1"/>
  <c r="N4" i="21"/>
  <c r="N4" i="24"/>
  <c r="G4" i="24"/>
  <c r="G4" i="21"/>
  <c r="J19" i="33" l="1"/>
  <c r="B19" i="33"/>
  <c r="C19" i="33"/>
  <c r="C73" i="33" s="1"/>
  <c r="I19" i="33"/>
  <c r="D19" i="33"/>
  <c r="D73" i="33" s="1"/>
  <c r="K19" i="33"/>
  <c r="K73" i="33" s="1"/>
  <c r="E19" i="33"/>
  <c r="E73" i="33" s="1"/>
  <c r="F19" i="33"/>
  <c r="F73" i="33" s="1"/>
  <c r="L19" i="33"/>
  <c r="M19" i="33"/>
  <c r="M73" i="33" s="1"/>
  <c r="G19" i="33"/>
  <c r="G73" i="33" s="1"/>
  <c r="H19" i="33"/>
  <c r="H73" i="33" s="1"/>
  <c r="N19" i="33"/>
  <c r="N73" i="33" s="1"/>
  <c r="A18" i="21"/>
  <c r="H17" i="21"/>
  <c r="H71" i="21" s="1"/>
  <c r="M17" i="21"/>
  <c r="M71" i="21" s="1"/>
  <c r="G17" i="21"/>
  <c r="G71" i="21" s="1"/>
  <c r="L17" i="21"/>
  <c r="L71" i="21" s="1"/>
  <c r="K17" i="21"/>
  <c r="K71" i="21" s="1"/>
  <c r="I17" i="21"/>
  <c r="I71" i="21" s="1"/>
  <c r="E17" i="21"/>
  <c r="E71" i="21" s="1"/>
  <c r="D17" i="21"/>
  <c r="D71" i="21" s="1"/>
  <c r="J17" i="21"/>
  <c r="J71" i="21" s="1"/>
  <c r="N17" i="21"/>
  <c r="N71" i="21" s="1"/>
  <c r="O17" i="21"/>
  <c r="O71" i="21" s="1"/>
  <c r="F17" i="21"/>
  <c r="F71" i="21" s="1"/>
  <c r="C17" i="21"/>
  <c r="C71" i="21" s="1"/>
  <c r="B17" i="21"/>
  <c r="B71" i="21" s="1"/>
  <c r="I73" i="33"/>
  <c r="A20" i="33"/>
  <c r="O73" i="33"/>
  <c r="L73" i="33"/>
  <c r="J73" i="33"/>
  <c r="B73" i="33"/>
  <c r="A11" i="24"/>
  <c r="M10" i="24"/>
  <c r="M64" i="24" s="1"/>
  <c r="B10" i="24"/>
  <c r="B64" i="24" s="1"/>
  <c r="N10" i="24"/>
  <c r="N64" i="24" s="1"/>
  <c r="C10" i="24"/>
  <c r="C64" i="24" s="1"/>
  <c r="I10" i="24"/>
  <c r="I64" i="24" s="1"/>
  <c r="F10" i="24"/>
  <c r="F64" i="24" s="1"/>
  <c r="O10" i="24"/>
  <c r="O64" i="24" s="1"/>
  <c r="D10" i="24"/>
  <c r="D64" i="24" s="1"/>
  <c r="E10" i="24"/>
  <c r="E64" i="24" s="1"/>
  <c r="G10" i="24"/>
  <c r="G64" i="24" s="1"/>
  <c r="K10" i="24"/>
  <c r="K64" i="24" s="1"/>
  <c r="J10" i="24"/>
  <c r="J64" i="24" s="1"/>
  <c r="H10" i="24"/>
  <c r="H64" i="24" s="1"/>
  <c r="L10" i="24"/>
  <c r="L64" i="24" s="1"/>
  <c r="H4" i="21"/>
  <c r="O4" i="21"/>
  <c r="O4" i="24"/>
  <c r="H4" i="24"/>
  <c r="J20" i="33" l="1"/>
  <c r="I20" i="33"/>
  <c r="C20" i="33"/>
  <c r="C74" i="33" s="1"/>
  <c r="B20" i="33"/>
  <c r="B74" i="33" s="1"/>
  <c r="D20" i="33"/>
  <c r="D74" i="33" s="1"/>
  <c r="K20" i="33"/>
  <c r="K74" i="33" s="1"/>
  <c r="E20" i="33"/>
  <c r="E74" i="33" s="1"/>
  <c r="F20" i="33"/>
  <c r="F74" i="33" s="1"/>
  <c r="L20" i="33"/>
  <c r="M20" i="33"/>
  <c r="M74" i="33" s="1"/>
  <c r="G20" i="33"/>
  <c r="G74" i="33" s="1"/>
  <c r="H20" i="33"/>
  <c r="H74" i="33" s="1"/>
  <c r="N20" i="33"/>
  <c r="N74" i="33" s="1"/>
  <c r="O20" i="33"/>
  <c r="O74" i="33" s="1"/>
  <c r="A19" i="21"/>
  <c r="I18" i="21"/>
  <c r="I72" i="21" s="1"/>
  <c r="B18" i="21"/>
  <c r="B72" i="21" s="1"/>
  <c r="G18" i="21"/>
  <c r="G72" i="21" s="1"/>
  <c r="L18" i="21"/>
  <c r="L72" i="21" s="1"/>
  <c r="H18" i="21"/>
  <c r="H72" i="21" s="1"/>
  <c r="F18" i="21"/>
  <c r="F72" i="21" s="1"/>
  <c r="C18" i="21"/>
  <c r="C72" i="21" s="1"/>
  <c r="N18" i="21"/>
  <c r="N72" i="21" s="1"/>
  <c r="K18" i="21"/>
  <c r="K72" i="21" s="1"/>
  <c r="D18" i="21"/>
  <c r="D72" i="21" s="1"/>
  <c r="J18" i="21"/>
  <c r="J72" i="21" s="1"/>
  <c r="E18" i="21"/>
  <c r="E72" i="21" s="1"/>
  <c r="O18" i="21"/>
  <c r="O72" i="21" s="1"/>
  <c r="M18" i="21"/>
  <c r="M72" i="21" s="1"/>
  <c r="J74" i="33"/>
  <c r="I74" i="33"/>
  <c r="A21" i="33"/>
  <c r="L74" i="33"/>
  <c r="A12" i="24"/>
  <c r="N11" i="24"/>
  <c r="N65" i="24" s="1"/>
  <c r="C11" i="24"/>
  <c r="C65" i="24" s="1"/>
  <c r="O11" i="24"/>
  <c r="O65" i="24" s="1"/>
  <c r="D11" i="24"/>
  <c r="D65" i="24" s="1"/>
  <c r="F11" i="24"/>
  <c r="F65" i="24" s="1"/>
  <c r="E11" i="24"/>
  <c r="E65" i="24" s="1"/>
  <c r="I11" i="24"/>
  <c r="I65" i="24" s="1"/>
  <c r="J11" i="24"/>
  <c r="J65" i="24" s="1"/>
  <c r="G11" i="24"/>
  <c r="G65" i="24" s="1"/>
  <c r="H11" i="24"/>
  <c r="H65" i="24" s="1"/>
  <c r="K11" i="24"/>
  <c r="K65" i="24" s="1"/>
  <c r="L11" i="24"/>
  <c r="L65" i="24" s="1"/>
  <c r="B11" i="24"/>
  <c r="B65" i="24" s="1"/>
  <c r="M11" i="24"/>
  <c r="M65" i="24" s="1"/>
  <c r="D21" i="33" l="1"/>
  <c r="B21" i="33"/>
  <c r="B75" i="33" s="1"/>
  <c r="C21" i="33"/>
  <c r="C75" i="33" s="1"/>
  <c r="K21" i="33"/>
  <c r="K75" i="33" s="1"/>
  <c r="J21" i="33"/>
  <c r="I21" i="33"/>
  <c r="I75" i="33" s="1"/>
  <c r="E21" i="33"/>
  <c r="E75" i="33" s="1"/>
  <c r="F21" i="33"/>
  <c r="F75" i="33" s="1"/>
  <c r="L21" i="33"/>
  <c r="M21" i="33"/>
  <c r="G21" i="33"/>
  <c r="G75" i="33" s="1"/>
  <c r="H21" i="33"/>
  <c r="H75" i="33" s="1"/>
  <c r="N21" i="33"/>
  <c r="N75" i="33" s="1"/>
  <c r="O21" i="33"/>
  <c r="O75" i="33" s="1"/>
  <c r="A20" i="21"/>
  <c r="M19" i="21"/>
  <c r="M73" i="21" s="1"/>
  <c r="O19" i="21"/>
  <c r="O73" i="21" s="1"/>
  <c r="K19" i="21"/>
  <c r="K73" i="21" s="1"/>
  <c r="L19" i="21"/>
  <c r="L73" i="21" s="1"/>
  <c r="F19" i="21"/>
  <c r="F73" i="21" s="1"/>
  <c r="I19" i="21"/>
  <c r="I73" i="21" s="1"/>
  <c r="E19" i="21"/>
  <c r="E73" i="21" s="1"/>
  <c r="G19" i="21"/>
  <c r="G73" i="21" s="1"/>
  <c r="B19" i="21"/>
  <c r="B73" i="21" s="1"/>
  <c r="D19" i="21"/>
  <c r="D73" i="21" s="1"/>
  <c r="H19" i="21"/>
  <c r="H73" i="21" s="1"/>
  <c r="C19" i="21"/>
  <c r="C73" i="21" s="1"/>
  <c r="N19" i="21"/>
  <c r="N73" i="21" s="1"/>
  <c r="J19" i="21"/>
  <c r="J73" i="21" s="1"/>
  <c r="J75" i="33"/>
  <c r="A22" i="33"/>
  <c r="M75" i="33"/>
  <c r="L75" i="33"/>
  <c r="D75" i="33"/>
  <c r="A13" i="24"/>
  <c r="O12" i="24"/>
  <c r="O66" i="24" s="1"/>
  <c r="D12" i="24"/>
  <c r="D66" i="24" s="1"/>
  <c r="E12" i="24"/>
  <c r="E66" i="24" s="1"/>
  <c r="J12" i="24"/>
  <c r="J66" i="24" s="1"/>
  <c r="K12" i="24"/>
  <c r="K66" i="24" s="1"/>
  <c r="B12" i="24"/>
  <c r="B66" i="24" s="1"/>
  <c r="C12" i="24"/>
  <c r="C66" i="24" s="1"/>
  <c r="I12" i="24"/>
  <c r="I66" i="24" s="1"/>
  <c r="F12" i="24"/>
  <c r="F66" i="24" s="1"/>
  <c r="G12" i="24"/>
  <c r="G66" i="24" s="1"/>
  <c r="H12" i="24"/>
  <c r="H66" i="24" s="1"/>
  <c r="L12" i="24"/>
  <c r="L66" i="24" s="1"/>
  <c r="M12" i="24"/>
  <c r="M66" i="24" s="1"/>
  <c r="N12" i="24"/>
  <c r="N66" i="24" s="1"/>
  <c r="K22" i="33" l="1"/>
  <c r="C22" i="33"/>
  <c r="B22" i="33"/>
  <c r="B76" i="33" s="1"/>
  <c r="D22" i="33"/>
  <c r="J22" i="33"/>
  <c r="J76" i="33" s="1"/>
  <c r="I22" i="33"/>
  <c r="I76" i="33" s="1"/>
  <c r="E22" i="33"/>
  <c r="E76" i="33" s="1"/>
  <c r="L22" i="33"/>
  <c r="L76" i="33" s="1"/>
  <c r="F22" i="33"/>
  <c r="G22" i="33"/>
  <c r="M22" i="33"/>
  <c r="N22" i="33"/>
  <c r="N76" i="33" s="1"/>
  <c r="H22" i="33"/>
  <c r="H76" i="33" s="1"/>
  <c r="O22" i="33"/>
  <c r="O76" i="33" s="1"/>
  <c r="A21" i="21"/>
  <c r="F20" i="21"/>
  <c r="F74" i="21" s="1"/>
  <c r="N20" i="21"/>
  <c r="N74" i="21" s="1"/>
  <c r="H20" i="21"/>
  <c r="H74" i="21" s="1"/>
  <c r="B20" i="21"/>
  <c r="B74" i="21" s="1"/>
  <c r="J20" i="21"/>
  <c r="J74" i="21" s="1"/>
  <c r="M20" i="21"/>
  <c r="M74" i="21" s="1"/>
  <c r="L20" i="21"/>
  <c r="L74" i="21" s="1"/>
  <c r="I20" i="21"/>
  <c r="I74" i="21" s="1"/>
  <c r="O20" i="21"/>
  <c r="O74" i="21" s="1"/>
  <c r="G20" i="21"/>
  <c r="G74" i="21" s="1"/>
  <c r="E20" i="21"/>
  <c r="E74" i="21" s="1"/>
  <c r="D20" i="21"/>
  <c r="D74" i="21" s="1"/>
  <c r="C20" i="21"/>
  <c r="C74" i="21" s="1"/>
  <c r="K20" i="21"/>
  <c r="K74" i="21" s="1"/>
  <c r="D76" i="33"/>
  <c r="K76" i="33"/>
  <c r="C76" i="33"/>
  <c r="A23" i="33"/>
  <c r="G76" i="33"/>
  <c r="F76" i="33"/>
  <c r="M76" i="33"/>
  <c r="A14" i="24"/>
  <c r="E13" i="24"/>
  <c r="E67" i="24" s="1"/>
  <c r="I13" i="24"/>
  <c r="I67" i="24" s="1"/>
  <c r="F13" i="24"/>
  <c r="F67" i="24" s="1"/>
  <c r="H13" i="24"/>
  <c r="H67" i="24" s="1"/>
  <c r="J13" i="24"/>
  <c r="J67" i="24" s="1"/>
  <c r="G13" i="24"/>
  <c r="G67" i="24" s="1"/>
  <c r="K13" i="24"/>
  <c r="K67" i="24" s="1"/>
  <c r="L13" i="24"/>
  <c r="L67" i="24" s="1"/>
  <c r="C13" i="24"/>
  <c r="C67" i="24" s="1"/>
  <c r="N13" i="24"/>
  <c r="N67" i="24" s="1"/>
  <c r="M13" i="24"/>
  <c r="M67" i="24" s="1"/>
  <c r="B13" i="24"/>
  <c r="B67" i="24" s="1"/>
  <c r="D13" i="24"/>
  <c r="D67" i="24" s="1"/>
  <c r="O13" i="24"/>
  <c r="O67" i="24" s="1"/>
  <c r="I23" i="33" l="1"/>
  <c r="J23" i="33"/>
  <c r="J77" i="33" s="1"/>
  <c r="B23" i="33"/>
  <c r="B77" i="33" s="1"/>
  <c r="K23" i="33"/>
  <c r="K77" i="33" s="1"/>
  <c r="D23" i="33"/>
  <c r="D77" i="33" s="1"/>
  <c r="C23" i="33"/>
  <c r="C77" i="33" s="1"/>
  <c r="E23" i="33"/>
  <c r="E77" i="33" s="1"/>
  <c r="F23" i="33"/>
  <c r="F77" i="33" s="1"/>
  <c r="L23" i="33"/>
  <c r="G23" i="33"/>
  <c r="M23" i="33"/>
  <c r="N23" i="33"/>
  <c r="N77" i="33" s="1"/>
  <c r="H23" i="33"/>
  <c r="H77" i="33" s="1"/>
  <c r="O23" i="33"/>
  <c r="O77" i="33" s="1"/>
  <c r="A22" i="21"/>
  <c r="D21" i="21"/>
  <c r="D75" i="21" s="1"/>
  <c r="O21" i="21"/>
  <c r="O75" i="21" s="1"/>
  <c r="C21" i="21"/>
  <c r="C75" i="21" s="1"/>
  <c r="G21" i="21"/>
  <c r="G75" i="21" s="1"/>
  <c r="J21" i="21"/>
  <c r="J75" i="21" s="1"/>
  <c r="F21" i="21"/>
  <c r="F75" i="21" s="1"/>
  <c r="E21" i="21"/>
  <c r="E75" i="21" s="1"/>
  <c r="B21" i="21"/>
  <c r="B75" i="21" s="1"/>
  <c r="N21" i="21"/>
  <c r="N75" i="21" s="1"/>
  <c r="M21" i="21"/>
  <c r="M75" i="21" s="1"/>
  <c r="L21" i="21"/>
  <c r="L75" i="21" s="1"/>
  <c r="H21" i="21"/>
  <c r="H75" i="21" s="1"/>
  <c r="K21" i="21"/>
  <c r="K75" i="21" s="1"/>
  <c r="I21" i="21"/>
  <c r="I75" i="21" s="1"/>
  <c r="M77" i="33"/>
  <c r="L77" i="33"/>
  <c r="I77" i="33"/>
  <c r="A24" i="33"/>
  <c r="G77" i="33"/>
  <c r="A15" i="24"/>
  <c r="I14" i="24"/>
  <c r="I68" i="24" s="1"/>
  <c r="F14" i="24"/>
  <c r="F68" i="24" s="1"/>
  <c r="J14" i="24"/>
  <c r="J68" i="24" s="1"/>
  <c r="G14" i="24"/>
  <c r="G68" i="24" s="1"/>
  <c r="M14" i="24"/>
  <c r="M68" i="24" s="1"/>
  <c r="B14" i="24"/>
  <c r="B68" i="24" s="1"/>
  <c r="C14" i="24"/>
  <c r="C68" i="24" s="1"/>
  <c r="K14" i="24"/>
  <c r="K68" i="24" s="1"/>
  <c r="H14" i="24"/>
  <c r="H68" i="24" s="1"/>
  <c r="L14" i="24"/>
  <c r="L68" i="24" s="1"/>
  <c r="O14" i="24"/>
  <c r="O68" i="24" s="1"/>
  <c r="D14" i="24"/>
  <c r="D68" i="24" s="1"/>
  <c r="N14" i="24"/>
  <c r="N68" i="24" s="1"/>
  <c r="E14" i="24"/>
  <c r="E68" i="24" s="1"/>
  <c r="B24" i="33" l="1"/>
  <c r="B78" i="33" s="1"/>
  <c r="K24" i="33"/>
  <c r="K78" i="33" s="1"/>
  <c r="J24" i="33"/>
  <c r="J78" i="33" s="1"/>
  <c r="C24" i="33"/>
  <c r="C78" i="33" s="1"/>
  <c r="D24" i="33"/>
  <c r="D78" i="33" s="1"/>
  <c r="I24" i="33"/>
  <c r="I78" i="33" s="1"/>
  <c r="E24" i="33"/>
  <c r="E78" i="33" s="1"/>
  <c r="L24" i="33"/>
  <c r="L78" i="33" s="1"/>
  <c r="F24" i="33"/>
  <c r="F78" i="33" s="1"/>
  <c r="M24" i="33"/>
  <c r="G24" i="33"/>
  <c r="G78" i="33" s="1"/>
  <c r="H24" i="33"/>
  <c r="H78" i="33" s="1"/>
  <c r="N24" i="33"/>
  <c r="O24" i="33"/>
  <c r="O78" i="33" s="1"/>
  <c r="A23" i="21"/>
  <c r="H22" i="21"/>
  <c r="H76" i="21" s="1"/>
  <c r="F22" i="21"/>
  <c r="F76" i="21" s="1"/>
  <c r="N22" i="21"/>
  <c r="N76" i="21" s="1"/>
  <c r="K22" i="21"/>
  <c r="K76" i="21" s="1"/>
  <c r="C22" i="21"/>
  <c r="C76" i="21" s="1"/>
  <c r="G22" i="21"/>
  <c r="G76" i="21" s="1"/>
  <c r="E22" i="21"/>
  <c r="E76" i="21" s="1"/>
  <c r="L22" i="21"/>
  <c r="L76" i="21" s="1"/>
  <c r="I22" i="21"/>
  <c r="I76" i="21" s="1"/>
  <c r="B22" i="21"/>
  <c r="B76" i="21" s="1"/>
  <c r="O22" i="21"/>
  <c r="O76" i="21" s="1"/>
  <c r="M22" i="21"/>
  <c r="M76" i="21" s="1"/>
  <c r="J22" i="21"/>
  <c r="J76" i="21" s="1"/>
  <c r="D22" i="21"/>
  <c r="D76" i="21" s="1"/>
  <c r="N78" i="33"/>
  <c r="M78" i="33"/>
  <c r="A25" i="33"/>
  <c r="A16" i="24"/>
  <c r="J15" i="24"/>
  <c r="J69" i="24" s="1"/>
  <c r="G15" i="24"/>
  <c r="G69" i="24" s="1"/>
  <c r="K15" i="24"/>
  <c r="K69" i="24" s="1"/>
  <c r="H15" i="24"/>
  <c r="H69" i="24" s="1"/>
  <c r="M15" i="24"/>
  <c r="M69" i="24" s="1"/>
  <c r="L15" i="24"/>
  <c r="L69" i="24" s="1"/>
  <c r="B15" i="24"/>
  <c r="B69" i="24" s="1"/>
  <c r="N15" i="24"/>
  <c r="N69" i="24" s="1"/>
  <c r="C15" i="24"/>
  <c r="C69" i="24" s="1"/>
  <c r="F15" i="24"/>
  <c r="F69" i="24" s="1"/>
  <c r="D15" i="24"/>
  <c r="D69" i="24" s="1"/>
  <c r="E15" i="24"/>
  <c r="E69" i="24" s="1"/>
  <c r="O15" i="24"/>
  <c r="O69" i="24" s="1"/>
  <c r="I15" i="24"/>
  <c r="I69" i="24" s="1"/>
  <c r="B25" i="33" l="1"/>
  <c r="K25" i="33"/>
  <c r="K79" i="33" s="1"/>
  <c r="I25" i="33"/>
  <c r="I79" i="33" s="1"/>
  <c r="D25" i="33"/>
  <c r="D79" i="33" s="1"/>
  <c r="C25" i="33"/>
  <c r="C79" i="33" s="1"/>
  <c r="J25" i="33"/>
  <c r="J79" i="33" s="1"/>
  <c r="E25" i="33"/>
  <c r="E79" i="33" s="1"/>
  <c r="F25" i="33"/>
  <c r="F79" i="33" s="1"/>
  <c r="L25" i="33"/>
  <c r="M25" i="33"/>
  <c r="M79" i="33" s="1"/>
  <c r="G25" i="33"/>
  <c r="N25" i="33"/>
  <c r="N79" i="33" s="1"/>
  <c r="H25" i="33"/>
  <c r="H79" i="33" s="1"/>
  <c r="O25" i="33"/>
  <c r="O79" i="33" s="1"/>
  <c r="A24" i="21"/>
  <c r="O23" i="21"/>
  <c r="O77" i="21" s="1"/>
  <c r="M23" i="21"/>
  <c r="M77" i="21" s="1"/>
  <c r="L23" i="21"/>
  <c r="L77" i="21" s="1"/>
  <c r="E23" i="21"/>
  <c r="E77" i="21" s="1"/>
  <c r="H23" i="21"/>
  <c r="H77" i="21" s="1"/>
  <c r="G23" i="21"/>
  <c r="G77" i="21" s="1"/>
  <c r="J23" i="21"/>
  <c r="J77" i="21" s="1"/>
  <c r="C23" i="21"/>
  <c r="C77" i="21" s="1"/>
  <c r="B23" i="21"/>
  <c r="B77" i="21" s="1"/>
  <c r="K23" i="21"/>
  <c r="K77" i="21" s="1"/>
  <c r="F23" i="21"/>
  <c r="F77" i="21" s="1"/>
  <c r="N23" i="21"/>
  <c r="N77" i="21" s="1"/>
  <c r="I23" i="21"/>
  <c r="I77" i="21" s="1"/>
  <c r="D23" i="21"/>
  <c r="D77" i="21" s="1"/>
  <c r="G79" i="33"/>
  <c r="L79" i="33"/>
  <c r="B79" i="33"/>
  <c r="A26" i="33"/>
  <c r="A17" i="24"/>
  <c r="K16" i="24"/>
  <c r="K70" i="24" s="1"/>
  <c r="H16" i="24"/>
  <c r="H70" i="24" s="1"/>
  <c r="J16" i="24"/>
  <c r="J70" i="24" s="1"/>
  <c r="L16" i="24"/>
  <c r="L70" i="24" s="1"/>
  <c r="O16" i="24"/>
  <c r="O70" i="24" s="1"/>
  <c r="D16" i="24"/>
  <c r="D70" i="24" s="1"/>
  <c r="I16" i="24"/>
  <c r="I70" i="24" s="1"/>
  <c r="F16" i="24"/>
  <c r="F70" i="24" s="1"/>
  <c r="M16" i="24"/>
  <c r="M70" i="24" s="1"/>
  <c r="B16" i="24"/>
  <c r="B70" i="24" s="1"/>
  <c r="N16" i="24"/>
  <c r="N70" i="24" s="1"/>
  <c r="E16" i="24"/>
  <c r="E70" i="24" s="1"/>
  <c r="C16" i="24"/>
  <c r="C70" i="24" s="1"/>
  <c r="G16" i="24"/>
  <c r="G70" i="24" s="1"/>
  <c r="I26" i="33" l="1"/>
  <c r="J26" i="33"/>
  <c r="C26" i="33"/>
  <c r="C80" i="33" s="1"/>
  <c r="B26" i="33"/>
  <c r="B80" i="33" s="1"/>
  <c r="D26" i="33"/>
  <c r="D80" i="33" s="1"/>
  <c r="K26" i="33"/>
  <c r="K80" i="33" s="1"/>
  <c r="E26" i="33"/>
  <c r="E80" i="33" s="1"/>
  <c r="L26" i="33"/>
  <c r="L80" i="33" s="1"/>
  <c r="F26" i="33"/>
  <c r="G26" i="33"/>
  <c r="M26" i="33"/>
  <c r="M80" i="33" s="1"/>
  <c r="H26" i="33"/>
  <c r="N26" i="33"/>
  <c r="N80" i="33" s="1"/>
  <c r="O26" i="33"/>
  <c r="A25" i="21"/>
  <c r="F24" i="21"/>
  <c r="F78" i="21" s="1"/>
  <c r="M24" i="21"/>
  <c r="M78" i="21" s="1"/>
  <c r="D24" i="21"/>
  <c r="D78" i="21" s="1"/>
  <c r="H24" i="21"/>
  <c r="H78" i="21" s="1"/>
  <c r="K24" i="21"/>
  <c r="K78" i="21" s="1"/>
  <c r="L24" i="21"/>
  <c r="L78" i="21" s="1"/>
  <c r="I24" i="21"/>
  <c r="I78" i="21" s="1"/>
  <c r="E24" i="21"/>
  <c r="E78" i="21" s="1"/>
  <c r="N24" i="21"/>
  <c r="N78" i="21" s="1"/>
  <c r="B24" i="21"/>
  <c r="B78" i="21" s="1"/>
  <c r="J24" i="21"/>
  <c r="J78" i="21" s="1"/>
  <c r="G24" i="21"/>
  <c r="G78" i="21" s="1"/>
  <c r="O24" i="21"/>
  <c r="O78" i="21" s="1"/>
  <c r="C24" i="21"/>
  <c r="C78" i="21" s="1"/>
  <c r="H80" i="33"/>
  <c r="O80" i="33"/>
  <c r="G80" i="33"/>
  <c r="F80" i="33"/>
  <c r="J80" i="33"/>
  <c r="I80" i="33"/>
  <c r="A18" i="24"/>
  <c r="L17" i="24"/>
  <c r="L71" i="24" s="1"/>
  <c r="G17" i="24"/>
  <c r="G71" i="24" s="1"/>
  <c r="M17" i="24"/>
  <c r="M71" i="24" s="1"/>
  <c r="B17" i="24"/>
  <c r="B71" i="24" s="1"/>
  <c r="O17" i="24"/>
  <c r="O71" i="24" s="1"/>
  <c r="D17" i="24"/>
  <c r="D71" i="24" s="1"/>
  <c r="K17" i="24"/>
  <c r="K71" i="24" s="1"/>
  <c r="N17" i="24"/>
  <c r="N71" i="24" s="1"/>
  <c r="C17" i="24"/>
  <c r="C71" i="24" s="1"/>
  <c r="H17" i="24"/>
  <c r="H71" i="24" s="1"/>
  <c r="E17" i="24"/>
  <c r="E71" i="24" s="1"/>
  <c r="I17" i="24"/>
  <c r="I71" i="24" s="1"/>
  <c r="F17" i="24"/>
  <c r="F71" i="24" s="1"/>
  <c r="J17" i="24"/>
  <c r="J71" i="24" s="1"/>
  <c r="A26" i="21" l="1"/>
  <c r="G25" i="21"/>
  <c r="G79" i="21" s="1"/>
  <c r="B25" i="21"/>
  <c r="B79" i="21" s="1"/>
  <c r="L25" i="21"/>
  <c r="L79" i="21" s="1"/>
  <c r="I25" i="21"/>
  <c r="I79" i="21" s="1"/>
  <c r="C25" i="21"/>
  <c r="C79" i="21" s="1"/>
  <c r="M25" i="21"/>
  <c r="M79" i="21" s="1"/>
  <c r="O25" i="21"/>
  <c r="O79" i="21" s="1"/>
  <c r="K25" i="21"/>
  <c r="K79" i="21" s="1"/>
  <c r="E25" i="21"/>
  <c r="E79" i="21" s="1"/>
  <c r="J25" i="21"/>
  <c r="J79" i="21" s="1"/>
  <c r="F25" i="21"/>
  <c r="F79" i="21" s="1"/>
  <c r="H25" i="21"/>
  <c r="H79" i="21" s="1"/>
  <c r="N25" i="21"/>
  <c r="N79" i="21" s="1"/>
  <c r="D25" i="21"/>
  <c r="D79" i="21" s="1"/>
  <c r="A19" i="24"/>
  <c r="M18" i="24"/>
  <c r="M72" i="24" s="1"/>
  <c r="B18" i="24"/>
  <c r="B72" i="24" s="1"/>
  <c r="N18" i="24"/>
  <c r="N72" i="24" s="1"/>
  <c r="C18" i="24"/>
  <c r="C72" i="24" s="1"/>
  <c r="O18" i="24"/>
  <c r="O72" i="24" s="1"/>
  <c r="D18" i="24"/>
  <c r="D72" i="24" s="1"/>
  <c r="E18" i="24"/>
  <c r="E72" i="24" s="1"/>
  <c r="I18" i="24"/>
  <c r="I72" i="24" s="1"/>
  <c r="L18" i="24"/>
  <c r="L72" i="24" s="1"/>
  <c r="F18" i="24"/>
  <c r="F72" i="24" s="1"/>
  <c r="G18" i="24"/>
  <c r="G72" i="24" s="1"/>
  <c r="K18" i="24"/>
  <c r="K72" i="24" s="1"/>
  <c r="J18" i="24"/>
  <c r="J72" i="24" s="1"/>
  <c r="H18" i="24"/>
  <c r="H72" i="24" s="1"/>
  <c r="N26" i="21" l="1"/>
  <c r="N80" i="21" s="1"/>
  <c r="G26" i="21"/>
  <c r="G80" i="21" s="1"/>
  <c r="O26" i="21"/>
  <c r="O80" i="21" s="1"/>
  <c r="L26" i="21"/>
  <c r="L80" i="21" s="1"/>
  <c r="M26" i="21"/>
  <c r="M80" i="21" s="1"/>
  <c r="F26" i="21"/>
  <c r="F80" i="21" s="1"/>
  <c r="B26" i="21"/>
  <c r="B80" i="21" s="1"/>
  <c r="I26" i="21"/>
  <c r="I80" i="21" s="1"/>
  <c r="D26" i="21"/>
  <c r="D80" i="21" s="1"/>
  <c r="J26" i="21"/>
  <c r="J80" i="21" s="1"/>
  <c r="K26" i="21"/>
  <c r="K80" i="21" s="1"/>
  <c r="E26" i="21"/>
  <c r="E80" i="21" s="1"/>
  <c r="H26" i="21"/>
  <c r="H80" i="21" s="1"/>
  <c r="C26" i="21"/>
  <c r="C80" i="21" s="1"/>
  <c r="A20" i="24"/>
  <c r="N19" i="24"/>
  <c r="N73" i="24" s="1"/>
  <c r="C19" i="24"/>
  <c r="C73" i="24" s="1"/>
  <c r="B19" i="24"/>
  <c r="B73" i="24" s="1"/>
  <c r="O19" i="24"/>
  <c r="O73" i="24" s="1"/>
  <c r="D19" i="24"/>
  <c r="D73" i="24" s="1"/>
  <c r="H19" i="24"/>
  <c r="H73" i="24" s="1"/>
  <c r="E19" i="24"/>
  <c r="E73" i="24" s="1"/>
  <c r="I19" i="24"/>
  <c r="I73" i="24" s="1"/>
  <c r="F19" i="24"/>
  <c r="F73" i="24" s="1"/>
  <c r="G19" i="24"/>
  <c r="G73" i="24" s="1"/>
  <c r="L19" i="24"/>
  <c r="L73" i="24" s="1"/>
  <c r="J19" i="24"/>
  <c r="J73" i="24" s="1"/>
  <c r="K19" i="24"/>
  <c r="K73" i="24" s="1"/>
  <c r="M19" i="24"/>
  <c r="M73" i="24" s="1"/>
  <c r="A21" i="24" l="1"/>
  <c r="O20" i="24"/>
  <c r="O74" i="24" s="1"/>
  <c r="D20" i="24"/>
  <c r="D74" i="24" s="1"/>
  <c r="E20" i="24"/>
  <c r="E74" i="24" s="1"/>
  <c r="J20" i="24"/>
  <c r="J74" i="24" s="1"/>
  <c r="G20" i="24"/>
  <c r="G74" i="24" s="1"/>
  <c r="K20" i="24"/>
  <c r="K74" i="24" s="1"/>
  <c r="H20" i="24"/>
  <c r="H74" i="24" s="1"/>
  <c r="I20" i="24"/>
  <c r="I74" i="24" s="1"/>
  <c r="F20" i="24"/>
  <c r="F74" i="24" s="1"/>
  <c r="M20" i="24"/>
  <c r="M74" i="24" s="1"/>
  <c r="L20" i="24"/>
  <c r="L74" i="24" s="1"/>
  <c r="B20" i="24"/>
  <c r="B74" i="24" s="1"/>
  <c r="C20" i="24"/>
  <c r="C74" i="24" s="1"/>
  <c r="N20" i="24"/>
  <c r="N74" i="24" s="1"/>
  <c r="A22" i="24" l="1"/>
  <c r="E21" i="24"/>
  <c r="E75" i="24" s="1"/>
  <c r="I21" i="24"/>
  <c r="I75" i="24" s="1"/>
  <c r="F21" i="24"/>
  <c r="F75" i="24" s="1"/>
  <c r="N21" i="24"/>
  <c r="N75" i="24" s="1"/>
  <c r="D21" i="24"/>
  <c r="D75" i="24" s="1"/>
  <c r="J21" i="24"/>
  <c r="J75" i="24" s="1"/>
  <c r="G21" i="24"/>
  <c r="G75" i="24" s="1"/>
  <c r="K21" i="24"/>
  <c r="K75" i="24" s="1"/>
  <c r="H21" i="24"/>
  <c r="H75" i="24" s="1"/>
  <c r="L21" i="24"/>
  <c r="L75" i="24" s="1"/>
  <c r="B21" i="24"/>
  <c r="B75" i="24" s="1"/>
  <c r="C21" i="24"/>
  <c r="C75" i="24" s="1"/>
  <c r="O21" i="24"/>
  <c r="O75" i="24" s="1"/>
  <c r="M21" i="24"/>
  <c r="M75" i="24" s="1"/>
  <c r="A23" i="24" l="1"/>
  <c r="I22" i="24"/>
  <c r="I76" i="24" s="1"/>
  <c r="F22" i="24"/>
  <c r="F76" i="24" s="1"/>
  <c r="J22" i="24"/>
  <c r="J76" i="24" s="1"/>
  <c r="G22" i="24"/>
  <c r="G76" i="24" s="1"/>
  <c r="L22" i="24"/>
  <c r="L76" i="24" s="1"/>
  <c r="K22" i="24"/>
  <c r="K76" i="24" s="1"/>
  <c r="H22" i="24"/>
  <c r="H76" i="24" s="1"/>
  <c r="M22" i="24"/>
  <c r="M76" i="24" s="1"/>
  <c r="B22" i="24"/>
  <c r="B76" i="24" s="1"/>
  <c r="D22" i="24"/>
  <c r="D76" i="24" s="1"/>
  <c r="E22" i="24"/>
  <c r="E76" i="24" s="1"/>
  <c r="C22" i="24"/>
  <c r="C76" i="24" s="1"/>
  <c r="N22" i="24"/>
  <c r="N76" i="24" s="1"/>
  <c r="O22" i="24"/>
  <c r="O76" i="24" s="1"/>
  <c r="A24" i="24" l="1"/>
  <c r="J23" i="24"/>
  <c r="J77" i="24" s="1"/>
  <c r="G23" i="24"/>
  <c r="G77" i="24" s="1"/>
  <c r="K23" i="24"/>
  <c r="K77" i="24" s="1"/>
  <c r="H23" i="24"/>
  <c r="H77" i="24" s="1"/>
  <c r="B23" i="24"/>
  <c r="B77" i="24" s="1"/>
  <c r="N23" i="24"/>
  <c r="N77" i="24" s="1"/>
  <c r="E23" i="24"/>
  <c r="E77" i="24" s="1"/>
  <c r="L23" i="24"/>
  <c r="L77" i="24" s="1"/>
  <c r="M23" i="24"/>
  <c r="M77" i="24" s="1"/>
  <c r="O23" i="24"/>
  <c r="O77" i="24" s="1"/>
  <c r="C23" i="24"/>
  <c r="C77" i="24" s="1"/>
  <c r="D23" i="24"/>
  <c r="D77" i="24" s="1"/>
  <c r="I23" i="24"/>
  <c r="I77" i="24" s="1"/>
  <c r="F23" i="24"/>
  <c r="F77" i="24" s="1"/>
  <c r="A25" i="24" l="1"/>
  <c r="K24" i="24"/>
  <c r="K78" i="24" s="1"/>
  <c r="H24" i="24"/>
  <c r="H78" i="24" s="1"/>
  <c r="L24" i="24"/>
  <c r="L78" i="24" s="1"/>
  <c r="N24" i="24"/>
  <c r="N78" i="24" s="1"/>
  <c r="M24" i="24"/>
  <c r="M78" i="24" s="1"/>
  <c r="B24" i="24"/>
  <c r="B78" i="24" s="1"/>
  <c r="C24" i="24"/>
  <c r="C78" i="24" s="1"/>
  <c r="O24" i="24"/>
  <c r="O78" i="24" s="1"/>
  <c r="D24" i="24"/>
  <c r="D78" i="24" s="1"/>
  <c r="F24" i="24"/>
  <c r="F78" i="24" s="1"/>
  <c r="E24" i="24"/>
  <c r="E78" i="24" s="1"/>
  <c r="G24" i="24"/>
  <c r="G78" i="24" s="1"/>
  <c r="I24" i="24"/>
  <c r="I78" i="24" s="1"/>
  <c r="J24" i="24"/>
  <c r="J78" i="24" s="1"/>
  <c r="A26" i="24" l="1"/>
  <c r="L25" i="24"/>
  <c r="L79" i="24" s="1"/>
  <c r="J25" i="24"/>
  <c r="J79" i="24" s="1"/>
  <c r="G25" i="24"/>
  <c r="G79" i="24" s="1"/>
  <c r="M25" i="24"/>
  <c r="M79" i="24" s="1"/>
  <c r="B25" i="24"/>
  <c r="B79" i="24" s="1"/>
  <c r="D25" i="24"/>
  <c r="D79" i="24" s="1"/>
  <c r="E25" i="24"/>
  <c r="E79" i="24" s="1"/>
  <c r="F25" i="24"/>
  <c r="F79" i="24" s="1"/>
  <c r="N25" i="24"/>
  <c r="N79" i="24" s="1"/>
  <c r="C25" i="24"/>
  <c r="C79" i="24" s="1"/>
  <c r="O25" i="24"/>
  <c r="O79" i="24" s="1"/>
  <c r="H25" i="24"/>
  <c r="H79" i="24" s="1"/>
  <c r="I25" i="24"/>
  <c r="I79" i="24" s="1"/>
  <c r="K25" i="24"/>
  <c r="K79" i="24" s="1"/>
  <c r="J26" i="24" l="1"/>
  <c r="J80" i="24" s="1"/>
  <c r="C26" i="24"/>
  <c r="C80" i="24" s="1"/>
  <c r="K26" i="24"/>
  <c r="K80" i="24" s="1"/>
  <c r="D26" i="24"/>
  <c r="D80" i="24" s="1"/>
  <c r="F26" i="24"/>
  <c r="F80" i="24" s="1"/>
  <c r="L26" i="24"/>
  <c r="L80" i="24" s="1"/>
  <c r="E26" i="24"/>
  <c r="E80" i="24" s="1"/>
  <c r="M26" i="24"/>
  <c r="M80" i="24" s="1"/>
  <c r="N26" i="24"/>
  <c r="N80" i="24" s="1"/>
  <c r="H26" i="24"/>
  <c r="H80" i="24" s="1"/>
  <c r="G26" i="24"/>
  <c r="G80" i="24" s="1"/>
  <c r="O26" i="24"/>
  <c r="O80" i="24" s="1"/>
  <c r="I26" i="24"/>
  <c r="I80" i="24" s="1"/>
  <c r="B80" i="24"/>
</calcChain>
</file>

<file path=xl/sharedStrings.xml><?xml version="1.0" encoding="utf-8"?>
<sst xmlns="http://schemas.openxmlformats.org/spreadsheetml/2006/main" count="250" uniqueCount="169">
  <si>
    <t>GWP-20</t>
  </si>
  <si>
    <t>GWP-100</t>
  </si>
  <si>
    <t>GWP 20</t>
  </si>
  <si>
    <t>GWP 100</t>
  </si>
  <si>
    <t>leakage rate--&gt;</t>
  </si>
  <si>
    <t>low</t>
  </si>
  <si>
    <t>high</t>
  </si>
  <si>
    <t>mean, total sample</t>
  </si>
  <si>
    <t>mean, WWTP sample</t>
  </si>
  <si>
    <t>mean, ag sample</t>
  </si>
  <si>
    <t>Production and processing</t>
  </si>
  <si>
    <t>Transportation</t>
  </si>
  <si>
    <t>Loss (mass %)</t>
  </si>
  <si>
    <t>Sample size</t>
  </si>
  <si>
    <t>Danish full-scale biogas plants</t>
  </si>
  <si>
    <t>methane losses as percentage of production (CH4/CH4 mass basis)</t>
  </si>
  <si>
    <r>
      <t xml:space="preserve">Liebetrau, J., Reinelt, T., Clemens, J., Hafermann, C., Friehe, J., and Weiland, P. (2013). “Analysis of greenhouse gas emissions from 10 biogas plants within the agricultural sector.” </t>
    </r>
    <r>
      <rPr>
        <i/>
        <sz val="14"/>
        <color theme="1"/>
        <rFont val="Calibri"/>
        <family val="2"/>
        <scheme val="minor"/>
      </rPr>
      <t>Water Science and Technology</t>
    </r>
    <r>
      <rPr>
        <sz val="14"/>
        <color theme="1"/>
        <rFont val="Calibri"/>
        <family val="2"/>
        <scheme val="minor"/>
      </rPr>
      <t>, 67(6), 1370–1379.</t>
    </r>
  </si>
  <si>
    <t>% of CH4 intentionally produced</t>
  </si>
  <si>
    <t>GWP Impact of Diverting Methane from Release</t>
  </si>
  <si>
    <t>destroying 1 mol CH4 results in</t>
  </si>
  <si>
    <t>g/mol</t>
  </si>
  <si>
    <t>mol CH4</t>
  </si>
  <si>
    <t>mol CO2</t>
  </si>
  <si>
    <t>kg CO2e/mol CH4 diverted and destroyed, GWP 20</t>
  </si>
  <si>
    <t>kg CO2e/mol CH4 diverted and destroyed, GWP 100</t>
  </si>
  <si>
    <t>kg CO2e/kg CH4 diverted and destroyed, GWP-100</t>
  </si>
  <si>
    <t>kg CO2e/kg CH4 diverted and destroyed, GWP-20</t>
  </si>
  <si>
    <t>Fossil Natural Gas</t>
  </si>
  <si>
    <t>Low</t>
  </si>
  <si>
    <t>Alvarez, R. A. et al. Assessment of methane emissions from the U.S. oil and gas supply chain. Science eaar7204 (2018) doi:10.1126/science.aar7204.</t>
  </si>
  <si>
    <t>0 axis</t>
  </si>
  <si>
    <t>FNG, GWP-100</t>
  </si>
  <si>
    <t>FNG, GWP-20</t>
  </si>
  <si>
    <t>Leakage</t>
  </si>
  <si>
    <t>Plant number</t>
  </si>
  <si>
    <t>Average biogas production (kg CH4/h)</t>
  </si>
  <si>
    <t>Plant type</t>
  </si>
  <si>
    <t>ag</t>
  </si>
  <si>
    <t>wwtp</t>
  </si>
  <si>
    <t>Average CH4 loss in mass % of production</t>
  </si>
  <si>
    <t>production-weighted average, all</t>
  </si>
  <si>
    <t>production-weighted average, ag</t>
  </si>
  <si>
    <t>production-weighted average, wwtp</t>
  </si>
  <si>
    <t>Methane is diverted from emission to atmosphere</t>
  </si>
  <si>
    <t>Methane is diverted from a flare, 99% efficiency</t>
  </si>
  <si>
    <t>Methane is diverted from a flare, 86% efficiency</t>
  </si>
  <si>
    <t>kg CH4/GJ delivered</t>
  </si>
  <si>
    <t>flare leakage, efficiency = 86%</t>
  </si>
  <si>
    <t>flare leakage, efficiency = 99%</t>
  </si>
  <si>
    <t>Methane is intentionally produced and used</t>
  </si>
  <si>
    <t>RNG CO2e intensity by pathway, assuming climate-neutral ultimate CO2 emission</t>
  </si>
  <si>
    <t>GWP-100, methane with climate-neutral CO2</t>
  </si>
  <si>
    <t>GWP-20, methane with climate-neutral CO2</t>
  </si>
  <si>
    <t>GWP-100, methane with climate-positive CO2</t>
  </si>
  <si>
    <t>GWP-20, methane with climate-positive CO2</t>
  </si>
  <si>
    <t>GWP-100, CO2</t>
  </si>
  <si>
    <t>GWP-20, CO2</t>
  </si>
  <si>
    <t>molar mass, methane</t>
  </si>
  <si>
    <t>molar mass, CO2</t>
  </si>
  <si>
    <t>Assumptions and inputs</t>
  </si>
  <si>
    <t>kg CO2e/GJ delivered, GWP-100, FNG</t>
  </si>
  <si>
    <t>kg CO2e/GJ delivered, GWP-20, FNG</t>
  </si>
  <si>
    <t>RNG System Methane Leakage</t>
  </si>
  <si>
    <t>The chart is drawing from the data in rows 60-80 because of a quirk with the formatting: the desired visualization requires that boundary lines do not cross the 0 axis, so the input data are transformed by adding</t>
  </si>
  <si>
    <t>Transformed data for visualization</t>
  </si>
  <si>
    <t>and then the axis is hidden and replaced with the true data axis.</t>
  </si>
  <si>
    <t>GWP-20, FNG</t>
  </si>
  <si>
    <t>GWP-100, FNG</t>
  </si>
  <si>
    <t>GWP-20, RNG</t>
  </si>
  <si>
    <t>GWP-100, RNG</t>
  </si>
  <si>
    <t>Intersection points: what RNG leakage is required before intentionally produced RNG has higher GHG intensity than FNG?</t>
  </si>
  <si>
    <t>Intentionally produced methane with climate-neutral ultimate CO2 emission</t>
  </si>
  <si>
    <t>Renewable Natural Gas</t>
  </si>
  <si>
    <r>
      <t xml:space="preserve">Scheutz, C., and Fredenslund, A. M. (2019). “Total methane emission rates and losses from 23 biogas plants.” </t>
    </r>
    <r>
      <rPr>
        <i/>
        <sz val="14"/>
        <color theme="1"/>
        <rFont val="Calibri"/>
        <family val="2"/>
        <scheme val="minor"/>
      </rPr>
      <t>Waste Management</t>
    </r>
    <r>
      <rPr>
        <sz val="14"/>
        <color theme="1"/>
        <rFont val="Calibri"/>
        <family val="2"/>
        <scheme val="minor"/>
      </rPr>
      <t>, 97, 38–46.</t>
    </r>
  </si>
  <si>
    <t>As some of the plants in the Scheutz and Fredenslund 2019 sample are CHP and some are biogas--&gt;biomethane processing facilities, we re-calculate from table 4 to include want biogas upgrade units (for RNG) vs CHP facilities only</t>
  </si>
  <si>
    <t>Work by</t>
  </si>
  <si>
    <t>Emily Grubert</t>
  </si>
  <si>
    <t>gruberte@gatech.edu</t>
  </si>
  <si>
    <t>404.894.3055</t>
  </si>
  <si>
    <t>Workbook date</t>
  </si>
  <si>
    <t>Assumptions, Conversion Factors, and Calculations</t>
  </si>
  <si>
    <t>Methane Leakage Assumptions</t>
  </si>
  <si>
    <t>This sheet summarizes the main inputs to assumptions about RNG and FNG system leakage, based on a broad review of leakage literature suggesting that these estimates and ranges are representative of current knowledge.</t>
  </si>
  <si>
    <t xml:space="preserve">Industry segment </t>
  </si>
  <si>
    <t xml:space="preserve">2015 CH4 Emissions (Tg/y) </t>
  </si>
  <si>
    <t>2015 CH4 gross withdrawals (Tg/y)</t>
  </si>
  <si>
    <t>Mass CH4 leaked/Mass CH4 withdrawn</t>
  </si>
  <si>
    <t>Production (incl. gathering)</t>
  </si>
  <si>
    <t xml:space="preserve">Processing </t>
  </si>
  <si>
    <t>see Grubert, E. &amp; Brandt, A. R. Three considerations for modeling natural gas system methane emissions in life cycle assessment. Journal of Cleaner Production 222, 760–767 (2019), Supplementary Data File, for exact calculations</t>
  </si>
  <si>
    <t>GWP of Methane by Scenario</t>
  </si>
  <si>
    <t>RNG GHG &gt; FNG GHG</t>
  </si>
  <si>
    <t>RNG GHG &lt; 0</t>
  </si>
  <si>
    <t>IPCC (AR5), nonfossil methane with climate-carbon feedback (WG1, Tables 8.7, 8.A.1)</t>
  </si>
  <si>
    <t>IPCC (AR5), fossil methane with climate-carbon feedback (WG1, Tables 8.7, 8.A.1)</t>
  </si>
  <si>
    <t>AR5, WG1, Table 8.A.1</t>
  </si>
  <si>
    <t>Low GWP</t>
  </si>
  <si>
    <t>Med GWP</t>
  </si>
  <si>
    <t>High GWP</t>
  </si>
  <si>
    <t>Calculated by: Goal Seek, vary leakage to match intensity to FNG intensity by GWP</t>
  </si>
  <si>
    <t>Low est (kg CO2e/kg CH4)</t>
  </si>
  <si>
    <t>Med est (kg CO2e/kg CH4)</t>
  </si>
  <si>
    <t>Hi est (kg CO2e/kg CH4)</t>
  </si>
  <si>
    <t>RNG system leakage implying RNG GHGs = FNG GHGs</t>
  </si>
  <si>
    <t>GWP sensitivity: +/- 40% for GWP-100, +/- 30% for GWP-20</t>
  </si>
  <si>
    <t>All Natural Gas</t>
  </si>
  <si>
    <t>Local Distribution</t>
  </si>
  <si>
    <t>End Use</t>
  </si>
  <si>
    <t xml:space="preserve">Transmission and Storage </t>
  </si>
  <si>
    <t xml:space="preserve">Medium </t>
  </si>
  <si>
    <t>High</t>
  </si>
  <si>
    <t>Given uncertainty about the nature of the end user (and thus, e.g., whether distribution systems are needed), and given the very limited information on methane leakage from end users, this work assumes (for both RNG and FNG) a total methane leakage of</t>
  </si>
  <si>
    <t>downstream of producing/processing, informed by the below analyses</t>
  </si>
  <si>
    <t>FNG power plants</t>
  </si>
  <si>
    <t>biogas cogen plants</t>
  </si>
  <si>
    <r>
      <t xml:space="preserve">Lavoie, T. N. </t>
    </r>
    <r>
      <rPr>
        <i/>
        <sz val="14"/>
        <color theme="1"/>
        <rFont val="Calibri"/>
        <family val="2"/>
        <scheme val="minor"/>
      </rPr>
      <t>et al.</t>
    </r>
    <r>
      <rPr>
        <sz val="14"/>
        <color theme="1"/>
        <rFont val="Calibri"/>
        <family val="2"/>
        <scheme val="minor"/>
      </rPr>
      <t xml:space="preserve"> Assessing the Methane Emissions from Natural Gas-Fired Power Plants and Oil Refineries. </t>
    </r>
    <r>
      <rPr>
        <i/>
        <sz val="14"/>
        <color theme="1"/>
        <rFont val="Calibri"/>
        <family val="2"/>
        <scheme val="minor"/>
      </rPr>
      <t>Environ. Sci. Technol.</t>
    </r>
    <r>
      <rPr>
        <sz val="14"/>
        <color theme="1"/>
        <rFont val="Calibri"/>
        <family val="2"/>
        <scheme val="minor"/>
      </rPr>
      <t xml:space="preserve"> </t>
    </r>
    <r>
      <rPr>
        <b/>
        <sz val="14"/>
        <color theme="1"/>
        <rFont val="Calibri"/>
        <family val="2"/>
        <scheme val="minor"/>
      </rPr>
      <t>51</t>
    </r>
    <r>
      <rPr>
        <sz val="14"/>
        <color theme="1"/>
        <rFont val="Calibri"/>
        <family val="2"/>
        <scheme val="minor"/>
      </rPr>
      <t>, 3373–3381 (2017).</t>
    </r>
  </si>
  <si>
    <t>FNG CO2e intensity</t>
  </si>
  <si>
    <t>leakage (mass CH4 emitted/mass CH4 withdrawn)</t>
  </si>
  <si>
    <t>leakages (mass CH4 emitted/mass CH4 produced)</t>
  </si>
  <si>
    <t>GWP-100, kg CO2e/GJ consumed</t>
  </si>
  <si>
    <t>GWP-20, kg CO2e/GJ consumed</t>
  </si>
  <si>
    <t>Figure 1 - GHG intensity of intentionally produced RNG as a function of system methane leakage</t>
  </si>
  <si>
    <t>Figure 2 - GHG intensity of RNG systems that blend waste methane that would have been released with intentionally produced RNG</t>
  </si>
  <si>
    <t>Biogas upgrade units for RNG</t>
  </si>
  <si>
    <t>CHP units</t>
  </si>
  <si>
    <t>Includes CHP?</t>
  </si>
  <si>
    <t>Average CH4 loss in mass % of production, Scheutz &amp; Fredenslund</t>
  </si>
  <si>
    <t>Average CH4 loss in mass % of production, corrected to include CHP for all</t>
  </si>
  <si>
    <t>no</t>
  </si>
  <si>
    <t>yes</t>
  </si>
  <si>
    <t>https://www.eia.gov/dnav/ng/ng_cons_sum_dcu_nus_a.htm</t>
  </si>
  <si>
    <t>Total</t>
  </si>
  <si>
    <t>Residential</t>
  </si>
  <si>
    <t>Commercial</t>
  </si>
  <si>
    <t>Industrial</t>
  </si>
  <si>
    <t>Vehicle Fuel</t>
  </si>
  <si>
    <t>Electric Power</t>
  </si>
  <si>
    <t>Sector</t>
  </si>
  <si>
    <t>mmcf</t>
  </si>
  <si>
    <t>Natural gas delivered to consumers (2017)</t>
  </si>
  <si>
    <t>EJ</t>
  </si>
  <si>
    <t>Heat content of natural gas delivered to consumers, 2017</t>
  </si>
  <si>
    <t>btu/cf</t>
  </si>
  <si>
    <t>https://www.eia.gov/dnav/ng/ng_cons_heat_a_EPG0_VGTH_btucf_a.htm</t>
  </si>
  <si>
    <t>Conversion factors</t>
  </si>
  <si>
    <t>EJ/btu</t>
  </si>
  <si>
    <t>Vented waste methane potential</t>
  </si>
  <si>
    <t>maximum RNG system leakage for GHG-negative system</t>
  </si>
  <si>
    <t>% possible from Path 1 RNG</t>
  </si>
  <si>
    <t>kg CO2e/GJ consumed</t>
  </si>
  <si>
    <t>-</t>
  </si>
  <si>
    <t>n/a</t>
  </si>
  <si>
    <t>Figure 3 - GHG intensity of RNG systems that blend waste methane that would have been flared (99% efficient) with intentionally produced RNG</t>
  </si>
  <si>
    <t>Figure S1 -  GHG intensity of RNG systems that blend waste methane that would have been flared (99% efficient) with intentionally produced RNG</t>
  </si>
  <si>
    <t>GWP-all, zero-carbon</t>
  </si>
  <si>
    <t>btu/kWh</t>
  </si>
  <si>
    <t>GJ/MWh</t>
  </si>
  <si>
    <t>kg CO2e/MWh</t>
  </si>
  <si>
    <t>limit, 2ºC compliant by 2050, Pehl, M. et al. Understanding future emissions from low-carbon power systems by integration of life-cycle assessment and integrated energy modelling. Nature Energy 2, 939–945 (2017).</t>
  </si>
  <si>
    <t>leakage limit</t>
  </si>
  <si>
    <t>2018 NGCC heat rate, https://www.eia.gov/electricity/annual/html/epa_08_02.html</t>
  </si>
  <si>
    <t>Intersection points: what RNG leakage is required before intentionally produced RNG has higher GHG intensity than a 2ºC compliant electricity mix?</t>
  </si>
  <si>
    <t>23 April 2020</t>
  </si>
  <si>
    <t>As this work investigates RNG as an FNG substitute, methane emissions downstream of production and processing--i.e., for transportation and end use--are assumed to be identical.</t>
  </si>
  <si>
    <t>This workbook contains assumptions and conversion factors for the paper "At scale, renewable natural gas systems could be climate intensive: The influence of methane feedstock and leakage rates"</t>
  </si>
  <si>
    <t>2ºC compliant by 2050</t>
  </si>
  <si>
    <t>This document also contains full calculations and source data for the figures in the paper.</t>
  </si>
  <si>
    <r>
      <t xml:space="preserve">The full open access paper can be found at https://doi.org/10.1088/1748-9326/ab9335, in </t>
    </r>
    <r>
      <rPr>
        <i/>
        <sz val="12"/>
        <color theme="1"/>
        <rFont val="Arial"/>
        <family val="2"/>
      </rPr>
      <t>Environmental Research Letters</t>
    </r>
    <r>
      <rPr>
        <sz val="12"/>
        <color theme="1"/>
        <rFont val="Arial"/>
        <family val="2"/>
      </rPr>
      <t>.</t>
    </r>
  </si>
  <si>
    <t>Supplementary Data File S1: Grubert 2020 - At scale, renewable natural gas systems could be climate intensive: The influence of methane feedstock and leakage rates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</si>
</sst>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000"/>
  </numFmts>
  <fonts count="20" x14ac:knownFonts="1">
    <font>
      <sz val="14"/>
      <color theme="1"/>
      <name val="Calibri"/>
      <family val="2"/>
      <scheme val="minor"/>
    </font>
    <font>
      <sz val="14"/>
      <color theme="1"/>
      <name val="Calibri"/>
      <family val="2"/>
      <scheme val="minor"/>
    </font>
    <font>
      <b/>
      <sz val="14"/>
      <color theme="1"/>
      <name val="Calibri"/>
      <family val="2"/>
      <scheme val="minor"/>
    </font>
    <font>
      <sz val="14"/>
      <color rgb="FF3F3F76"/>
      <name val="Calibri"/>
      <family val="2"/>
      <scheme val="minor"/>
    </font>
    <font>
      <b/>
      <sz val="14"/>
      <color rgb="FFFA7D00"/>
      <name val="Calibri"/>
      <family val="2"/>
      <scheme val="minor"/>
    </font>
    <font>
      <i/>
      <sz val="14"/>
      <color theme="1"/>
      <name val="Calibri"/>
      <family val="2"/>
      <scheme val="minor"/>
    </font>
    <font>
      <sz val="14"/>
      <color rgb="FFFA7D00"/>
      <name val="Calibri"/>
      <family val="2"/>
      <scheme val="minor"/>
    </font>
    <font>
      <sz val="14"/>
      <color rgb="FF000000"/>
      <name val="Calibri"/>
      <family val="2"/>
      <scheme val="minor"/>
    </font>
    <font>
      <sz val="14"/>
      <color rgb="FF9C0006"/>
      <name val="Calibri"/>
      <family val="2"/>
      <scheme val="minor"/>
    </font>
    <font>
      <b/>
      <sz val="14"/>
      <color theme="0"/>
      <name val="Calibri"/>
      <family val="2"/>
      <scheme val="minor"/>
    </font>
    <font>
      <sz val="14"/>
      <color theme="0"/>
      <name val="Calibri"/>
      <family val="2"/>
      <scheme val="minor"/>
    </font>
    <font>
      <b/>
      <sz val="24"/>
      <color theme="1"/>
      <name val="Calibri"/>
      <family val="2"/>
      <scheme val="minor"/>
    </font>
    <font>
      <sz val="12"/>
      <color theme="1"/>
      <name val="Calibri"/>
      <family val="2"/>
      <scheme val="minor"/>
    </font>
    <font>
      <b/>
      <sz val="12"/>
      <color theme="1"/>
      <name val="Arial"/>
      <family val="2"/>
    </font>
    <font>
      <sz val="24"/>
      <color theme="1"/>
      <name val="Arial"/>
      <family val="2"/>
    </font>
    <font>
      <sz val="12"/>
      <color theme="1"/>
      <name val="Arial"/>
      <family val="2"/>
    </font>
    <font>
      <sz val="14"/>
      <color theme="1"/>
      <name val="Calibri"/>
      <family val="2"/>
    </font>
    <font>
      <b/>
      <sz val="14"/>
      <color theme="1"/>
      <name val="Calibri"/>
      <family val="2"/>
    </font>
    <font>
      <sz val="14"/>
      <color theme="1"/>
      <name val="Helvetica"/>
      <family val="2"/>
    </font>
    <font>
      <i/>
      <sz val="12"/>
      <color theme="1"/>
      <name val="Arial"/>
      <family val="2"/>
    </font>
  </fonts>
  <fills count="17">
    <fill>
      <patternFill patternType="none"/>
    </fill>
    <fill>
      <patternFill patternType="gray125"/>
    </fill>
    <fill>
      <patternFill patternType="solid">
        <fgColor rgb="FFFFCC99"/>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
      <patternFill patternType="solid">
        <fgColor rgb="FFFFCC99"/>
        <bgColor rgb="FF000000"/>
      </patternFill>
    </fill>
    <fill>
      <patternFill patternType="solid">
        <fgColor rgb="FFFF0000"/>
        <bgColor indexed="64"/>
      </patternFill>
    </fill>
    <fill>
      <patternFill patternType="solid">
        <fgColor rgb="FFFFC7CE"/>
      </patternFill>
    </fill>
    <fill>
      <patternFill patternType="solid">
        <fgColor rgb="FFA5A5A5"/>
      </patternFill>
    </fill>
    <fill>
      <patternFill patternType="solid">
        <fgColor rgb="FFC00000"/>
        <bgColor indexed="64"/>
      </patternFill>
    </fill>
    <fill>
      <patternFill patternType="solid">
        <fgColor theme="9"/>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7"/>
        <bgColor indexed="64"/>
      </patternFill>
    </fill>
    <fill>
      <patternFill patternType="solid">
        <fgColor theme="0" tint="-0.499984740745262"/>
        <bgColor indexed="64"/>
      </patternFill>
    </fill>
  </fills>
  <borders count="18">
    <border>
      <left/>
      <right/>
      <top/>
      <bottom/>
      <diagonal/>
    </border>
    <border>
      <left style="thin">
        <color rgb="FF7F7F7F"/>
      </left>
      <right style="thin">
        <color rgb="FF7F7F7F"/>
      </right>
      <top style="thin">
        <color rgb="FF7F7F7F"/>
      </top>
      <bottom style="thin">
        <color rgb="FF7F7F7F"/>
      </bottom>
      <diagonal/>
    </border>
    <border>
      <left style="medium">
        <color indexed="64"/>
      </left>
      <right style="thin">
        <color rgb="FF7F7F7F"/>
      </right>
      <top style="medium">
        <color indexed="64"/>
      </top>
      <bottom style="medium">
        <color indexed="64"/>
      </bottom>
      <diagonal/>
    </border>
    <border>
      <left style="medium">
        <color indexed="64"/>
      </left>
      <right style="thin">
        <color rgb="FF7F7F7F"/>
      </right>
      <top style="medium">
        <color indexed="64"/>
      </top>
      <bottom style="thin">
        <color rgb="FF7F7F7F"/>
      </bottom>
      <diagonal/>
    </border>
    <border>
      <left style="thin">
        <color rgb="FF7F7F7F"/>
      </left>
      <right style="thin">
        <color rgb="FF7F7F7F"/>
      </right>
      <top style="medium">
        <color indexed="64"/>
      </top>
      <bottom style="thin">
        <color rgb="FF7F7F7F"/>
      </bottom>
      <diagonal/>
    </border>
    <border>
      <left style="thin">
        <color rgb="FF7F7F7F"/>
      </left>
      <right style="medium">
        <color indexed="64"/>
      </right>
      <top style="medium">
        <color indexed="64"/>
      </top>
      <bottom style="thin">
        <color rgb="FF7F7F7F"/>
      </bottom>
      <diagonal/>
    </border>
    <border>
      <left style="medium">
        <color indexed="64"/>
      </left>
      <right style="thin">
        <color rgb="FF7F7F7F"/>
      </right>
      <top style="thin">
        <color rgb="FF7F7F7F"/>
      </top>
      <bottom style="thin">
        <color rgb="FF7F7F7F"/>
      </bottom>
      <diagonal/>
    </border>
    <border>
      <left style="thin">
        <color rgb="FF7F7F7F"/>
      </left>
      <right style="medium">
        <color indexed="64"/>
      </right>
      <top style="thin">
        <color rgb="FF7F7F7F"/>
      </top>
      <bottom style="thin">
        <color rgb="FF7F7F7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rgb="FFFF8001"/>
      </bottom>
      <diagonal/>
    </border>
    <border>
      <left/>
      <right style="thin">
        <color rgb="FF7F7F7F"/>
      </right>
      <top style="medium">
        <color indexed="64"/>
      </top>
      <bottom style="medium">
        <color indexed="64"/>
      </bottom>
      <diagonal/>
    </border>
    <border>
      <left style="medium">
        <color indexed="64"/>
      </left>
      <right style="thin">
        <color rgb="FF7F7F7F"/>
      </right>
      <top style="thin">
        <color rgb="FF7F7F7F"/>
      </top>
      <bottom style="medium">
        <color indexed="64"/>
      </bottom>
      <diagonal/>
    </border>
    <border>
      <left style="thin">
        <color rgb="FF7F7F7F"/>
      </left>
      <right style="thin">
        <color rgb="FF7F7F7F"/>
      </right>
      <top style="thin">
        <color rgb="FF7F7F7F"/>
      </top>
      <bottom style="medium">
        <color indexed="64"/>
      </bottom>
      <diagonal/>
    </border>
    <border>
      <left style="thin">
        <color rgb="FF7F7F7F"/>
      </left>
      <right style="medium">
        <color indexed="64"/>
      </right>
      <top style="thin">
        <color rgb="FF7F7F7F"/>
      </top>
      <bottom style="medium">
        <color indexed="64"/>
      </bottom>
      <diagonal/>
    </border>
    <border>
      <left style="double">
        <color rgb="FF3F3F3F"/>
      </left>
      <right style="double">
        <color rgb="FF3F3F3F"/>
      </right>
      <top style="double">
        <color rgb="FF3F3F3F"/>
      </top>
      <bottom style="double">
        <color rgb="FF3F3F3F"/>
      </bottom>
      <diagonal/>
    </border>
    <border>
      <left style="medium">
        <color indexed="64"/>
      </left>
      <right style="medium">
        <color indexed="64"/>
      </right>
      <top style="medium">
        <color indexed="64"/>
      </top>
      <bottom style="medium">
        <color indexed="64"/>
      </bottom>
      <diagonal/>
    </border>
  </borders>
  <cellStyleXfs count="8">
    <xf numFmtId="0" fontId="0" fillId="0" borderId="0"/>
    <xf numFmtId="9" fontId="1" fillId="0" borderId="0" applyFont="0" applyFill="0" applyBorder="0" applyAlignment="0" applyProtection="0"/>
    <xf numFmtId="0" fontId="3" fillId="2" borderId="1" applyNumberFormat="0" applyAlignment="0" applyProtection="0"/>
    <xf numFmtId="0" fontId="4" fillId="3" borderId="1" applyNumberFormat="0" applyAlignment="0" applyProtection="0"/>
    <xf numFmtId="0" fontId="6" fillId="0" borderId="11" applyNumberFormat="0" applyFill="0" applyAlignment="0" applyProtection="0"/>
    <xf numFmtId="0" fontId="8" fillId="8" borderId="0" applyNumberFormat="0" applyBorder="0" applyAlignment="0" applyProtection="0"/>
    <xf numFmtId="0" fontId="9" fillId="9" borderId="16" applyNumberFormat="0" applyAlignment="0" applyProtection="0"/>
    <xf numFmtId="0" fontId="12" fillId="0" borderId="0"/>
  </cellStyleXfs>
  <cellXfs count="128">
    <xf numFmtId="0" fontId="0" fillId="0" borderId="0" xfId="0"/>
    <xf numFmtId="0" fontId="2" fillId="0" borderId="0" xfId="0" applyFont="1"/>
    <xf numFmtId="11" fontId="0" fillId="0" borderId="0" xfId="0" applyNumberFormat="1"/>
    <xf numFmtId="0" fontId="3" fillId="2" borderId="1" xfId="2"/>
    <xf numFmtId="1" fontId="3" fillId="2" borderId="1" xfId="2" applyNumberFormat="1"/>
    <xf numFmtId="164" fontId="4" fillId="3" borderId="3" xfId="3" applyNumberFormat="1" applyBorder="1"/>
    <xf numFmtId="164" fontId="4" fillId="3" borderId="4" xfId="3" applyNumberFormat="1" applyBorder="1"/>
    <xf numFmtId="164" fontId="4" fillId="3" borderId="1" xfId="3" applyNumberFormat="1" applyBorder="1"/>
    <xf numFmtId="164" fontId="4" fillId="3" borderId="7" xfId="3" applyNumberFormat="1" applyBorder="1"/>
    <xf numFmtId="10" fontId="0" fillId="0" borderId="0" xfId="0" applyNumberFormat="1"/>
    <xf numFmtId="0" fontId="0" fillId="0" borderId="0" xfId="0" applyFont="1"/>
    <xf numFmtId="0" fontId="0" fillId="4" borderId="0" xfId="0" applyFill="1"/>
    <xf numFmtId="0" fontId="2" fillId="5" borderId="0" xfId="0" applyFont="1" applyFill="1"/>
    <xf numFmtId="0" fontId="0" fillId="5" borderId="0" xfId="0" applyFill="1"/>
    <xf numFmtId="0" fontId="7" fillId="5" borderId="0" xfId="0" applyFont="1" applyFill="1"/>
    <xf numFmtId="0" fontId="3" fillId="6" borderId="2" xfId="0" applyFont="1" applyFill="1" applyBorder="1"/>
    <xf numFmtId="0" fontId="3" fillId="6" borderId="12" xfId="0" applyFont="1" applyFill="1" applyBorder="1"/>
    <xf numFmtId="0" fontId="3" fillId="6" borderId="10" xfId="0" applyFont="1" applyFill="1" applyBorder="1"/>
    <xf numFmtId="0" fontId="6" fillId="0" borderId="8" xfId="4" applyBorder="1"/>
    <xf numFmtId="0" fontId="6" fillId="0" borderId="9" xfId="4" applyBorder="1"/>
    <xf numFmtId="0" fontId="6" fillId="0" borderId="10" xfId="4" applyBorder="1"/>
    <xf numFmtId="0" fontId="0" fillId="0" borderId="0" xfId="0" applyFill="1"/>
    <xf numFmtId="164" fontId="4" fillId="3" borderId="1" xfId="3" applyNumberFormat="1"/>
    <xf numFmtId="2" fontId="4" fillId="3" borderId="1" xfId="3" applyNumberFormat="1"/>
    <xf numFmtId="165" fontId="3" fillId="2" borderId="1" xfId="2" applyNumberFormat="1"/>
    <xf numFmtId="164" fontId="4" fillId="3" borderId="14" xfId="3" applyNumberFormat="1" applyBorder="1"/>
    <xf numFmtId="164" fontId="4" fillId="3" borderId="15" xfId="3" applyNumberFormat="1" applyBorder="1"/>
    <xf numFmtId="0" fontId="5" fillId="5" borderId="0" xfId="0" applyFont="1" applyFill="1"/>
    <xf numFmtId="1" fontId="8" fillId="8" borderId="0" xfId="5" applyNumberFormat="1"/>
    <xf numFmtId="0" fontId="2" fillId="0" borderId="17" xfId="0" applyFont="1" applyBorder="1" applyAlignment="1">
      <alignment horizontal="center" wrapText="1"/>
    </xf>
    <xf numFmtId="0" fontId="6" fillId="0" borderId="11" xfId="4"/>
    <xf numFmtId="164" fontId="4" fillId="10" borderId="4" xfId="3" applyNumberFormat="1" applyFill="1" applyBorder="1"/>
    <xf numFmtId="164" fontId="4" fillId="10" borderId="1" xfId="3" applyNumberFormat="1" applyFill="1" applyBorder="1"/>
    <xf numFmtId="164" fontId="4" fillId="10" borderId="5" xfId="3" applyNumberFormat="1" applyFill="1" applyBorder="1"/>
    <xf numFmtId="164" fontId="4" fillId="10" borderId="7" xfId="3" applyNumberFormat="1" applyFill="1" applyBorder="1"/>
    <xf numFmtId="164" fontId="4" fillId="10" borderId="14" xfId="3" applyNumberFormat="1" applyFill="1" applyBorder="1"/>
    <xf numFmtId="164" fontId="4" fillId="10" borderId="15" xfId="3" applyNumberFormat="1" applyFill="1" applyBorder="1"/>
    <xf numFmtId="1" fontId="4" fillId="3" borderId="1" xfId="3" applyNumberFormat="1"/>
    <xf numFmtId="164" fontId="4" fillId="12" borderId="6" xfId="3" applyNumberFormat="1" applyFill="1" applyBorder="1"/>
    <xf numFmtId="164" fontId="4" fillId="12" borderId="13" xfId="3" applyNumberFormat="1" applyFill="1" applyBorder="1"/>
    <xf numFmtId="164" fontId="4" fillId="12" borderId="1" xfId="3" applyNumberFormat="1" applyFill="1" applyBorder="1"/>
    <xf numFmtId="164" fontId="4" fillId="12" borderId="14" xfId="3" applyNumberFormat="1" applyFill="1" applyBorder="1"/>
    <xf numFmtId="164" fontId="4" fillId="12" borderId="7" xfId="3" applyNumberFormat="1" applyFill="1" applyBorder="1"/>
    <xf numFmtId="164" fontId="4" fillId="12" borderId="15" xfId="3" applyNumberFormat="1" applyFill="1" applyBorder="1"/>
    <xf numFmtId="164" fontId="4" fillId="5" borderId="4" xfId="3" applyNumberFormat="1" applyFill="1" applyBorder="1"/>
    <xf numFmtId="165" fontId="4" fillId="3" borderId="1" xfId="3" applyNumberFormat="1"/>
    <xf numFmtId="0" fontId="12" fillId="5" borderId="0" xfId="7" applyFill="1"/>
    <xf numFmtId="0" fontId="12" fillId="0" borderId="0" xfId="7"/>
    <xf numFmtId="0" fontId="2" fillId="15" borderId="0" xfId="0" applyFont="1" applyFill="1"/>
    <xf numFmtId="0" fontId="9" fillId="7" borderId="0" xfId="0" applyFont="1" applyFill="1"/>
    <xf numFmtId="165" fontId="10" fillId="7" borderId="0" xfId="0" applyNumberFormat="1" applyFont="1" applyFill="1"/>
    <xf numFmtId="0" fontId="10" fillId="7" borderId="0" xfId="0" applyFont="1" applyFill="1"/>
    <xf numFmtId="0" fontId="11" fillId="5" borderId="0" xfId="0" applyFont="1" applyFill="1" applyAlignment="1">
      <alignment horizontal="left"/>
    </xf>
    <xf numFmtId="0" fontId="0" fillId="5" borderId="0" xfId="0" applyFill="1" applyAlignment="1">
      <alignment wrapText="1"/>
    </xf>
    <xf numFmtId="164" fontId="0" fillId="5" borderId="0" xfId="0" applyNumberFormat="1" applyFill="1"/>
    <xf numFmtId="0" fontId="0" fillId="5" borderId="0" xfId="0" quotePrefix="1" applyFill="1"/>
    <xf numFmtId="164" fontId="4" fillId="5" borderId="1" xfId="3" applyNumberFormat="1" applyFill="1" applyBorder="1"/>
    <xf numFmtId="164" fontId="4" fillId="5" borderId="7" xfId="3" applyNumberFormat="1" applyFill="1" applyBorder="1"/>
    <xf numFmtId="1" fontId="4" fillId="5" borderId="6" xfId="3" applyNumberFormat="1" applyFill="1" applyBorder="1"/>
    <xf numFmtId="1" fontId="4" fillId="5" borderId="1" xfId="3" applyNumberFormat="1" applyFill="1" applyBorder="1"/>
    <xf numFmtId="1" fontId="4" fillId="5" borderId="7" xfId="3" applyNumberFormat="1" applyFill="1" applyBorder="1"/>
    <xf numFmtId="1" fontId="4" fillId="5" borderId="13" xfId="3" applyNumberFormat="1" applyFill="1" applyBorder="1"/>
    <xf numFmtId="1" fontId="4" fillId="5" borderId="14" xfId="3" applyNumberFormat="1" applyFill="1" applyBorder="1"/>
    <xf numFmtId="1" fontId="4" fillId="5" borderId="15" xfId="3" applyNumberFormat="1" applyFill="1" applyBorder="1"/>
    <xf numFmtId="0" fontId="0" fillId="5" borderId="0" xfId="0" applyFill="1" applyAlignment="1">
      <alignment horizontal="center" wrapText="1"/>
    </xf>
    <xf numFmtId="2" fontId="0" fillId="5" borderId="0" xfId="0" applyNumberFormat="1" applyFill="1"/>
    <xf numFmtId="1" fontId="0" fillId="5" borderId="0" xfId="0" applyNumberFormat="1" applyFill="1"/>
    <xf numFmtId="166" fontId="0" fillId="5" borderId="0" xfId="0" applyNumberFormat="1" applyFill="1"/>
    <xf numFmtId="0" fontId="6" fillId="5" borderId="8" xfId="4" applyFill="1" applyBorder="1"/>
    <xf numFmtId="0" fontId="6" fillId="5" borderId="9" xfId="4" applyFill="1" applyBorder="1"/>
    <xf numFmtId="0" fontId="6" fillId="5" borderId="10" xfId="4" applyFill="1" applyBorder="1"/>
    <xf numFmtId="11" fontId="0" fillId="5" borderId="0" xfId="0" applyNumberFormat="1" applyFill="1"/>
    <xf numFmtId="9" fontId="2" fillId="5" borderId="0" xfId="1" applyFont="1" applyFill="1"/>
    <xf numFmtId="164" fontId="2" fillId="5" borderId="0" xfId="0" applyNumberFormat="1" applyFont="1" applyFill="1"/>
    <xf numFmtId="0" fontId="0" fillId="5" borderId="0" xfId="0" applyFill="1" applyBorder="1"/>
    <xf numFmtId="2" fontId="3" fillId="5" borderId="0" xfId="2" applyNumberFormat="1" applyFill="1" applyBorder="1"/>
    <xf numFmtId="0" fontId="10" fillId="10" borderId="0" xfId="0" applyFont="1" applyFill="1"/>
    <xf numFmtId="0" fontId="10" fillId="12" borderId="0" xfId="0" applyFont="1" applyFill="1"/>
    <xf numFmtId="1" fontId="6" fillId="5" borderId="11" xfId="4" applyNumberFormat="1" applyFill="1"/>
    <xf numFmtId="0" fontId="0" fillId="5" borderId="0" xfId="0" applyFont="1" applyFill="1"/>
    <xf numFmtId="0" fontId="2" fillId="5" borderId="0" xfId="0" applyFont="1" applyFill="1" applyAlignment="1">
      <alignment wrapText="1"/>
    </xf>
    <xf numFmtId="0" fontId="2" fillId="5" borderId="0" xfId="0" applyFont="1" applyFill="1" applyAlignment="1">
      <alignment horizontal="center" wrapText="1"/>
    </xf>
    <xf numFmtId="10" fontId="0" fillId="5" borderId="0" xfId="0" applyNumberFormat="1" applyFill="1"/>
    <xf numFmtId="0" fontId="13" fillId="14" borderId="0" xfId="7" applyFont="1" applyFill="1"/>
    <xf numFmtId="0" fontId="14" fillId="14" borderId="0" xfId="7" applyFont="1" applyFill="1"/>
    <xf numFmtId="0" fontId="13" fillId="5" borderId="0" xfId="7" applyFont="1" applyFill="1"/>
    <xf numFmtId="0" fontId="15" fillId="5" borderId="0" xfId="7" applyFont="1" applyFill="1"/>
    <xf numFmtId="0" fontId="15" fillId="5" borderId="0" xfId="7" applyFont="1" applyFill="1" applyAlignment="1">
      <alignment vertical="center" wrapText="1"/>
    </xf>
    <xf numFmtId="49" fontId="15" fillId="5" borderId="0" xfId="7" applyNumberFormat="1" applyFont="1" applyFill="1"/>
    <xf numFmtId="0" fontId="15" fillId="0" borderId="0" xfId="7" applyFont="1"/>
    <xf numFmtId="165" fontId="9" fillId="9" borderId="16" xfId="6" applyNumberFormat="1"/>
    <xf numFmtId="0" fontId="4" fillId="3" borderId="1" xfId="3"/>
    <xf numFmtId="164" fontId="4" fillId="4" borderId="1" xfId="3" applyNumberFormat="1" applyFill="1" applyBorder="1"/>
    <xf numFmtId="1" fontId="4" fillId="5" borderId="3" xfId="3" applyNumberFormat="1" applyFill="1" applyBorder="1"/>
    <xf numFmtId="1" fontId="4" fillId="5" borderId="4" xfId="3" applyNumberFormat="1" applyFill="1" applyBorder="1"/>
    <xf numFmtId="1" fontId="4" fillId="5" borderId="5" xfId="3" applyNumberFormat="1" applyFill="1" applyBorder="1"/>
    <xf numFmtId="0" fontId="2" fillId="11" borderId="0" xfId="0" applyFont="1" applyFill="1"/>
    <xf numFmtId="0" fontId="16" fillId="5" borderId="0" xfId="0" applyFont="1" applyFill="1"/>
    <xf numFmtId="0" fontId="17" fillId="5" borderId="0" xfId="0" applyFont="1" applyFill="1" applyAlignment="1">
      <alignment wrapText="1"/>
    </xf>
    <xf numFmtId="0" fontId="17" fillId="5" borderId="0" xfId="0" applyFont="1" applyFill="1" applyAlignment="1">
      <alignment horizontal="center" wrapText="1"/>
    </xf>
    <xf numFmtId="0" fontId="0" fillId="11" borderId="0" xfId="0" applyFont="1" applyFill="1"/>
    <xf numFmtId="0" fontId="18" fillId="5" borderId="0" xfId="0" applyFont="1" applyFill="1"/>
    <xf numFmtId="1" fontId="18" fillId="5" borderId="0" xfId="0" applyNumberFormat="1" applyFont="1" applyFill="1"/>
    <xf numFmtId="165" fontId="18" fillId="5" borderId="0" xfId="1" applyNumberFormat="1" applyFont="1" applyFill="1"/>
    <xf numFmtId="0" fontId="0" fillId="15" borderId="0" xfId="0" applyFont="1" applyFill="1"/>
    <xf numFmtId="0" fontId="0" fillId="5" borderId="0" xfId="0" applyFont="1" applyFill="1" applyAlignment="1">
      <alignment wrapText="1"/>
    </xf>
    <xf numFmtId="165" fontId="0" fillId="5" borderId="0" xfId="0" applyNumberFormat="1" applyFont="1" applyFill="1"/>
    <xf numFmtId="165" fontId="4" fillId="5" borderId="1" xfId="3" applyNumberFormat="1" applyFont="1" applyFill="1"/>
    <xf numFmtId="9" fontId="4" fillId="5" borderId="1" xfId="3" applyNumberFormat="1" applyFont="1" applyFill="1"/>
    <xf numFmtId="10" fontId="0" fillId="5" borderId="0" xfId="0" applyNumberFormat="1" applyFont="1" applyFill="1"/>
    <xf numFmtId="1" fontId="16" fillId="5" borderId="0" xfId="0" applyNumberFormat="1" applyFont="1" applyFill="1"/>
    <xf numFmtId="165" fontId="16" fillId="5" borderId="0" xfId="1" applyNumberFormat="1" applyFont="1" applyFill="1"/>
    <xf numFmtId="165" fontId="0" fillId="5" borderId="0" xfId="1" applyNumberFormat="1" applyFont="1" applyFill="1"/>
    <xf numFmtId="11" fontId="0" fillId="5" borderId="0" xfId="0" applyNumberFormat="1" applyFont="1" applyFill="1"/>
    <xf numFmtId="0" fontId="2" fillId="5" borderId="0" xfId="0" applyFont="1" applyFill="1" applyAlignment="1">
      <alignment horizontal="center"/>
    </xf>
    <xf numFmtId="0" fontId="2" fillId="5" borderId="0" xfId="0" applyFont="1" applyFill="1" applyAlignment="1">
      <alignment horizontal="left"/>
    </xf>
    <xf numFmtId="9" fontId="4" fillId="3" borderId="1" xfId="3" applyNumberFormat="1"/>
    <xf numFmtId="9" fontId="9" fillId="16" borderId="0" xfId="1" applyFont="1" applyFill="1"/>
    <xf numFmtId="9" fontId="9" fillId="16" borderId="0" xfId="1" applyNumberFormat="1" applyFont="1" applyFill="1"/>
    <xf numFmtId="9" fontId="9" fillId="16" borderId="0" xfId="1" quotePrefix="1" applyNumberFormat="1" applyFont="1" applyFill="1" applyAlignment="1">
      <alignment horizontal="center"/>
    </xf>
    <xf numFmtId="10" fontId="9" fillId="9" borderId="16" xfId="1" applyNumberFormat="1" applyFont="1" applyFill="1" applyBorder="1"/>
    <xf numFmtId="0" fontId="11" fillId="13" borderId="0" xfId="0" applyFont="1" applyFill="1" applyAlignment="1">
      <alignment horizontal="left"/>
    </xf>
    <xf numFmtId="0" fontId="0" fillId="5" borderId="8" xfId="0" applyFill="1" applyBorder="1" applyAlignment="1">
      <alignment horizontal="center"/>
    </xf>
    <xf numFmtId="0" fontId="0" fillId="5" borderId="9" xfId="0" applyFill="1" applyBorder="1" applyAlignment="1">
      <alignment horizontal="center"/>
    </xf>
    <xf numFmtId="0" fontId="0" fillId="5" borderId="10" xfId="0" applyFill="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cellXfs>
  <cellStyles count="8">
    <cellStyle name="Bad" xfId="5" builtinId="27"/>
    <cellStyle name="Calculation" xfId="3" builtinId="22"/>
    <cellStyle name="Check Cell" xfId="6" builtinId="23"/>
    <cellStyle name="Input" xfId="2" builtinId="20"/>
    <cellStyle name="Linked Cell" xfId="4" builtinId="24"/>
    <cellStyle name="Normal" xfId="0" builtinId="0"/>
    <cellStyle name="Normal 2" xfId="7" xr:uid="{58885AEC-F24F-EC4C-88E1-531283095811}"/>
    <cellStyle name="Percent" xfId="1" builtinId="5"/>
  </cellStyles>
  <dxfs count="0"/>
  <tableStyles count="0" defaultTableStyle="TableStyleMedium2" defaultPivotStyle="PivotStyleLight16"/>
  <colors>
    <mruColors>
      <color rgb="FFF28B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'Figure 1 - GWP, intl prod'!$A$4</c:f>
              <c:strCache>
                <c:ptCount val="1"/>
                <c:pt idx="0">
                  <c:v>RNG System Methane Leakage</c:v>
                </c:pt>
              </c:strCache>
            </c:strRef>
          </c:tx>
          <c:spPr>
            <a:ln w="28575" cap="rnd">
              <a:solidFill>
                <a:schemeClr val="accent1"/>
              </a:solidFill>
              <a:round/>
            </a:ln>
            <a:effectLst/>
          </c:spPr>
          <c:marker>
            <c:symbol val="none"/>
          </c:marker>
          <c:cat>
            <c:numRef>
              <c:f>'Figure 1 - GWP, intl prod'!$B$4:$H$4</c:f>
              <c:numCache>
                <c:formatCode>General</c:formatCode>
                <c:ptCount val="7"/>
                <c:pt idx="0">
                  <c:v>0</c:v>
                </c:pt>
                <c:pt idx="1">
                  <c:v>2.5000000000000001E-2</c:v>
                </c:pt>
                <c:pt idx="2">
                  <c:v>0.05</c:v>
                </c:pt>
                <c:pt idx="3">
                  <c:v>7.5000000000000011E-2</c:v>
                </c:pt>
                <c:pt idx="4">
                  <c:v>0.1</c:v>
                </c:pt>
                <c:pt idx="5">
                  <c:v>0.125</c:v>
                </c:pt>
                <c:pt idx="6">
                  <c:v>0.15</c:v>
                </c:pt>
              </c:numCache>
            </c:numRef>
          </c:cat>
          <c:val>
            <c:numRef>
              <c:f>'Figure 1 - GWP, intl prod'!$B$4:$H$4</c:f>
              <c:numCache>
                <c:formatCode>General</c:formatCode>
                <c:ptCount val="7"/>
                <c:pt idx="0">
                  <c:v>0</c:v>
                </c:pt>
                <c:pt idx="1">
                  <c:v>2.5000000000000001E-2</c:v>
                </c:pt>
                <c:pt idx="2">
                  <c:v>0.05</c:v>
                </c:pt>
                <c:pt idx="3">
                  <c:v>7.5000000000000011E-2</c:v>
                </c:pt>
                <c:pt idx="4">
                  <c:v>0.1</c:v>
                </c:pt>
                <c:pt idx="5">
                  <c:v>0.125</c:v>
                </c:pt>
                <c:pt idx="6">
                  <c:v>0.15</c:v>
                </c:pt>
              </c:numCache>
            </c:numRef>
          </c:val>
          <c:smooth val="0"/>
          <c:extLst>
            <c:ext xmlns:c16="http://schemas.microsoft.com/office/drawing/2014/chart" uri="{C3380CC4-5D6E-409C-BE32-E72D297353CC}">
              <c16:uniqueId val="{00000000-0A90-8448-814E-C4AB9997F0AE}"/>
            </c:ext>
          </c:extLst>
        </c:ser>
        <c:ser>
          <c:idx val="1"/>
          <c:order val="1"/>
          <c:tx>
            <c:strRef>
              <c:f>'Figure 1 - GWP, intl prod'!$A$5</c:f>
              <c:strCache>
                <c:ptCount val="1"/>
                <c:pt idx="0">
                  <c:v>GWP-100, RNG</c:v>
                </c:pt>
              </c:strCache>
            </c:strRef>
          </c:tx>
          <c:spPr>
            <a:ln w="28575" cap="rnd">
              <a:solidFill>
                <a:schemeClr val="accent5">
                  <a:lumMod val="75000"/>
                </a:schemeClr>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4-E0C5-2F43-BC15-C05C2E1807E7}"/>
                </c:ext>
              </c:extLst>
            </c:dLbl>
            <c:dLbl>
              <c:idx val="1"/>
              <c:delete val="1"/>
              <c:extLst>
                <c:ext xmlns:c15="http://schemas.microsoft.com/office/drawing/2012/chart" uri="{CE6537A1-D6FC-4f65-9D91-7224C49458BB}"/>
                <c:ext xmlns:c16="http://schemas.microsoft.com/office/drawing/2014/chart" uri="{C3380CC4-5D6E-409C-BE32-E72D297353CC}">
                  <c16:uniqueId val="{00000003-E0C5-2F43-BC15-C05C2E1807E7}"/>
                </c:ext>
              </c:extLst>
            </c:dLbl>
            <c:dLbl>
              <c:idx val="2"/>
              <c:delete val="1"/>
              <c:extLst>
                <c:ext xmlns:c15="http://schemas.microsoft.com/office/drawing/2012/chart" uri="{CE6537A1-D6FC-4f65-9D91-7224C49458BB}"/>
                <c:ext xmlns:c16="http://schemas.microsoft.com/office/drawing/2014/chart" uri="{C3380CC4-5D6E-409C-BE32-E72D297353CC}">
                  <c16:uniqueId val="{00000002-E0C5-2F43-BC15-C05C2E1807E7}"/>
                </c:ext>
              </c:extLst>
            </c:dLbl>
            <c:dLbl>
              <c:idx val="3"/>
              <c:layout>
                <c:manualLayout>
                  <c:x val="9.1029023746701757E-2"/>
                  <c:y val="-1.28998428669405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1-E0C5-2F43-BC15-C05C2E1807E7}"/>
                </c:ext>
              </c:extLst>
            </c:dLbl>
            <c:dLbl>
              <c:idx val="4"/>
              <c:delete val="1"/>
              <c:extLst>
                <c:ext xmlns:c15="http://schemas.microsoft.com/office/drawing/2012/chart" uri="{CE6537A1-D6FC-4f65-9D91-7224C49458BB}"/>
                <c:ext xmlns:c16="http://schemas.microsoft.com/office/drawing/2014/chart" uri="{C3380CC4-5D6E-409C-BE32-E72D297353CC}">
                  <c16:uniqueId val="{00000000-E0C5-2F43-BC15-C05C2E1807E7}"/>
                </c:ext>
              </c:extLst>
            </c:dLbl>
            <c:dLbl>
              <c:idx val="5"/>
              <c:delete val="1"/>
              <c:extLst>
                <c:ext xmlns:c15="http://schemas.microsoft.com/office/drawing/2012/chart" uri="{CE6537A1-D6FC-4f65-9D91-7224C49458BB}"/>
                <c:ext xmlns:c16="http://schemas.microsoft.com/office/drawing/2014/chart" uri="{C3380CC4-5D6E-409C-BE32-E72D297353CC}">
                  <c16:uniqueId val="{00000005-E0C5-2F43-BC15-C05C2E1807E7}"/>
                </c:ext>
              </c:extLst>
            </c:dLbl>
            <c:dLbl>
              <c:idx val="6"/>
              <c:delete val="1"/>
              <c:extLst>
                <c:ext xmlns:c15="http://schemas.microsoft.com/office/drawing/2012/chart" uri="{CE6537A1-D6FC-4f65-9D91-7224C49458BB}"/>
                <c:ext xmlns:c16="http://schemas.microsoft.com/office/drawing/2014/chart" uri="{C3380CC4-5D6E-409C-BE32-E72D297353CC}">
                  <c16:uniqueId val="{00000018-E0C5-2F43-BC15-C05C2E1807E7}"/>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1 - GWP, intl prod'!$B$4:$H$4</c:f>
              <c:numCache>
                <c:formatCode>General</c:formatCode>
                <c:ptCount val="7"/>
                <c:pt idx="0">
                  <c:v>0</c:v>
                </c:pt>
                <c:pt idx="1">
                  <c:v>2.5000000000000001E-2</c:v>
                </c:pt>
                <c:pt idx="2">
                  <c:v>0.05</c:v>
                </c:pt>
                <c:pt idx="3">
                  <c:v>7.5000000000000011E-2</c:v>
                </c:pt>
                <c:pt idx="4">
                  <c:v>0.1</c:v>
                </c:pt>
                <c:pt idx="5">
                  <c:v>0.125</c:v>
                </c:pt>
                <c:pt idx="6">
                  <c:v>0.15</c:v>
                </c:pt>
              </c:numCache>
            </c:numRef>
          </c:cat>
          <c:val>
            <c:numRef>
              <c:f>'Figure 1 - GWP, intl prod'!$B$5:$H$5</c:f>
              <c:numCache>
                <c:formatCode>0</c:formatCode>
                <c:ptCount val="7"/>
                <c:pt idx="0">
                  <c:v>0</c:v>
                </c:pt>
                <c:pt idx="1">
                  <c:v>17.435897435897438</c:v>
                </c:pt>
                <c:pt idx="2">
                  <c:v>35.789473684210535</c:v>
                </c:pt>
                <c:pt idx="3">
                  <c:v>55.135135135135144</c:v>
                </c:pt>
                <c:pt idx="4">
                  <c:v>75.555555555555557</c:v>
                </c:pt>
                <c:pt idx="5">
                  <c:v>97.142857142857139</c:v>
                </c:pt>
                <c:pt idx="6">
                  <c:v>120</c:v>
                </c:pt>
              </c:numCache>
            </c:numRef>
          </c:val>
          <c:smooth val="0"/>
          <c:extLst>
            <c:ext xmlns:c16="http://schemas.microsoft.com/office/drawing/2014/chart" uri="{C3380CC4-5D6E-409C-BE32-E72D297353CC}">
              <c16:uniqueId val="{00000001-0A90-8448-814E-C4AB9997F0AE}"/>
            </c:ext>
          </c:extLst>
        </c:ser>
        <c:ser>
          <c:idx val="2"/>
          <c:order val="2"/>
          <c:tx>
            <c:strRef>
              <c:f>'Figure 1 - GWP, intl prod'!$A$6</c:f>
              <c:strCache>
                <c:ptCount val="1"/>
                <c:pt idx="0">
                  <c:v>GWP-20, RNG</c:v>
                </c:pt>
              </c:strCache>
            </c:strRef>
          </c:tx>
          <c:spPr>
            <a:ln w="28575" cap="rnd">
              <a:solidFill>
                <a:schemeClr val="accent6">
                  <a:lumMod val="75000"/>
                </a:schemeClr>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17-E0C5-2F43-BC15-C05C2E1807E7}"/>
                </c:ext>
              </c:extLst>
            </c:dLbl>
            <c:dLbl>
              <c:idx val="1"/>
              <c:delete val="1"/>
              <c:extLst>
                <c:ext xmlns:c15="http://schemas.microsoft.com/office/drawing/2012/chart" uri="{CE6537A1-D6FC-4f65-9D91-7224C49458BB}"/>
                <c:ext xmlns:c16="http://schemas.microsoft.com/office/drawing/2014/chart" uri="{C3380CC4-5D6E-409C-BE32-E72D297353CC}">
                  <c16:uniqueId val="{00000016-E0C5-2F43-BC15-C05C2E1807E7}"/>
                </c:ext>
              </c:extLst>
            </c:dLbl>
            <c:dLbl>
              <c:idx val="2"/>
              <c:delete val="1"/>
              <c:extLst>
                <c:ext xmlns:c15="http://schemas.microsoft.com/office/drawing/2012/chart" uri="{CE6537A1-D6FC-4f65-9D91-7224C49458BB}"/>
                <c:ext xmlns:c16="http://schemas.microsoft.com/office/drawing/2014/chart" uri="{C3380CC4-5D6E-409C-BE32-E72D297353CC}">
                  <c16:uniqueId val="{00000015-E0C5-2F43-BC15-C05C2E1807E7}"/>
                </c:ext>
              </c:extLst>
            </c:dLbl>
            <c:dLbl>
              <c:idx val="3"/>
              <c:layout>
                <c:manualLayout>
                  <c:x val="6.3324538258575105E-2"/>
                  <c:y val="-3.2956393141212681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14-E0C5-2F43-BC15-C05C2E1807E7}"/>
                </c:ext>
              </c:extLst>
            </c:dLbl>
            <c:dLbl>
              <c:idx val="4"/>
              <c:delete val="1"/>
              <c:extLst>
                <c:ext xmlns:c15="http://schemas.microsoft.com/office/drawing/2012/chart" uri="{CE6537A1-D6FC-4f65-9D91-7224C49458BB}"/>
                <c:ext xmlns:c16="http://schemas.microsoft.com/office/drawing/2014/chart" uri="{C3380CC4-5D6E-409C-BE32-E72D297353CC}">
                  <c16:uniqueId val="{00000013-E0C5-2F43-BC15-C05C2E1807E7}"/>
                </c:ext>
              </c:extLst>
            </c:dLbl>
            <c:dLbl>
              <c:idx val="5"/>
              <c:delete val="1"/>
              <c:extLst>
                <c:ext xmlns:c15="http://schemas.microsoft.com/office/drawing/2012/chart" uri="{CE6537A1-D6FC-4f65-9D91-7224C49458BB}"/>
                <c:ext xmlns:c16="http://schemas.microsoft.com/office/drawing/2014/chart" uri="{C3380CC4-5D6E-409C-BE32-E72D297353CC}">
                  <c16:uniqueId val="{00000012-E0C5-2F43-BC15-C05C2E1807E7}"/>
                </c:ext>
              </c:extLst>
            </c:dLbl>
            <c:dLbl>
              <c:idx val="6"/>
              <c:delete val="1"/>
              <c:extLst>
                <c:ext xmlns:c15="http://schemas.microsoft.com/office/drawing/2012/chart" uri="{CE6537A1-D6FC-4f65-9D91-7224C49458BB}"/>
                <c:ext xmlns:c16="http://schemas.microsoft.com/office/drawing/2014/chart" uri="{C3380CC4-5D6E-409C-BE32-E72D297353CC}">
                  <c16:uniqueId val="{0000001B-E0C5-2F43-BC15-C05C2E1807E7}"/>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1 - GWP, intl prod'!$B$4:$H$4</c:f>
              <c:numCache>
                <c:formatCode>General</c:formatCode>
                <c:ptCount val="7"/>
                <c:pt idx="0">
                  <c:v>0</c:v>
                </c:pt>
                <c:pt idx="1">
                  <c:v>2.5000000000000001E-2</c:v>
                </c:pt>
                <c:pt idx="2">
                  <c:v>0.05</c:v>
                </c:pt>
                <c:pt idx="3">
                  <c:v>7.5000000000000011E-2</c:v>
                </c:pt>
                <c:pt idx="4">
                  <c:v>0.1</c:v>
                </c:pt>
                <c:pt idx="5">
                  <c:v>0.125</c:v>
                </c:pt>
                <c:pt idx="6">
                  <c:v>0.15</c:v>
                </c:pt>
              </c:numCache>
            </c:numRef>
          </c:cat>
          <c:val>
            <c:numRef>
              <c:f>'Figure 1 - GWP, intl prod'!$B$6:$H$6</c:f>
              <c:numCache>
                <c:formatCode>0</c:formatCode>
                <c:ptCount val="7"/>
                <c:pt idx="0">
                  <c:v>0</c:v>
                </c:pt>
                <c:pt idx="1">
                  <c:v>44.102564102564109</c:v>
                </c:pt>
                <c:pt idx="2">
                  <c:v>90.526315789473699</c:v>
                </c:pt>
                <c:pt idx="3">
                  <c:v>139.45945945945948</c:v>
                </c:pt>
                <c:pt idx="4">
                  <c:v>191.11111111111111</c:v>
                </c:pt>
                <c:pt idx="5">
                  <c:v>245.71428571428572</c:v>
                </c:pt>
                <c:pt idx="6">
                  <c:v>303.52941176470591</c:v>
                </c:pt>
              </c:numCache>
            </c:numRef>
          </c:val>
          <c:smooth val="0"/>
          <c:extLst>
            <c:ext xmlns:c16="http://schemas.microsoft.com/office/drawing/2014/chart" uri="{C3380CC4-5D6E-409C-BE32-E72D297353CC}">
              <c16:uniqueId val="{00000002-0A90-8448-814E-C4AB9997F0AE}"/>
            </c:ext>
          </c:extLst>
        </c:ser>
        <c:ser>
          <c:idx val="3"/>
          <c:order val="3"/>
          <c:tx>
            <c:strRef>
              <c:f>'Figure 1 - GWP, intl prod'!$A$7</c:f>
              <c:strCache>
                <c:ptCount val="1"/>
                <c:pt idx="0">
                  <c:v>GWP-100, FNG</c:v>
                </c:pt>
              </c:strCache>
            </c:strRef>
          </c:tx>
          <c:spPr>
            <a:ln w="28575" cap="rnd">
              <a:solidFill>
                <a:schemeClr val="accent5"/>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D-E0C5-2F43-BC15-C05C2E1807E7}"/>
                </c:ext>
              </c:extLst>
            </c:dLbl>
            <c:dLbl>
              <c:idx val="1"/>
              <c:delete val="1"/>
              <c:extLst>
                <c:ext xmlns:c15="http://schemas.microsoft.com/office/drawing/2012/chart" uri="{CE6537A1-D6FC-4f65-9D91-7224C49458BB}"/>
                <c:ext xmlns:c16="http://schemas.microsoft.com/office/drawing/2014/chart" uri="{C3380CC4-5D6E-409C-BE32-E72D297353CC}">
                  <c16:uniqueId val="{0000000C-E0C5-2F43-BC15-C05C2E1807E7}"/>
                </c:ext>
              </c:extLst>
            </c:dLbl>
            <c:dLbl>
              <c:idx val="2"/>
              <c:delete val="1"/>
              <c:extLst>
                <c:ext xmlns:c15="http://schemas.microsoft.com/office/drawing/2012/chart" uri="{CE6537A1-D6FC-4f65-9D91-7224C49458BB}"/>
                <c:ext xmlns:c16="http://schemas.microsoft.com/office/drawing/2014/chart" uri="{C3380CC4-5D6E-409C-BE32-E72D297353CC}">
                  <c16:uniqueId val="{0000000E-E0C5-2F43-BC15-C05C2E1807E7}"/>
                </c:ext>
              </c:extLst>
            </c:dLbl>
            <c:dLbl>
              <c:idx val="3"/>
              <c:delete val="1"/>
              <c:extLst>
                <c:ext xmlns:c15="http://schemas.microsoft.com/office/drawing/2012/chart" uri="{CE6537A1-D6FC-4f65-9D91-7224C49458BB}"/>
                <c:ext xmlns:c16="http://schemas.microsoft.com/office/drawing/2014/chart" uri="{C3380CC4-5D6E-409C-BE32-E72D297353CC}">
                  <c16:uniqueId val="{0000000F-E0C5-2F43-BC15-C05C2E1807E7}"/>
                </c:ext>
              </c:extLst>
            </c:dLbl>
            <c:dLbl>
              <c:idx val="4"/>
              <c:delete val="1"/>
              <c:extLst>
                <c:ext xmlns:c15="http://schemas.microsoft.com/office/drawing/2012/chart" uri="{CE6537A1-D6FC-4f65-9D91-7224C49458BB}"/>
                <c:ext xmlns:c16="http://schemas.microsoft.com/office/drawing/2014/chart" uri="{C3380CC4-5D6E-409C-BE32-E72D297353CC}">
                  <c16:uniqueId val="{00000010-E0C5-2F43-BC15-C05C2E1807E7}"/>
                </c:ext>
              </c:extLst>
            </c:dLbl>
            <c:dLbl>
              <c:idx val="5"/>
              <c:layout>
                <c:manualLayout>
                  <c:x val="1.1873350923482849E-2"/>
                  <c:y val="3.8102943857486228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11-E0C5-2F43-BC15-C05C2E1807E7}"/>
                </c:ext>
              </c:extLst>
            </c:dLbl>
            <c:dLbl>
              <c:idx val="6"/>
              <c:delete val="1"/>
              <c:extLst>
                <c:ext xmlns:c15="http://schemas.microsoft.com/office/drawing/2012/chart" uri="{CE6537A1-D6FC-4f65-9D91-7224C49458BB}"/>
                <c:ext xmlns:c16="http://schemas.microsoft.com/office/drawing/2014/chart" uri="{C3380CC4-5D6E-409C-BE32-E72D297353CC}">
                  <c16:uniqueId val="{0000001A-E0C5-2F43-BC15-C05C2E1807E7}"/>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1 - GWP, intl prod'!$B$4:$H$4</c:f>
              <c:numCache>
                <c:formatCode>General</c:formatCode>
                <c:ptCount val="7"/>
                <c:pt idx="0">
                  <c:v>0</c:v>
                </c:pt>
                <c:pt idx="1">
                  <c:v>2.5000000000000001E-2</c:v>
                </c:pt>
                <c:pt idx="2">
                  <c:v>0.05</c:v>
                </c:pt>
                <c:pt idx="3">
                  <c:v>7.5000000000000011E-2</c:v>
                </c:pt>
                <c:pt idx="4">
                  <c:v>0.1</c:v>
                </c:pt>
                <c:pt idx="5">
                  <c:v>0.125</c:v>
                </c:pt>
                <c:pt idx="6">
                  <c:v>0.15</c:v>
                </c:pt>
              </c:numCache>
            </c:numRef>
          </c:cat>
          <c:val>
            <c:numRef>
              <c:f>'Figure 1 - GWP, intl prod'!$B$7:$H$7</c:f>
              <c:numCache>
                <c:formatCode>0</c:formatCode>
                <c:ptCount val="7"/>
                <c:pt idx="0">
                  <c:v>76.363807184115785</c:v>
                </c:pt>
                <c:pt idx="1">
                  <c:v>76.363807184115785</c:v>
                </c:pt>
                <c:pt idx="2">
                  <c:v>76.363807184115785</c:v>
                </c:pt>
                <c:pt idx="3">
                  <c:v>76.363807184115785</c:v>
                </c:pt>
                <c:pt idx="4">
                  <c:v>76.363807184115785</c:v>
                </c:pt>
                <c:pt idx="5">
                  <c:v>76.363807184115785</c:v>
                </c:pt>
                <c:pt idx="6">
                  <c:v>76.363807184115785</c:v>
                </c:pt>
              </c:numCache>
            </c:numRef>
          </c:val>
          <c:smooth val="0"/>
          <c:extLst>
            <c:ext xmlns:c16="http://schemas.microsoft.com/office/drawing/2014/chart" uri="{C3380CC4-5D6E-409C-BE32-E72D297353CC}">
              <c16:uniqueId val="{00000003-0A90-8448-814E-C4AB9997F0AE}"/>
            </c:ext>
          </c:extLst>
        </c:ser>
        <c:ser>
          <c:idx val="4"/>
          <c:order val="4"/>
          <c:tx>
            <c:strRef>
              <c:f>'Figure 1 - GWP, intl prod'!$A$8</c:f>
              <c:strCache>
                <c:ptCount val="1"/>
                <c:pt idx="0">
                  <c:v>GWP-20, FNG</c:v>
                </c:pt>
              </c:strCache>
            </c:strRef>
          </c:tx>
          <c:spPr>
            <a:ln w="28575" cap="rnd">
              <a:solidFill>
                <a:schemeClr val="accent6"/>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1-B580-8D45-974D-D69A25B28088}"/>
                </c:ext>
              </c:extLst>
            </c:dLbl>
            <c:dLbl>
              <c:idx val="1"/>
              <c:delete val="1"/>
              <c:extLst>
                <c:ext xmlns:c15="http://schemas.microsoft.com/office/drawing/2012/chart" uri="{CE6537A1-D6FC-4f65-9D91-7224C49458BB}"/>
                <c:ext xmlns:c16="http://schemas.microsoft.com/office/drawing/2014/chart" uri="{C3380CC4-5D6E-409C-BE32-E72D297353CC}">
                  <c16:uniqueId val="{00000002-B580-8D45-974D-D69A25B28088}"/>
                </c:ext>
              </c:extLst>
            </c:dLbl>
            <c:dLbl>
              <c:idx val="2"/>
              <c:delete val="1"/>
              <c:extLst>
                <c:ext xmlns:c15="http://schemas.microsoft.com/office/drawing/2012/chart" uri="{CE6537A1-D6FC-4f65-9D91-7224C49458BB}"/>
                <c:ext xmlns:c16="http://schemas.microsoft.com/office/drawing/2014/chart" uri="{C3380CC4-5D6E-409C-BE32-E72D297353CC}">
                  <c16:uniqueId val="{00000007-B580-8D45-974D-D69A25B28088}"/>
                </c:ext>
              </c:extLst>
            </c:dLbl>
            <c:dLbl>
              <c:idx val="3"/>
              <c:layout>
                <c:manualLayout>
                  <c:x val="6.3324538258575105E-2"/>
                  <c:y val="-6.66232863024101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3-B580-8D45-974D-D69A25B28088}"/>
                </c:ext>
              </c:extLst>
            </c:dLbl>
            <c:dLbl>
              <c:idx val="4"/>
              <c:delete val="1"/>
              <c:extLst>
                <c:ext xmlns:c15="http://schemas.microsoft.com/office/drawing/2012/chart" uri="{CE6537A1-D6FC-4f65-9D91-7224C49458BB}"/>
                <c:ext xmlns:c16="http://schemas.microsoft.com/office/drawing/2014/chart" uri="{C3380CC4-5D6E-409C-BE32-E72D297353CC}">
                  <c16:uniqueId val="{00000004-B580-8D45-974D-D69A25B28088}"/>
                </c:ext>
              </c:extLst>
            </c:dLbl>
            <c:dLbl>
              <c:idx val="5"/>
              <c:delete val="1"/>
              <c:extLst>
                <c:ext xmlns:c15="http://schemas.microsoft.com/office/drawing/2012/chart" uri="{CE6537A1-D6FC-4f65-9D91-7224C49458BB}"/>
                <c:ext xmlns:c16="http://schemas.microsoft.com/office/drawing/2014/chart" uri="{C3380CC4-5D6E-409C-BE32-E72D297353CC}">
                  <c16:uniqueId val="{00000005-B580-8D45-974D-D69A25B28088}"/>
                </c:ext>
              </c:extLst>
            </c:dLbl>
            <c:dLbl>
              <c:idx val="6"/>
              <c:delete val="1"/>
              <c:extLst>
                <c:ext xmlns:c15="http://schemas.microsoft.com/office/drawing/2012/chart" uri="{CE6537A1-D6FC-4f65-9D91-7224C49458BB}"/>
                <c:ext xmlns:c16="http://schemas.microsoft.com/office/drawing/2014/chart" uri="{C3380CC4-5D6E-409C-BE32-E72D297353CC}">
                  <c16:uniqueId val="{00000006-B580-8D45-974D-D69A25B28088}"/>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1 - GWP, intl prod'!$B$4:$H$4</c:f>
              <c:numCache>
                <c:formatCode>General</c:formatCode>
                <c:ptCount val="7"/>
                <c:pt idx="0">
                  <c:v>0</c:v>
                </c:pt>
                <c:pt idx="1">
                  <c:v>2.5000000000000001E-2</c:v>
                </c:pt>
                <c:pt idx="2">
                  <c:v>0.05</c:v>
                </c:pt>
                <c:pt idx="3">
                  <c:v>7.5000000000000011E-2</c:v>
                </c:pt>
                <c:pt idx="4">
                  <c:v>0.1</c:v>
                </c:pt>
                <c:pt idx="5">
                  <c:v>0.125</c:v>
                </c:pt>
                <c:pt idx="6">
                  <c:v>0.15</c:v>
                </c:pt>
              </c:numCache>
            </c:numRef>
          </c:cat>
          <c:val>
            <c:numRef>
              <c:f>'Figure 1 - GWP, intl prod'!$B$8:$H$8</c:f>
              <c:numCache>
                <c:formatCode>0</c:formatCode>
                <c:ptCount val="7"/>
                <c:pt idx="0">
                  <c:v>106.80584242395727</c:v>
                </c:pt>
                <c:pt idx="1">
                  <c:v>106.80584242395727</c:v>
                </c:pt>
                <c:pt idx="2">
                  <c:v>106.80584242395727</c:v>
                </c:pt>
                <c:pt idx="3">
                  <c:v>106.80584242395727</c:v>
                </c:pt>
                <c:pt idx="4">
                  <c:v>106.80584242395727</c:v>
                </c:pt>
                <c:pt idx="5">
                  <c:v>106.80584242395727</c:v>
                </c:pt>
                <c:pt idx="6">
                  <c:v>106.80584242395727</c:v>
                </c:pt>
              </c:numCache>
            </c:numRef>
          </c:val>
          <c:smooth val="0"/>
          <c:extLst>
            <c:ext xmlns:c16="http://schemas.microsoft.com/office/drawing/2014/chart" uri="{C3380CC4-5D6E-409C-BE32-E72D297353CC}">
              <c16:uniqueId val="{00000000-B580-8D45-974D-D69A25B28088}"/>
            </c:ext>
          </c:extLst>
        </c:ser>
        <c:ser>
          <c:idx val="5"/>
          <c:order val="5"/>
          <c:tx>
            <c:strRef>
              <c:f>'Figure 1 - GWP, intl prod'!$A$9</c:f>
              <c:strCache>
                <c:ptCount val="1"/>
                <c:pt idx="0">
                  <c:v>2ºC compliant by 2050</c:v>
                </c:pt>
              </c:strCache>
            </c:strRef>
          </c:tx>
          <c:spPr>
            <a:ln w="28575" cap="rnd">
              <a:solidFill>
                <a:schemeClr val="tx2">
                  <a:lumMod val="50000"/>
                </a:schemeClr>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3-AD83-4C45-85C8-38750C370286}"/>
                </c:ext>
              </c:extLst>
            </c:dLbl>
            <c:dLbl>
              <c:idx val="1"/>
              <c:delete val="1"/>
              <c:extLst>
                <c:ext xmlns:c15="http://schemas.microsoft.com/office/drawing/2012/chart" uri="{CE6537A1-D6FC-4f65-9D91-7224C49458BB}"/>
                <c:ext xmlns:c16="http://schemas.microsoft.com/office/drawing/2014/chart" uri="{C3380CC4-5D6E-409C-BE32-E72D297353CC}">
                  <c16:uniqueId val="{00000004-AD83-4C45-85C8-38750C370286}"/>
                </c:ext>
              </c:extLst>
            </c:dLbl>
            <c:dLbl>
              <c:idx val="2"/>
              <c:layout>
                <c:manualLayout>
                  <c:x val="0.20250659630606851"/>
                  <c:y val="-7.4972349790344728E-2"/>
                </c:manualLayout>
              </c:layout>
              <c:tx>
                <c:rich>
                  <a:bodyPr/>
                  <a:lstStyle/>
                  <a:p>
                    <a:r>
                      <a:rPr lang="en-US"/>
                      <a:t>GWP-all, 2ºC compliant by 2050</a:t>
                    </a:r>
                  </a:p>
                </c:rich>
              </c:tx>
              <c:showLegendKey val="0"/>
              <c:showVal val="1"/>
              <c:showCatName val="0"/>
              <c:showSerName val="0"/>
              <c:showPercent val="0"/>
              <c:showBubbleSize val="0"/>
              <c:extLst>
                <c:ext xmlns:c15="http://schemas.microsoft.com/office/drawing/2012/chart" uri="{CE6537A1-D6FC-4f65-9D91-7224C49458BB}">
                  <c15:layout>
                    <c:manualLayout>
                      <c:w val="0.34244728149086906"/>
                      <c:h val="8.7761852260198447E-2"/>
                    </c:manualLayout>
                  </c15:layout>
                  <c15:showDataLabelsRange val="0"/>
                </c:ext>
                <c:ext xmlns:c16="http://schemas.microsoft.com/office/drawing/2014/chart" uri="{C3380CC4-5D6E-409C-BE32-E72D297353CC}">
                  <c16:uniqueId val="{00000002-AD83-4C45-85C8-38750C370286}"/>
                </c:ext>
              </c:extLst>
            </c:dLbl>
            <c:dLbl>
              <c:idx val="3"/>
              <c:delete val="1"/>
              <c:extLst>
                <c:ext xmlns:c15="http://schemas.microsoft.com/office/drawing/2012/chart" uri="{CE6537A1-D6FC-4f65-9D91-7224C49458BB}"/>
                <c:ext xmlns:c16="http://schemas.microsoft.com/office/drawing/2014/chart" uri="{C3380CC4-5D6E-409C-BE32-E72D297353CC}">
                  <c16:uniqueId val="{00000005-AD83-4C45-85C8-38750C370286}"/>
                </c:ext>
              </c:extLst>
            </c:dLbl>
            <c:dLbl>
              <c:idx val="4"/>
              <c:delete val="1"/>
              <c:extLst>
                <c:ext xmlns:c15="http://schemas.microsoft.com/office/drawing/2012/chart" uri="{CE6537A1-D6FC-4f65-9D91-7224C49458BB}"/>
                <c:ext xmlns:c16="http://schemas.microsoft.com/office/drawing/2014/chart" uri="{C3380CC4-5D6E-409C-BE32-E72D297353CC}">
                  <c16:uniqueId val="{00000008-AD83-4C45-85C8-38750C370286}"/>
                </c:ext>
              </c:extLst>
            </c:dLbl>
            <c:dLbl>
              <c:idx val="5"/>
              <c:delete val="1"/>
              <c:extLst>
                <c:ext xmlns:c15="http://schemas.microsoft.com/office/drawing/2012/chart" uri="{CE6537A1-D6FC-4f65-9D91-7224C49458BB}"/>
                <c:ext xmlns:c16="http://schemas.microsoft.com/office/drawing/2014/chart" uri="{C3380CC4-5D6E-409C-BE32-E72D297353CC}">
                  <c16:uniqueId val="{00000006-AD83-4C45-85C8-38750C370286}"/>
                </c:ext>
              </c:extLst>
            </c:dLbl>
            <c:dLbl>
              <c:idx val="6"/>
              <c:delete val="1"/>
              <c:extLst>
                <c:ext xmlns:c15="http://schemas.microsoft.com/office/drawing/2012/chart" uri="{CE6537A1-D6FC-4f65-9D91-7224C49458BB}"/>
                <c:ext xmlns:c16="http://schemas.microsoft.com/office/drawing/2014/chart" uri="{C3380CC4-5D6E-409C-BE32-E72D297353CC}">
                  <c16:uniqueId val="{00000007-AD83-4C45-85C8-38750C370286}"/>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1 - GWP, intl prod'!$B$4:$H$4</c:f>
              <c:numCache>
                <c:formatCode>General</c:formatCode>
                <c:ptCount val="7"/>
                <c:pt idx="0">
                  <c:v>0</c:v>
                </c:pt>
                <c:pt idx="1">
                  <c:v>2.5000000000000001E-2</c:v>
                </c:pt>
                <c:pt idx="2">
                  <c:v>0.05</c:v>
                </c:pt>
                <c:pt idx="3">
                  <c:v>7.5000000000000011E-2</c:v>
                </c:pt>
                <c:pt idx="4">
                  <c:v>0.1</c:v>
                </c:pt>
                <c:pt idx="5">
                  <c:v>0.125</c:v>
                </c:pt>
                <c:pt idx="6">
                  <c:v>0.15</c:v>
                </c:pt>
              </c:numCache>
            </c:numRef>
          </c:cat>
          <c:val>
            <c:numRef>
              <c:f>'Figure 1 - GWP, intl prod'!$B$9:$H$9</c:f>
              <c:numCache>
                <c:formatCode>0</c:formatCode>
                <c:ptCount val="7"/>
                <c:pt idx="0">
                  <c:v>1.8640620057012409</c:v>
                </c:pt>
                <c:pt idx="1">
                  <c:v>1.8640620057012409</c:v>
                </c:pt>
                <c:pt idx="2">
                  <c:v>1.8640620057012409</c:v>
                </c:pt>
                <c:pt idx="3">
                  <c:v>1.8640620057012409</c:v>
                </c:pt>
                <c:pt idx="4">
                  <c:v>1.8640620057012409</c:v>
                </c:pt>
                <c:pt idx="5">
                  <c:v>1.8640620057012409</c:v>
                </c:pt>
                <c:pt idx="6">
                  <c:v>1.8640620057012409</c:v>
                </c:pt>
              </c:numCache>
            </c:numRef>
          </c:val>
          <c:smooth val="0"/>
          <c:extLst>
            <c:ext xmlns:c16="http://schemas.microsoft.com/office/drawing/2014/chart" uri="{C3380CC4-5D6E-409C-BE32-E72D297353CC}">
              <c16:uniqueId val="{00000000-AD83-4C45-85C8-38750C370286}"/>
            </c:ext>
          </c:extLst>
        </c:ser>
        <c:ser>
          <c:idx val="6"/>
          <c:order val="6"/>
          <c:tx>
            <c:strRef>
              <c:f>'Figure 1 - GWP, intl prod'!$A$10</c:f>
              <c:strCache>
                <c:ptCount val="1"/>
                <c:pt idx="0">
                  <c:v>GWP-all, zero-carbon</c:v>
                </c:pt>
              </c:strCache>
            </c:strRef>
          </c:tx>
          <c:spPr>
            <a:ln w="28575" cap="rnd">
              <a:solidFill>
                <a:schemeClr val="accent1">
                  <a:lumMod val="50000"/>
                </a:schemeClr>
              </a:solidFill>
              <a:round/>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0-1CE3-DB42-9994-A45DA9BB5A52}"/>
                </c:ext>
              </c:extLst>
            </c:dLbl>
            <c:dLbl>
              <c:idx val="1"/>
              <c:delete val="1"/>
              <c:extLst>
                <c:ext xmlns:c15="http://schemas.microsoft.com/office/drawing/2012/chart" uri="{CE6537A1-D6FC-4f65-9D91-7224C49458BB}"/>
                <c:ext xmlns:c16="http://schemas.microsoft.com/office/drawing/2014/chart" uri="{C3380CC4-5D6E-409C-BE32-E72D297353CC}">
                  <c16:uniqueId val="{00000001-1CE3-DB42-9994-A45DA9BB5A52}"/>
                </c:ext>
              </c:extLst>
            </c:dLbl>
            <c:dLbl>
              <c:idx val="2"/>
              <c:layout>
                <c:manualLayout>
                  <c:x val="0.18931398416886544"/>
                  <c:y val="-2.5173497469376416E-2"/>
                </c:manualLayout>
              </c:layout>
              <c:showLegendKey val="0"/>
              <c:showVal val="0"/>
              <c:showCatName val="0"/>
              <c:showSerName val="1"/>
              <c:showPercent val="0"/>
              <c:showBubbleSize val="0"/>
              <c:extLst>
                <c:ext xmlns:c15="http://schemas.microsoft.com/office/drawing/2012/chart" uri="{CE6537A1-D6FC-4f65-9D91-7224C49458BB}">
                  <c15:layout>
                    <c:manualLayout>
                      <c:w val="0.26900390584422329"/>
                      <c:h val="8.0812182741116748E-2"/>
                    </c:manualLayout>
                  </c15:layout>
                </c:ext>
                <c:ext xmlns:c16="http://schemas.microsoft.com/office/drawing/2014/chart" uri="{C3380CC4-5D6E-409C-BE32-E72D297353CC}">
                  <c16:uniqueId val="{00000002-1CE3-DB42-9994-A45DA9BB5A52}"/>
                </c:ext>
              </c:extLst>
            </c:dLbl>
            <c:dLbl>
              <c:idx val="3"/>
              <c:delete val="1"/>
              <c:extLst>
                <c:ext xmlns:c15="http://schemas.microsoft.com/office/drawing/2012/chart" uri="{CE6537A1-D6FC-4f65-9D91-7224C49458BB}"/>
                <c:ext xmlns:c16="http://schemas.microsoft.com/office/drawing/2014/chart" uri="{C3380CC4-5D6E-409C-BE32-E72D297353CC}">
                  <c16:uniqueId val="{00000003-1CE3-DB42-9994-A45DA9BB5A52}"/>
                </c:ext>
              </c:extLst>
            </c:dLbl>
            <c:dLbl>
              <c:idx val="4"/>
              <c:delete val="1"/>
              <c:extLst>
                <c:ext xmlns:c15="http://schemas.microsoft.com/office/drawing/2012/chart" uri="{CE6537A1-D6FC-4f65-9D91-7224C49458BB}"/>
                <c:ext xmlns:c16="http://schemas.microsoft.com/office/drawing/2014/chart" uri="{C3380CC4-5D6E-409C-BE32-E72D297353CC}">
                  <c16:uniqueId val="{00000004-1CE3-DB42-9994-A45DA9BB5A52}"/>
                </c:ext>
              </c:extLst>
            </c:dLbl>
            <c:dLbl>
              <c:idx val="5"/>
              <c:delete val="1"/>
              <c:extLst>
                <c:ext xmlns:c15="http://schemas.microsoft.com/office/drawing/2012/chart" uri="{CE6537A1-D6FC-4f65-9D91-7224C49458BB}"/>
                <c:ext xmlns:c16="http://schemas.microsoft.com/office/drawing/2014/chart" uri="{C3380CC4-5D6E-409C-BE32-E72D297353CC}">
                  <c16:uniqueId val="{00000005-1CE3-DB42-9994-A45DA9BB5A52}"/>
                </c:ext>
              </c:extLst>
            </c:dLbl>
            <c:dLbl>
              <c:idx val="6"/>
              <c:delete val="1"/>
              <c:extLst>
                <c:ext xmlns:c15="http://schemas.microsoft.com/office/drawing/2012/chart" uri="{CE6537A1-D6FC-4f65-9D91-7224C49458BB}"/>
                <c:ext xmlns:c16="http://schemas.microsoft.com/office/drawing/2014/chart" uri="{C3380CC4-5D6E-409C-BE32-E72D297353CC}">
                  <c16:uniqueId val="{00000006-1CE3-DB42-9994-A45DA9BB5A52}"/>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1 - GWP, intl prod'!$B$4:$H$4</c:f>
              <c:numCache>
                <c:formatCode>General</c:formatCode>
                <c:ptCount val="7"/>
                <c:pt idx="0">
                  <c:v>0</c:v>
                </c:pt>
                <c:pt idx="1">
                  <c:v>2.5000000000000001E-2</c:v>
                </c:pt>
                <c:pt idx="2">
                  <c:v>0.05</c:v>
                </c:pt>
                <c:pt idx="3">
                  <c:v>7.5000000000000011E-2</c:v>
                </c:pt>
                <c:pt idx="4">
                  <c:v>0.1</c:v>
                </c:pt>
                <c:pt idx="5">
                  <c:v>0.125</c:v>
                </c:pt>
                <c:pt idx="6">
                  <c:v>0.15</c:v>
                </c:pt>
              </c:numCache>
            </c:numRef>
          </c:cat>
          <c:val>
            <c:numRef>
              <c:f>'Figure 1 - GWP, intl prod'!$B$10:$H$10</c:f>
              <c:numCache>
                <c:formatCode>0</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1-AD83-4C45-85C8-38750C370286}"/>
            </c:ext>
          </c:extLst>
        </c:ser>
        <c:dLbls>
          <c:showLegendKey val="0"/>
          <c:showVal val="0"/>
          <c:showCatName val="0"/>
          <c:showSerName val="0"/>
          <c:showPercent val="0"/>
          <c:showBubbleSize val="0"/>
        </c:dLbls>
        <c:smooth val="0"/>
        <c:axId val="1528431055"/>
        <c:axId val="1528570527"/>
      </c:lineChart>
      <c:catAx>
        <c:axId val="1528431055"/>
        <c:scaling>
          <c:orientation val="minMax"/>
        </c:scaling>
        <c:delete val="0"/>
        <c:axPos val="b"/>
        <c:title>
          <c:tx>
            <c:rich>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en-US"/>
                  <a:t>RNG system methane leakage (mass leaked/mass produced)</a:t>
                </a:r>
              </a:p>
            </c:rich>
          </c:tx>
          <c:overlay val="0"/>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0%" sourceLinked="0"/>
        <c:majorTickMark val="out"/>
        <c:minorTickMark val="none"/>
        <c:tickLblPos val="nextTo"/>
        <c:spPr>
          <a:noFill/>
          <a:ln w="28575" cap="flat" cmpd="sng" algn="ctr">
            <a:solidFill>
              <a:schemeClr val="tx1"/>
            </a:solidFill>
            <a:round/>
          </a:ln>
          <a:effectLst/>
        </c:spPr>
        <c:txPr>
          <a:bodyPr rot="-600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528570527"/>
        <c:crosses val="autoZero"/>
        <c:auto val="1"/>
        <c:lblAlgn val="ctr"/>
        <c:lblOffset val="100"/>
        <c:tickMarkSkip val="100"/>
        <c:noMultiLvlLbl val="0"/>
      </c:catAx>
      <c:valAx>
        <c:axId val="15285705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en-US"/>
                  <a:t>kg CO</a:t>
                </a:r>
                <a:r>
                  <a:rPr lang="en-US" baseline="-25000"/>
                  <a:t>2</a:t>
                </a:r>
                <a:r>
                  <a:rPr lang="en-US"/>
                  <a:t>e/GJ consumed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52843105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600">
          <a:solidFill>
            <a:schemeClr val="tx1"/>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417729526994205"/>
          <c:y val="0.12390035565080994"/>
          <c:w val="0.68560165069727719"/>
          <c:h val="0.76531330100130923"/>
        </c:manualLayout>
      </c:layout>
      <c:areaChart>
        <c:grouping val="standard"/>
        <c:varyColors val="0"/>
        <c:ser>
          <c:idx val="6"/>
          <c:order val="0"/>
          <c:tx>
            <c:v>GWP-100, 0-15% leakage</c:v>
          </c:tx>
          <c:spPr>
            <a:solidFill>
              <a:srgbClr val="5B9BD5">
                <a:lumMod val="60000"/>
                <a:lumOff val="40000"/>
              </a:srgbClr>
            </a:solidFill>
            <a:ln>
              <a:noFill/>
            </a:ln>
            <a:effectLst/>
          </c:spPr>
          <c:dLbls>
            <c:dLbl>
              <c:idx val="0"/>
              <c:delete val="1"/>
              <c:extLst>
                <c:ext xmlns:c15="http://schemas.microsoft.com/office/drawing/2012/chart" uri="{CE6537A1-D6FC-4f65-9D91-7224C49458BB}"/>
                <c:ext xmlns:c16="http://schemas.microsoft.com/office/drawing/2014/chart" uri="{C3380CC4-5D6E-409C-BE32-E72D297353CC}">
                  <c16:uniqueId val="{00000000-643F-B046-B955-5C387A7BD02A}"/>
                </c:ext>
              </c:extLst>
            </c:dLbl>
            <c:dLbl>
              <c:idx val="1"/>
              <c:delete val="1"/>
              <c:extLst>
                <c:ext xmlns:c15="http://schemas.microsoft.com/office/drawing/2012/chart" uri="{CE6537A1-D6FC-4f65-9D91-7224C49458BB}"/>
                <c:ext xmlns:c16="http://schemas.microsoft.com/office/drawing/2014/chart" uri="{C3380CC4-5D6E-409C-BE32-E72D297353CC}">
                  <c16:uniqueId val="{00000001-643F-B046-B955-5C387A7BD02A}"/>
                </c:ext>
              </c:extLst>
            </c:dLbl>
            <c:dLbl>
              <c:idx val="2"/>
              <c:delete val="1"/>
              <c:extLst>
                <c:ext xmlns:c15="http://schemas.microsoft.com/office/drawing/2012/chart" uri="{CE6537A1-D6FC-4f65-9D91-7224C49458BB}"/>
                <c:ext xmlns:c16="http://schemas.microsoft.com/office/drawing/2014/chart" uri="{C3380CC4-5D6E-409C-BE32-E72D297353CC}">
                  <c16:uniqueId val="{00000002-643F-B046-B955-5C387A7BD02A}"/>
                </c:ext>
              </c:extLst>
            </c:dLbl>
            <c:dLbl>
              <c:idx val="3"/>
              <c:delete val="1"/>
              <c:extLst>
                <c:ext xmlns:c15="http://schemas.microsoft.com/office/drawing/2012/chart" uri="{CE6537A1-D6FC-4f65-9D91-7224C49458BB}"/>
                <c:ext xmlns:c16="http://schemas.microsoft.com/office/drawing/2014/chart" uri="{C3380CC4-5D6E-409C-BE32-E72D297353CC}">
                  <c16:uniqueId val="{00000003-643F-B046-B955-5C387A7BD02A}"/>
                </c:ext>
              </c:extLst>
            </c:dLbl>
            <c:dLbl>
              <c:idx val="4"/>
              <c:delete val="1"/>
              <c:extLst>
                <c:ext xmlns:c15="http://schemas.microsoft.com/office/drawing/2012/chart" uri="{CE6537A1-D6FC-4f65-9D91-7224C49458BB}"/>
                <c:ext xmlns:c16="http://schemas.microsoft.com/office/drawing/2014/chart" uri="{C3380CC4-5D6E-409C-BE32-E72D297353CC}">
                  <c16:uniqueId val="{00000004-643F-B046-B955-5C387A7BD02A}"/>
                </c:ext>
              </c:extLst>
            </c:dLbl>
            <c:dLbl>
              <c:idx val="5"/>
              <c:delete val="1"/>
              <c:extLst>
                <c:ext xmlns:c15="http://schemas.microsoft.com/office/drawing/2012/chart" uri="{CE6537A1-D6FC-4f65-9D91-7224C49458BB}"/>
                <c:ext xmlns:c16="http://schemas.microsoft.com/office/drawing/2014/chart" uri="{C3380CC4-5D6E-409C-BE32-E72D297353CC}">
                  <c16:uniqueId val="{00000005-643F-B046-B955-5C387A7BD02A}"/>
                </c:ext>
              </c:extLst>
            </c:dLbl>
            <c:dLbl>
              <c:idx val="6"/>
              <c:delete val="1"/>
              <c:extLst>
                <c:ext xmlns:c15="http://schemas.microsoft.com/office/drawing/2012/chart" uri="{CE6537A1-D6FC-4f65-9D91-7224C49458BB}"/>
                <c:ext xmlns:c16="http://schemas.microsoft.com/office/drawing/2014/chart" uri="{C3380CC4-5D6E-409C-BE32-E72D297353CC}">
                  <c16:uniqueId val="{00000006-643F-B046-B955-5C387A7BD02A}"/>
                </c:ext>
              </c:extLst>
            </c:dLbl>
            <c:dLbl>
              <c:idx val="7"/>
              <c:delete val="1"/>
              <c:extLst>
                <c:ext xmlns:c15="http://schemas.microsoft.com/office/drawing/2012/chart" uri="{CE6537A1-D6FC-4f65-9D91-7224C49458BB}"/>
                <c:ext xmlns:c16="http://schemas.microsoft.com/office/drawing/2014/chart" uri="{C3380CC4-5D6E-409C-BE32-E72D297353CC}">
                  <c16:uniqueId val="{00000007-643F-B046-B955-5C387A7BD02A}"/>
                </c:ext>
              </c:extLst>
            </c:dLbl>
            <c:dLbl>
              <c:idx val="8"/>
              <c:delete val="1"/>
              <c:extLst>
                <c:ext xmlns:c15="http://schemas.microsoft.com/office/drawing/2012/chart" uri="{CE6537A1-D6FC-4f65-9D91-7224C49458BB}"/>
                <c:ext xmlns:c16="http://schemas.microsoft.com/office/drawing/2014/chart" uri="{C3380CC4-5D6E-409C-BE32-E72D297353CC}">
                  <c16:uniqueId val="{00000008-643F-B046-B955-5C387A7BD02A}"/>
                </c:ext>
              </c:extLst>
            </c:dLbl>
            <c:dLbl>
              <c:idx val="9"/>
              <c:layout>
                <c:manualLayout>
                  <c:x val="-0.20722891566265061"/>
                  <c:y val="-0.25775193798449614"/>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643F-B046-B955-5C387A7BD02A}"/>
                </c:ext>
              </c:extLst>
            </c:dLbl>
            <c:dLbl>
              <c:idx val="10"/>
              <c:delete val="1"/>
              <c:extLst>
                <c:ext xmlns:c15="http://schemas.microsoft.com/office/drawing/2012/chart" uri="{CE6537A1-D6FC-4f65-9D91-7224C49458BB}"/>
                <c:ext xmlns:c16="http://schemas.microsoft.com/office/drawing/2014/chart" uri="{C3380CC4-5D6E-409C-BE32-E72D297353CC}">
                  <c16:uniqueId val="{0000000A-643F-B046-B955-5C387A7BD02A}"/>
                </c:ext>
              </c:extLst>
            </c:dLbl>
            <c:dLbl>
              <c:idx val="11"/>
              <c:delete val="1"/>
              <c:extLst>
                <c:ext xmlns:c15="http://schemas.microsoft.com/office/drawing/2012/chart" uri="{CE6537A1-D6FC-4f65-9D91-7224C49458BB}"/>
                <c:ext xmlns:c16="http://schemas.microsoft.com/office/drawing/2014/chart" uri="{C3380CC4-5D6E-409C-BE32-E72D297353CC}">
                  <c16:uniqueId val="{0000000B-643F-B046-B955-5C387A7BD02A}"/>
                </c:ext>
              </c:extLst>
            </c:dLbl>
            <c:dLbl>
              <c:idx val="12"/>
              <c:delete val="1"/>
              <c:extLst>
                <c:ext xmlns:c15="http://schemas.microsoft.com/office/drawing/2012/chart" uri="{CE6537A1-D6FC-4f65-9D91-7224C49458BB}"/>
                <c:ext xmlns:c16="http://schemas.microsoft.com/office/drawing/2014/chart" uri="{C3380CC4-5D6E-409C-BE32-E72D297353CC}">
                  <c16:uniqueId val="{0000000C-643F-B046-B955-5C387A7BD02A}"/>
                </c:ext>
              </c:extLst>
            </c:dLbl>
            <c:dLbl>
              <c:idx val="13"/>
              <c:delete val="1"/>
              <c:extLst>
                <c:ext xmlns:c15="http://schemas.microsoft.com/office/drawing/2012/chart" uri="{CE6537A1-D6FC-4f65-9D91-7224C49458BB}"/>
                <c:ext xmlns:c16="http://schemas.microsoft.com/office/drawing/2014/chart" uri="{C3380CC4-5D6E-409C-BE32-E72D297353CC}">
                  <c16:uniqueId val="{0000000D-643F-B046-B955-5C387A7BD02A}"/>
                </c:ext>
              </c:extLst>
            </c:dLbl>
            <c:dLbl>
              <c:idx val="14"/>
              <c:delete val="1"/>
              <c:extLst>
                <c:ext xmlns:c15="http://schemas.microsoft.com/office/drawing/2012/chart" uri="{CE6537A1-D6FC-4f65-9D91-7224C49458BB}"/>
                <c:ext xmlns:c16="http://schemas.microsoft.com/office/drawing/2014/chart" uri="{C3380CC4-5D6E-409C-BE32-E72D297353CC}">
                  <c16:uniqueId val="{0000000E-643F-B046-B955-5C387A7BD02A}"/>
                </c:ext>
              </c:extLst>
            </c:dLbl>
            <c:dLbl>
              <c:idx val="15"/>
              <c:delete val="1"/>
              <c:extLst>
                <c:ext xmlns:c15="http://schemas.microsoft.com/office/drawing/2012/chart" uri="{CE6537A1-D6FC-4f65-9D91-7224C49458BB}"/>
                <c:ext xmlns:c16="http://schemas.microsoft.com/office/drawing/2014/chart" uri="{C3380CC4-5D6E-409C-BE32-E72D297353CC}">
                  <c16:uniqueId val="{0000000F-643F-B046-B955-5C387A7BD02A}"/>
                </c:ext>
              </c:extLst>
            </c:dLbl>
            <c:dLbl>
              <c:idx val="16"/>
              <c:delete val="1"/>
              <c:extLst>
                <c:ext xmlns:c15="http://schemas.microsoft.com/office/drawing/2012/chart" uri="{CE6537A1-D6FC-4f65-9D91-7224C49458BB}"/>
                <c:ext xmlns:c16="http://schemas.microsoft.com/office/drawing/2014/chart" uri="{C3380CC4-5D6E-409C-BE32-E72D297353CC}">
                  <c16:uniqueId val="{00000010-643F-B046-B955-5C387A7BD02A}"/>
                </c:ext>
              </c:extLst>
            </c:dLbl>
            <c:dLbl>
              <c:idx val="17"/>
              <c:delete val="1"/>
              <c:extLst>
                <c:ext xmlns:c15="http://schemas.microsoft.com/office/drawing/2012/chart" uri="{CE6537A1-D6FC-4f65-9D91-7224C49458BB}"/>
                <c:ext xmlns:c16="http://schemas.microsoft.com/office/drawing/2014/chart" uri="{C3380CC4-5D6E-409C-BE32-E72D297353CC}">
                  <c16:uniqueId val="{00000011-643F-B046-B955-5C387A7BD02A}"/>
                </c:ext>
              </c:extLst>
            </c:dLbl>
            <c:dLbl>
              <c:idx val="18"/>
              <c:delete val="1"/>
              <c:extLst>
                <c:ext xmlns:c15="http://schemas.microsoft.com/office/drawing/2012/chart" uri="{CE6537A1-D6FC-4f65-9D91-7224C49458BB}"/>
                <c:ext xmlns:c16="http://schemas.microsoft.com/office/drawing/2014/chart" uri="{C3380CC4-5D6E-409C-BE32-E72D297353CC}">
                  <c16:uniqueId val="{00000012-643F-B046-B955-5C387A7BD02A}"/>
                </c:ext>
              </c:extLst>
            </c:dLbl>
            <c:dLbl>
              <c:idx val="19"/>
              <c:delete val="1"/>
              <c:extLst>
                <c:ext xmlns:c15="http://schemas.microsoft.com/office/drawing/2012/chart" uri="{CE6537A1-D6FC-4f65-9D91-7224C49458BB}"/>
                <c:ext xmlns:c16="http://schemas.microsoft.com/office/drawing/2014/chart" uri="{C3380CC4-5D6E-409C-BE32-E72D297353CC}">
                  <c16:uniqueId val="{00000013-643F-B046-B955-5C387A7BD02A}"/>
                </c:ext>
              </c:extLst>
            </c:dLbl>
            <c:dLbl>
              <c:idx val="20"/>
              <c:delete val="1"/>
              <c:extLst>
                <c:ext xmlns:c15="http://schemas.microsoft.com/office/drawing/2012/chart" uri="{CE6537A1-D6FC-4f65-9D91-7224C49458BB}"/>
                <c:ext xmlns:c16="http://schemas.microsoft.com/office/drawing/2014/chart" uri="{C3380CC4-5D6E-409C-BE32-E72D297353CC}">
                  <c16:uniqueId val="{00000014-643F-B046-B955-5C387A7BD02A}"/>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1"/>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2 - vented vs intl prod'!$A$60:$A$80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2 - vented vs intl prod'!$H$60:$H$80</c:f>
              <c:numCache>
                <c:formatCode>0</c:formatCode>
                <c:ptCount val="21"/>
                <c:pt idx="0">
                  <c:v>1920</c:v>
                </c:pt>
                <c:pt idx="1">
                  <c:v>1880</c:v>
                </c:pt>
                <c:pt idx="2">
                  <c:v>1840</c:v>
                </c:pt>
                <c:pt idx="3">
                  <c:v>1800</c:v>
                </c:pt>
                <c:pt idx="4">
                  <c:v>1759.9999999999998</c:v>
                </c:pt>
                <c:pt idx="5">
                  <c:v>1719.9999999999998</c:v>
                </c:pt>
                <c:pt idx="6">
                  <c:v>1679.9999999999998</c:v>
                </c:pt>
                <c:pt idx="7">
                  <c:v>1639.9999999999998</c:v>
                </c:pt>
                <c:pt idx="8">
                  <c:v>1599.9999999999998</c:v>
                </c:pt>
                <c:pt idx="9">
                  <c:v>1559.9999999999995</c:v>
                </c:pt>
                <c:pt idx="10">
                  <c:v>1519.9999999999995</c:v>
                </c:pt>
                <c:pt idx="11">
                  <c:v>1479.9999999999995</c:v>
                </c:pt>
                <c:pt idx="12">
                  <c:v>1439.9999999999998</c:v>
                </c:pt>
                <c:pt idx="13">
                  <c:v>1399.9999999999998</c:v>
                </c:pt>
                <c:pt idx="14">
                  <c:v>1359.9999999999995</c:v>
                </c:pt>
                <c:pt idx="15">
                  <c:v>1319.9999999999998</c:v>
                </c:pt>
                <c:pt idx="16">
                  <c:v>1279.9999999999998</c:v>
                </c:pt>
                <c:pt idx="17">
                  <c:v>1239.9999999999998</c:v>
                </c:pt>
                <c:pt idx="18">
                  <c:v>1199.9999999999998</c:v>
                </c:pt>
                <c:pt idx="19">
                  <c:v>1159.9999999999998</c:v>
                </c:pt>
                <c:pt idx="20">
                  <c:v>1120</c:v>
                </c:pt>
              </c:numCache>
            </c:numRef>
          </c:val>
          <c:extLst>
            <c:ext xmlns:c16="http://schemas.microsoft.com/office/drawing/2014/chart" uri="{C3380CC4-5D6E-409C-BE32-E72D297353CC}">
              <c16:uniqueId val="{00000015-643F-B046-B955-5C387A7BD02A}"/>
            </c:ext>
          </c:extLst>
        </c:ser>
        <c:ser>
          <c:idx val="13"/>
          <c:order val="1"/>
          <c:tx>
            <c:v>GWP-100, no leakage</c:v>
          </c:tx>
          <c:spPr>
            <a:solidFill>
              <a:sysClr val="window" lastClr="FFFFFF"/>
            </a:solidFill>
            <a:ln>
              <a:noFill/>
            </a:ln>
            <a:effectLst/>
          </c:spPr>
          <c:cat>
            <c:numRef>
              <c:f>'Figure 2 - vented vs intl prod'!$A$60:$A$80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2 - vented vs intl prod'!$B$60:$B$80</c:f>
              <c:numCache>
                <c:formatCode>0</c:formatCode>
                <c:ptCount val="21"/>
                <c:pt idx="0">
                  <c:v>1800</c:v>
                </c:pt>
                <c:pt idx="1">
                  <c:v>1766</c:v>
                </c:pt>
                <c:pt idx="2">
                  <c:v>1732</c:v>
                </c:pt>
                <c:pt idx="3">
                  <c:v>1698</c:v>
                </c:pt>
                <c:pt idx="4">
                  <c:v>1664</c:v>
                </c:pt>
                <c:pt idx="5">
                  <c:v>1629.9999999999998</c:v>
                </c:pt>
                <c:pt idx="6">
                  <c:v>1595.9999999999998</c:v>
                </c:pt>
                <c:pt idx="7">
                  <c:v>1561.9999999999998</c:v>
                </c:pt>
                <c:pt idx="8">
                  <c:v>1527.9999999999998</c:v>
                </c:pt>
                <c:pt idx="9">
                  <c:v>1493.9999999999998</c:v>
                </c:pt>
                <c:pt idx="10">
                  <c:v>1459.9999999999998</c:v>
                </c:pt>
                <c:pt idx="11">
                  <c:v>1425.9999999999998</c:v>
                </c:pt>
                <c:pt idx="12">
                  <c:v>1391.9999999999998</c:v>
                </c:pt>
                <c:pt idx="13">
                  <c:v>1357.9999999999998</c:v>
                </c:pt>
                <c:pt idx="14">
                  <c:v>1323.9999999999998</c:v>
                </c:pt>
                <c:pt idx="15">
                  <c:v>1289.9999999999998</c:v>
                </c:pt>
                <c:pt idx="16">
                  <c:v>1255.9999999999998</c:v>
                </c:pt>
                <c:pt idx="17">
                  <c:v>1221.9999999999998</c:v>
                </c:pt>
                <c:pt idx="18">
                  <c:v>1187.9999999999998</c:v>
                </c:pt>
                <c:pt idx="19">
                  <c:v>1153.9999999999998</c:v>
                </c:pt>
                <c:pt idx="20">
                  <c:v>1120</c:v>
                </c:pt>
              </c:numCache>
            </c:numRef>
          </c:val>
          <c:extLst>
            <c:ext xmlns:c16="http://schemas.microsoft.com/office/drawing/2014/chart" uri="{C3380CC4-5D6E-409C-BE32-E72D297353CC}">
              <c16:uniqueId val="{00000016-643F-B046-B955-5C387A7BD02A}"/>
            </c:ext>
          </c:extLst>
        </c:ser>
        <c:ser>
          <c:idx val="1"/>
          <c:order val="2"/>
          <c:tx>
            <c:v>GWP-20, 0-15% leakage</c:v>
          </c:tx>
          <c:spPr>
            <a:solidFill>
              <a:srgbClr val="70AD47">
                <a:lumMod val="60000"/>
                <a:lumOff val="40000"/>
                <a:alpha val="70000"/>
              </a:srgbClr>
            </a:solidFill>
            <a:ln>
              <a:noFill/>
            </a:ln>
            <a:effectLst/>
          </c:spPr>
          <c:dLbls>
            <c:dLbl>
              <c:idx val="0"/>
              <c:delete val="1"/>
              <c:extLst>
                <c:ext xmlns:c15="http://schemas.microsoft.com/office/drawing/2012/chart" uri="{CE6537A1-D6FC-4f65-9D91-7224C49458BB}"/>
                <c:ext xmlns:c16="http://schemas.microsoft.com/office/drawing/2014/chart" uri="{C3380CC4-5D6E-409C-BE32-E72D297353CC}">
                  <c16:uniqueId val="{00000017-643F-B046-B955-5C387A7BD02A}"/>
                </c:ext>
              </c:extLst>
            </c:dLbl>
            <c:dLbl>
              <c:idx val="1"/>
              <c:delete val="1"/>
              <c:extLst>
                <c:ext xmlns:c15="http://schemas.microsoft.com/office/drawing/2012/chart" uri="{CE6537A1-D6FC-4f65-9D91-7224C49458BB}"/>
                <c:ext xmlns:c16="http://schemas.microsoft.com/office/drawing/2014/chart" uri="{C3380CC4-5D6E-409C-BE32-E72D297353CC}">
                  <c16:uniqueId val="{00000018-643F-B046-B955-5C387A7BD02A}"/>
                </c:ext>
              </c:extLst>
            </c:dLbl>
            <c:dLbl>
              <c:idx val="2"/>
              <c:delete val="1"/>
              <c:extLst>
                <c:ext xmlns:c15="http://schemas.microsoft.com/office/drawing/2012/chart" uri="{CE6537A1-D6FC-4f65-9D91-7224C49458BB}"/>
                <c:ext xmlns:c16="http://schemas.microsoft.com/office/drawing/2014/chart" uri="{C3380CC4-5D6E-409C-BE32-E72D297353CC}">
                  <c16:uniqueId val="{00000019-643F-B046-B955-5C387A7BD02A}"/>
                </c:ext>
              </c:extLst>
            </c:dLbl>
            <c:dLbl>
              <c:idx val="3"/>
              <c:delete val="1"/>
              <c:extLst>
                <c:ext xmlns:c15="http://schemas.microsoft.com/office/drawing/2012/chart" uri="{CE6537A1-D6FC-4f65-9D91-7224C49458BB}"/>
                <c:ext xmlns:c16="http://schemas.microsoft.com/office/drawing/2014/chart" uri="{C3380CC4-5D6E-409C-BE32-E72D297353CC}">
                  <c16:uniqueId val="{0000001A-643F-B046-B955-5C387A7BD02A}"/>
                </c:ext>
              </c:extLst>
            </c:dLbl>
            <c:dLbl>
              <c:idx val="4"/>
              <c:delete val="1"/>
              <c:extLst>
                <c:ext xmlns:c15="http://schemas.microsoft.com/office/drawing/2012/chart" uri="{CE6537A1-D6FC-4f65-9D91-7224C49458BB}"/>
                <c:ext xmlns:c16="http://schemas.microsoft.com/office/drawing/2014/chart" uri="{C3380CC4-5D6E-409C-BE32-E72D297353CC}">
                  <c16:uniqueId val="{0000001B-643F-B046-B955-5C387A7BD02A}"/>
                </c:ext>
              </c:extLst>
            </c:dLbl>
            <c:dLbl>
              <c:idx val="5"/>
              <c:delete val="1"/>
              <c:extLst>
                <c:ext xmlns:c15="http://schemas.microsoft.com/office/drawing/2012/chart" uri="{CE6537A1-D6FC-4f65-9D91-7224C49458BB}"/>
                <c:ext xmlns:c16="http://schemas.microsoft.com/office/drawing/2014/chart" uri="{C3380CC4-5D6E-409C-BE32-E72D297353CC}">
                  <c16:uniqueId val="{0000001C-643F-B046-B955-5C387A7BD02A}"/>
                </c:ext>
              </c:extLst>
            </c:dLbl>
            <c:dLbl>
              <c:idx val="6"/>
              <c:delete val="1"/>
              <c:extLst>
                <c:ext xmlns:c15="http://schemas.microsoft.com/office/drawing/2012/chart" uri="{CE6537A1-D6FC-4f65-9D91-7224C49458BB}"/>
                <c:ext xmlns:c16="http://schemas.microsoft.com/office/drawing/2014/chart" uri="{C3380CC4-5D6E-409C-BE32-E72D297353CC}">
                  <c16:uniqueId val="{0000001D-643F-B046-B955-5C387A7BD02A}"/>
                </c:ext>
              </c:extLst>
            </c:dLbl>
            <c:dLbl>
              <c:idx val="7"/>
              <c:delete val="1"/>
              <c:extLst>
                <c:ext xmlns:c15="http://schemas.microsoft.com/office/drawing/2012/chart" uri="{CE6537A1-D6FC-4f65-9D91-7224C49458BB}"/>
                <c:ext xmlns:c16="http://schemas.microsoft.com/office/drawing/2014/chart" uri="{C3380CC4-5D6E-409C-BE32-E72D297353CC}">
                  <c16:uniqueId val="{0000001E-643F-B046-B955-5C387A7BD02A}"/>
                </c:ext>
              </c:extLst>
            </c:dLbl>
            <c:dLbl>
              <c:idx val="8"/>
              <c:delete val="1"/>
              <c:extLst>
                <c:ext xmlns:c15="http://schemas.microsoft.com/office/drawing/2012/chart" uri="{CE6537A1-D6FC-4f65-9D91-7224C49458BB}"/>
                <c:ext xmlns:c16="http://schemas.microsoft.com/office/drawing/2014/chart" uri="{C3380CC4-5D6E-409C-BE32-E72D297353CC}">
                  <c16:uniqueId val="{0000001F-643F-B046-B955-5C387A7BD02A}"/>
                </c:ext>
              </c:extLst>
            </c:dLbl>
            <c:dLbl>
              <c:idx val="9"/>
              <c:delete val="1"/>
              <c:extLst>
                <c:ext xmlns:c15="http://schemas.microsoft.com/office/drawing/2012/chart" uri="{CE6537A1-D6FC-4f65-9D91-7224C49458BB}"/>
                <c:ext xmlns:c16="http://schemas.microsoft.com/office/drawing/2014/chart" uri="{C3380CC4-5D6E-409C-BE32-E72D297353CC}">
                  <c16:uniqueId val="{00000020-643F-B046-B955-5C387A7BD02A}"/>
                </c:ext>
              </c:extLst>
            </c:dLbl>
            <c:dLbl>
              <c:idx val="10"/>
              <c:delete val="1"/>
              <c:extLst>
                <c:ext xmlns:c15="http://schemas.microsoft.com/office/drawing/2012/chart" uri="{CE6537A1-D6FC-4f65-9D91-7224C49458BB}"/>
                <c:ext xmlns:c16="http://schemas.microsoft.com/office/drawing/2014/chart" uri="{C3380CC4-5D6E-409C-BE32-E72D297353CC}">
                  <c16:uniqueId val="{00000021-643F-B046-B955-5C387A7BD02A}"/>
                </c:ext>
              </c:extLst>
            </c:dLbl>
            <c:dLbl>
              <c:idx val="11"/>
              <c:delete val="1"/>
              <c:extLst>
                <c:ext xmlns:c15="http://schemas.microsoft.com/office/drawing/2012/chart" uri="{CE6537A1-D6FC-4f65-9D91-7224C49458BB}"/>
                <c:ext xmlns:c16="http://schemas.microsoft.com/office/drawing/2014/chart" uri="{C3380CC4-5D6E-409C-BE32-E72D297353CC}">
                  <c16:uniqueId val="{00000022-643F-B046-B955-5C387A7BD02A}"/>
                </c:ext>
              </c:extLst>
            </c:dLbl>
            <c:dLbl>
              <c:idx val="12"/>
              <c:layout>
                <c:manualLayout>
                  <c:x val="-9.6385542168674745E-2"/>
                  <c:y val="-0.17829457364341092"/>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23-643F-B046-B955-5C387A7BD02A}"/>
                </c:ext>
              </c:extLst>
            </c:dLbl>
            <c:dLbl>
              <c:idx val="13"/>
              <c:delete val="1"/>
              <c:extLst>
                <c:ext xmlns:c15="http://schemas.microsoft.com/office/drawing/2012/chart" uri="{CE6537A1-D6FC-4f65-9D91-7224C49458BB}"/>
                <c:ext xmlns:c16="http://schemas.microsoft.com/office/drawing/2014/chart" uri="{C3380CC4-5D6E-409C-BE32-E72D297353CC}">
                  <c16:uniqueId val="{00000024-643F-B046-B955-5C387A7BD02A}"/>
                </c:ext>
              </c:extLst>
            </c:dLbl>
            <c:dLbl>
              <c:idx val="14"/>
              <c:delete val="1"/>
              <c:extLst>
                <c:ext xmlns:c15="http://schemas.microsoft.com/office/drawing/2012/chart" uri="{CE6537A1-D6FC-4f65-9D91-7224C49458BB}"/>
                <c:ext xmlns:c16="http://schemas.microsoft.com/office/drawing/2014/chart" uri="{C3380CC4-5D6E-409C-BE32-E72D297353CC}">
                  <c16:uniqueId val="{00000025-643F-B046-B955-5C387A7BD02A}"/>
                </c:ext>
              </c:extLst>
            </c:dLbl>
            <c:dLbl>
              <c:idx val="15"/>
              <c:delete val="1"/>
              <c:extLst>
                <c:ext xmlns:c15="http://schemas.microsoft.com/office/drawing/2012/chart" uri="{CE6537A1-D6FC-4f65-9D91-7224C49458BB}"/>
                <c:ext xmlns:c16="http://schemas.microsoft.com/office/drawing/2014/chart" uri="{C3380CC4-5D6E-409C-BE32-E72D297353CC}">
                  <c16:uniqueId val="{00000026-643F-B046-B955-5C387A7BD02A}"/>
                </c:ext>
              </c:extLst>
            </c:dLbl>
            <c:dLbl>
              <c:idx val="16"/>
              <c:delete val="1"/>
              <c:extLst>
                <c:ext xmlns:c15="http://schemas.microsoft.com/office/drawing/2012/chart" uri="{CE6537A1-D6FC-4f65-9D91-7224C49458BB}"/>
                <c:ext xmlns:c16="http://schemas.microsoft.com/office/drawing/2014/chart" uri="{C3380CC4-5D6E-409C-BE32-E72D297353CC}">
                  <c16:uniqueId val="{00000027-643F-B046-B955-5C387A7BD02A}"/>
                </c:ext>
              </c:extLst>
            </c:dLbl>
            <c:dLbl>
              <c:idx val="17"/>
              <c:delete val="1"/>
              <c:extLst>
                <c:ext xmlns:c15="http://schemas.microsoft.com/office/drawing/2012/chart" uri="{CE6537A1-D6FC-4f65-9D91-7224C49458BB}"/>
                <c:ext xmlns:c16="http://schemas.microsoft.com/office/drawing/2014/chart" uri="{C3380CC4-5D6E-409C-BE32-E72D297353CC}">
                  <c16:uniqueId val="{00000028-643F-B046-B955-5C387A7BD02A}"/>
                </c:ext>
              </c:extLst>
            </c:dLbl>
            <c:dLbl>
              <c:idx val="18"/>
              <c:delete val="1"/>
              <c:extLst>
                <c:ext xmlns:c15="http://schemas.microsoft.com/office/drawing/2012/chart" uri="{CE6537A1-D6FC-4f65-9D91-7224C49458BB}"/>
                <c:ext xmlns:c16="http://schemas.microsoft.com/office/drawing/2014/chart" uri="{C3380CC4-5D6E-409C-BE32-E72D297353CC}">
                  <c16:uniqueId val="{00000029-643F-B046-B955-5C387A7BD02A}"/>
                </c:ext>
              </c:extLst>
            </c:dLbl>
            <c:dLbl>
              <c:idx val="19"/>
              <c:delete val="1"/>
              <c:extLst>
                <c:ext xmlns:c15="http://schemas.microsoft.com/office/drawing/2012/chart" uri="{CE6537A1-D6FC-4f65-9D91-7224C49458BB}"/>
                <c:ext xmlns:c16="http://schemas.microsoft.com/office/drawing/2014/chart" uri="{C3380CC4-5D6E-409C-BE32-E72D297353CC}">
                  <c16:uniqueId val="{0000002A-643F-B046-B955-5C387A7BD02A}"/>
                </c:ext>
              </c:extLst>
            </c:dLbl>
            <c:dLbl>
              <c:idx val="20"/>
              <c:delete val="1"/>
              <c:extLst>
                <c:ext xmlns:c15="http://schemas.microsoft.com/office/drawing/2012/chart" uri="{CE6537A1-D6FC-4f65-9D91-7224C49458BB}"/>
                <c:ext xmlns:c16="http://schemas.microsoft.com/office/drawing/2014/chart" uri="{C3380CC4-5D6E-409C-BE32-E72D297353CC}">
                  <c16:uniqueId val="{0000002B-643F-B046-B955-5C387A7BD02A}"/>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1"/>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2 - vented vs intl prod'!$A$60:$A$80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2 - vented vs intl prod'!$O$60:$O$80</c:f>
              <c:numCache>
                <c:formatCode>0</c:formatCode>
                <c:ptCount val="21"/>
                <c:pt idx="0">
                  <c:v>2103.5294117647059</c:v>
                </c:pt>
                <c:pt idx="1">
                  <c:v>2002.3529411764705</c:v>
                </c:pt>
                <c:pt idx="2">
                  <c:v>1901.1764705882351</c:v>
                </c:pt>
                <c:pt idx="3">
                  <c:v>1800</c:v>
                </c:pt>
                <c:pt idx="4">
                  <c:v>1698.8235294117644</c:v>
                </c:pt>
                <c:pt idx="5">
                  <c:v>1597.6470588235288</c:v>
                </c:pt>
                <c:pt idx="6">
                  <c:v>1496.4705882352935</c:v>
                </c:pt>
                <c:pt idx="7">
                  <c:v>1395.2941176470581</c:v>
                </c:pt>
                <c:pt idx="8">
                  <c:v>1294.1176470588227</c:v>
                </c:pt>
                <c:pt idx="9">
                  <c:v>1192.9411764705874</c:v>
                </c:pt>
                <c:pt idx="10">
                  <c:v>1091.7647058823518</c:v>
                </c:pt>
                <c:pt idx="11">
                  <c:v>990.58823529411677</c:v>
                </c:pt>
                <c:pt idx="12">
                  <c:v>889.41176470588152</c:v>
                </c:pt>
                <c:pt idx="13">
                  <c:v>788.23529411764628</c:v>
                </c:pt>
                <c:pt idx="14">
                  <c:v>687.0588235294108</c:v>
                </c:pt>
                <c:pt idx="15">
                  <c:v>585.88235294117567</c:v>
                </c:pt>
                <c:pt idx="16">
                  <c:v>484.70588235294031</c:v>
                </c:pt>
                <c:pt idx="17">
                  <c:v>383.52941176470517</c:v>
                </c:pt>
                <c:pt idx="18">
                  <c:v>282.35294117646959</c:v>
                </c:pt>
                <c:pt idx="19">
                  <c:v>181.17647058823445</c:v>
                </c:pt>
                <c:pt idx="20">
                  <c:v>79.999999999999318</c:v>
                </c:pt>
              </c:numCache>
            </c:numRef>
          </c:val>
          <c:extLst>
            <c:ext xmlns:c16="http://schemas.microsoft.com/office/drawing/2014/chart" uri="{C3380CC4-5D6E-409C-BE32-E72D297353CC}">
              <c16:uniqueId val="{0000002C-643F-B046-B955-5C387A7BD02A}"/>
            </c:ext>
          </c:extLst>
        </c:ser>
        <c:ser>
          <c:idx val="0"/>
          <c:order val="3"/>
          <c:tx>
            <c:v>GWP-20, no leakage</c:v>
          </c:tx>
          <c:spPr>
            <a:solidFill>
              <a:sysClr val="window" lastClr="FFFFFF"/>
            </a:solidFill>
            <a:ln>
              <a:noFill/>
            </a:ln>
            <a:effectLst/>
          </c:spPr>
          <c:cat>
            <c:numRef>
              <c:f>'Figure 2 - vented vs intl prod'!$A$60:$A$80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2 - vented vs intl prod'!$I$60:$I$80</c:f>
              <c:numCache>
                <c:formatCode>0</c:formatCode>
                <c:ptCount val="21"/>
                <c:pt idx="0">
                  <c:v>1800</c:v>
                </c:pt>
                <c:pt idx="1">
                  <c:v>1714</c:v>
                </c:pt>
                <c:pt idx="2">
                  <c:v>1627.9999999999998</c:v>
                </c:pt>
                <c:pt idx="3">
                  <c:v>1541.9999999999998</c:v>
                </c:pt>
                <c:pt idx="4">
                  <c:v>1455.9999999999998</c:v>
                </c:pt>
                <c:pt idx="5">
                  <c:v>1369.9999999999995</c:v>
                </c:pt>
                <c:pt idx="6">
                  <c:v>1283.9999999999995</c:v>
                </c:pt>
                <c:pt idx="7">
                  <c:v>1197.9999999999995</c:v>
                </c:pt>
                <c:pt idx="8">
                  <c:v>1111.9999999999995</c:v>
                </c:pt>
                <c:pt idx="9">
                  <c:v>1025.9999999999993</c:v>
                </c:pt>
                <c:pt idx="10">
                  <c:v>939.9999999999992</c:v>
                </c:pt>
                <c:pt idx="11">
                  <c:v>853.99999999999932</c:v>
                </c:pt>
                <c:pt idx="12">
                  <c:v>767.99999999999955</c:v>
                </c:pt>
                <c:pt idx="13">
                  <c:v>681.99999999999932</c:v>
                </c:pt>
                <c:pt idx="14">
                  <c:v>595.99999999999932</c:v>
                </c:pt>
                <c:pt idx="15">
                  <c:v>509.99999999999932</c:v>
                </c:pt>
                <c:pt idx="16">
                  <c:v>423.99999999999955</c:v>
                </c:pt>
                <c:pt idx="17">
                  <c:v>337.99999999999955</c:v>
                </c:pt>
                <c:pt idx="18">
                  <c:v>251.99999999999932</c:v>
                </c:pt>
                <c:pt idx="19">
                  <c:v>165.99999999999955</c:v>
                </c:pt>
                <c:pt idx="20">
                  <c:v>79.999999999999545</c:v>
                </c:pt>
              </c:numCache>
            </c:numRef>
          </c:val>
          <c:extLst>
            <c:ext xmlns:c16="http://schemas.microsoft.com/office/drawing/2014/chart" uri="{C3380CC4-5D6E-409C-BE32-E72D297353CC}">
              <c16:uniqueId val="{0000002D-643F-B046-B955-5C387A7BD02A}"/>
            </c:ext>
          </c:extLst>
        </c:ser>
        <c:dLbls>
          <c:showLegendKey val="0"/>
          <c:showVal val="0"/>
          <c:showCatName val="0"/>
          <c:showSerName val="0"/>
          <c:showPercent val="0"/>
          <c:showBubbleSize val="0"/>
        </c:dLbls>
        <c:axId val="200612992"/>
        <c:axId val="170515008"/>
      </c:areaChart>
      <c:lineChart>
        <c:grouping val="standard"/>
        <c:varyColors val="0"/>
        <c:ser>
          <c:idx val="2"/>
          <c:order val="4"/>
          <c:tx>
            <c:v>0-axis</c:v>
          </c:tx>
          <c:spPr>
            <a:ln w="28575" cap="rnd">
              <a:solidFill>
                <a:sysClr val="windowText" lastClr="000000"/>
              </a:solidFill>
              <a:round/>
            </a:ln>
            <a:effectLst/>
          </c:spPr>
          <c:marker>
            <c:symbol val="none"/>
          </c:marker>
          <c:val>
            <c:numRef>
              <c:f>'Figure 2 - vented vs intl prod'!$P$60:$P$80</c:f>
              <c:numCache>
                <c:formatCode>0</c:formatCode>
                <c:ptCount val="21"/>
                <c:pt idx="0">
                  <c:v>1800</c:v>
                </c:pt>
                <c:pt idx="1">
                  <c:v>1800</c:v>
                </c:pt>
                <c:pt idx="2">
                  <c:v>1800</c:v>
                </c:pt>
                <c:pt idx="3">
                  <c:v>1800</c:v>
                </c:pt>
                <c:pt idx="4">
                  <c:v>1800</c:v>
                </c:pt>
                <c:pt idx="5">
                  <c:v>1800</c:v>
                </c:pt>
                <c:pt idx="6">
                  <c:v>1800</c:v>
                </c:pt>
                <c:pt idx="7">
                  <c:v>1800</c:v>
                </c:pt>
                <c:pt idx="8">
                  <c:v>1800</c:v>
                </c:pt>
                <c:pt idx="9">
                  <c:v>1800</c:v>
                </c:pt>
                <c:pt idx="10">
                  <c:v>1800</c:v>
                </c:pt>
                <c:pt idx="11">
                  <c:v>1800</c:v>
                </c:pt>
                <c:pt idx="12">
                  <c:v>1800</c:v>
                </c:pt>
                <c:pt idx="13">
                  <c:v>1800</c:v>
                </c:pt>
                <c:pt idx="14">
                  <c:v>1800</c:v>
                </c:pt>
                <c:pt idx="15">
                  <c:v>1800</c:v>
                </c:pt>
                <c:pt idx="16">
                  <c:v>1800</c:v>
                </c:pt>
                <c:pt idx="17">
                  <c:v>1800</c:v>
                </c:pt>
                <c:pt idx="18">
                  <c:v>1800</c:v>
                </c:pt>
                <c:pt idx="19">
                  <c:v>1800</c:v>
                </c:pt>
                <c:pt idx="20">
                  <c:v>1800</c:v>
                </c:pt>
              </c:numCache>
            </c:numRef>
          </c:val>
          <c:smooth val="0"/>
          <c:extLst>
            <c:ext xmlns:c16="http://schemas.microsoft.com/office/drawing/2014/chart" uri="{C3380CC4-5D6E-409C-BE32-E72D297353CC}">
              <c16:uniqueId val="{0000002E-643F-B046-B955-5C387A7BD02A}"/>
            </c:ext>
          </c:extLst>
        </c:ser>
        <c:ser>
          <c:idx val="3"/>
          <c:order val="5"/>
          <c:tx>
            <c:v>GWP-100, FNG</c:v>
          </c:tx>
          <c:spPr>
            <a:ln w="28575" cap="rnd">
              <a:solidFill>
                <a:srgbClr val="5B9BD5"/>
              </a:solidFill>
              <a:round/>
            </a:ln>
            <a:effectLst/>
          </c:spPr>
          <c:marker>
            <c:symbol val="none"/>
          </c:marker>
          <c:dLbls>
            <c:dLbl>
              <c:idx val="0"/>
              <c:layout>
                <c:manualLayout>
                  <c:x val="1.0843373493975727E-2"/>
                  <c:y val="2.3255813953488302E-2"/>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2F-643F-B046-B955-5C387A7BD02A}"/>
                </c:ext>
              </c:extLst>
            </c:dLbl>
            <c:dLbl>
              <c:idx val="1"/>
              <c:delete val="1"/>
              <c:extLst>
                <c:ext xmlns:c15="http://schemas.microsoft.com/office/drawing/2012/chart" uri="{CE6537A1-D6FC-4f65-9D91-7224C49458BB}"/>
                <c:ext xmlns:c16="http://schemas.microsoft.com/office/drawing/2014/chart" uri="{C3380CC4-5D6E-409C-BE32-E72D297353CC}">
                  <c16:uniqueId val="{00000030-643F-B046-B955-5C387A7BD02A}"/>
                </c:ext>
              </c:extLst>
            </c:dLbl>
            <c:dLbl>
              <c:idx val="2"/>
              <c:delete val="1"/>
              <c:extLst>
                <c:ext xmlns:c15="http://schemas.microsoft.com/office/drawing/2012/chart" uri="{CE6537A1-D6FC-4f65-9D91-7224C49458BB}"/>
                <c:ext xmlns:c16="http://schemas.microsoft.com/office/drawing/2014/chart" uri="{C3380CC4-5D6E-409C-BE32-E72D297353CC}">
                  <c16:uniqueId val="{00000031-643F-B046-B955-5C387A7BD02A}"/>
                </c:ext>
              </c:extLst>
            </c:dLbl>
            <c:dLbl>
              <c:idx val="3"/>
              <c:delete val="1"/>
              <c:extLst>
                <c:ext xmlns:c15="http://schemas.microsoft.com/office/drawing/2012/chart" uri="{CE6537A1-D6FC-4f65-9D91-7224C49458BB}"/>
                <c:ext xmlns:c16="http://schemas.microsoft.com/office/drawing/2014/chart" uri="{C3380CC4-5D6E-409C-BE32-E72D297353CC}">
                  <c16:uniqueId val="{00000032-643F-B046-B955-5C387A7BD02A}"/>
                </c:ext>
              </c:extLst>
            </c:dLbl>
            <c:dLbl>
              <c:idx val="4"/>
              <c:delete val="1"/>
              <c:extLst>
                <c:ext xmlns:c15="http://schemas.microsoft.com/office/drawing/2012/chart" uri="{CE6537A1-D6FC-4f65-9D91-7224C49458BB}"/>
                <c:ext xmlns:c16="http://schemas.microsoft.com/office/drawing/2014/chart" uri="{C3380CC4-5D6E-409C-BE32-E72D297353CC}">
                  <c16:uniqueId val="{00000033-643F-B046-B955-5C387A7BD02A}"/>
                </c:ext>
              </c:extLst>
            </c:dLbl>
            <c:dLbl>
              <c:idx val="5"/>
              <c:delete val="1"/>
              <c:extLst>
                <c:ext xmlns:c15="http://schemas.microsoft.com/office/drawing/2012/chart" uri="{CE6537A1-D6FC-4f65-9D91-7224C49458BB}"/>
                <c:ext xmlns:c16="http://schemas.microsoft.com/office/drawing/2014/chart" uri="{C3380CC4-5D6E-409C-BE32-E72D297353CC}">
                  <c16:uniqueId val="{00000034-643F-B046-B955-5C387A7BD02A}"/>
                </c:ext>
              </c:extLst>
            </c:dLbl>
            <c:dLbl>
              <c:idx val="6"/>
              <c:delete val="1"/>
              <c:extLst>
                <c:ext xmlns:c15="http://schemas.microsoft.com/office/drawing/2012/chart" uri="{CE6537A1-D6FC-4f65-9D91-7224C49458BB}"/>
                <c:ext xmlns:c16="http://schemas.microsoft.com/office/drawing/2014/chart" uri="{C3380CC4-5D6E-409C-BE32-E72D297353CC}">
                  <c16:uniqueId val="{00000035-643F-B046-B955-5C387A7BD02A}"/>
                </c:ext>
              </c:extLst>
            </c:dLbl>
            <c:dLbl>
              <c:idx val="7"/>
              <c:delete val="1"/>
              <c:extLst>
                <c:ext xmlns:c15="http://schemas.microsoft.com/office/drawing/2012/chart" uri="{CE6537A1-D6FC-4f65-9D91-7224C49458BB}"/>
                <c:ext xmlns:c16="http://schemas.microsoft.com/office/drawing/2014/chart" uri="{C3380CC4-5D6E-409C-BE32-E72D297353CC}">
                  <c16:uniqueId val="{00000036-643F-B046-B955-5C387A7BD02A}"/>
                </c:ext>
              </c:extLst>
            </c:dLbl>
            <c:dLbl>
              <c:idx val="8"/>
              <c:delete val="1"/>
              <c:extLst>
                <c:ext xmlns:c15="http://schemas.microsoft.com/office/drawing/2012/chart" uri="{CE6537A1-D6FC-4f65-9D91-7224C49458BB}"/>
                <c:ext xmlns:c16="http://schemas.microsoft.com/office/drawing/2014/chart" uri="{C3380CC4-5D6E-409C-BE32-E72D297353CC}">
                  <c16:uniqueId val="{00000037-643F-B046-B955-5C387A7BD02A}"/>
                </c:ext>
              </c:extLst>
            </c:dLbl>
            <c:dLbl>
              <c:idx val="9"/>
              <c:delete val="1"/>
              <c:extLst>
                <c:ext xmlns:c15="http://schemas.microsoft.com/office/drawing/2012/chart" uri="{CE6537A1-D6FC-4f65-9D91-7224C49458BB}"/>
                <c:ext xmlns:c16="http://schemas.microsoft.com/office/drawing/2014/chart" uri="{C3380CC4-5D6E-409C-BE32-E72D297353CC}">
                  <c16:uniqueId val="{00000038-643F-B046-B955-5C387A7BD02A}"/>
                </c:ext>
              </c:extLst>
            </c:dLbl>
            <c:dLbl>
              <c:idx val="10"/>
              <c:delete val="1"/>
              <c:extLst>
                <c:ext xmlns:c15="http://schemas.microsoft.com/office/drawing/2012/chart" uri="{CE6537A1-D6FC-4f65-9D91-7224C49458BB}"/>
                <c:ext xmlns:c16="http://schemas.microsoft.com/office/drawing/2014/chart" uri="{C3380CC4-5D6E-409C-BE32-E72D297353CC}">
                  <c16:uniqueId val="{00000039-643F-B046-B955-5C387A7BD02A}"/>
                </c:ext>
              </c:extLst>
            </c:dLbl>
            <c:dLbl>
              <c:idx val="11"/>
              <c:delete val="1"/>
              <c:extLst>
                <c:ext xmlns:c15="http://schemas.microsoft.com/office/drawing/2012/chart" uri="{CE6537A1-D6FC-4f65-9D91-7224C49458BB}"/>
                <c:ext xmlns:c16="http://schemas.microsoft.com/office/drawing/2014/chart" uri="{C3380CC4-5D6E-409C-BE32-E72D297353CC}">
                  <c16:uniqueId val="{0000003A-643F-B046-B955-5C387A7BD02A}"/>
                </c:ext>
              </c:extLst>
            </c:dLbl>
            <c:dLbl>
              <c:idx val="12"/>
              <c:delete val="1"/>
              <c:extLst>
                <c:ext xmlns:c15="http://schemas.microsoft.com/office/drawing/2012/chart" uri="{CE6537A1-D6FC-4f65-9D91-7224C49458BB}"/>
                <c:ext xmlns:c16="http://schemas.microsoft.com/office/drawing/2014/chart" uri="{C3380CC4-5D6E-409C-BE32-E72D297353CC}">
                  <c16:uniqueId val="{0000003B-643F-B046-B955-5C387A7BD02A}"/>
                </c:ext>
              </c:extLst>
            </c:dLbl>
            <c:dLbl>
              <c:idx val="13"/>
              <c:delete val="1"/>
              <c:extLst>
                <c:ext xmlns:c15="http://schemas.microsoft.com/office/drawing/2012/chart" uri="{CE6537A1-D6FC-4f65-9D91-7224C49458BB}"/>
                <c:ext xmlns:c16="http://schemas.microsoft.com/office/drawing/2014/chart" uri="{C3380CC4-5D6E-409C-BE32-E72D297353CC}">
                  <c16:uniqueId val="{0000003C-643F-B046-B955-5C387A7BD02A}"/>
                </c:ext>
              </c:extLst>
            </c:dLbl>
            <c:dLbl>
              <c:idx val="14"/>
              <c:delete val="1"/>
              <c:extLst>
                <c:ext xmlns:c15="http://schemas.microsoft.com/office/drawing/2012/chart" uri="{CE6537A1-D6FC-4f65-9D91-7224C49458BB}"/>
                <c:ext xmlns:c16="http://schemas.microsoft.com/office/drawing/2014/chart" uri="{C3380CC4-5D6E-409C-BE32-E72D297353CC}">
                  <c16:uniqueId val="{0000003D-643F-B046-B955-5C387A7BD02A}"/>
                </c:ext>
              </c:extLst>
            </c:dLbl>
            <c:dLbl>
              <c:idx val="15"/>
              <c:delete val="1"/>
              <c:extLst>
                <c:ext xmlns:c15="http://schemas.microsoft.com/office/drawing/2012/chart" uri="{CE6537A1-D6FC-4f65-9D91-7224C49458BB}"/>
                <c:ext xmlns:c16="http://schemas.microsoft.com/office/drawing/2014/chart" uri="{C3380CC4-5D6E-409C-BE32-E72D297353CC}">
                  <c16:uniqueId val="{0000003E-643F-B046-B955-5C387A7BD02A}"/>
                </c:ext>
              </c:extLst>
            </c:dLbl>
            <c:dLbl>
              <c:idx val="16"/>
              <c:delete val="1"/>
              <c:extLst>
                <c:ext xmlns:c15="http://schemas.microsoft.com/office/drawing/2012/chart" uri="{CE6537A1-D6FC-4f65-9D91-7224C49458BB}"/>
                <c:ext xmlns:c16="http://schemas.microsoft.com/office/drawing/2014/chart" uri="{C3380CC4-5D6E-409C-BE32-E72D297353CC}">
                  <c16:uniqueId val="{0000003F-643F-B046-B955-5C387A7BD02A}"/>
                </c:ext>
              </c:extLst>
            </c:dLbl>
            <c:dLbl>
              <c:idx val="17"/>
              <c:delete val="1"/>
              <c:extLst>
                <c:ext xmlns:c15="http://schemas.microsoft.com/office/drawing/2012/chart" uri="{CE6537A1-D6FC-4f65-9D91-7224C49458BB}"/>
                <c:ext xmlns:c16="http://schemas.microsoft.com/office/drawing/2014/chart" uri="{C3380CC4-5D6E-409C-BE32-E72D297353CC}">
                  <c16:uniqueId val="{00000040-643F-B046-B955-5C387A7BD02A}"/>
                </c:ext>
              </c:extLst>
            </c:dLbl>
            <c:dLbl>
              <c:idx val="18"/>
              <c:delete val="1"/>
              <c:extLst>
                <c:ext xmlns:c15="http://schemas.microsoft.com/office/drawing/2012/chart" uri="{CE6537A1-D6FC-4f65-9D91-7224C49458BB}"/>
                <c:ext xmlns:c16="http://schemas.microsoft.com/office/drawing/2014/chart" uri="{C3380CC4-5D6E-409C-BE32-E72D297353CC}">
                  <c16:uniqueId val="{00000041-643F-B046-B955-5C387A7BD02A}"/>
                </c:ext>
              </c:extLst>
            </c:dLbl>
            <c:dLbl>
              <c:idx val="19"/>
              <c:delete val="1"/>
              <c:extLst>
                <c:ext xmlns:c15="http://schemas.microsoft.com/office/drawing/2012/chart" uri="{CE6537A1-D6FC-4f65-9D91-7224C49458BB}"/>
                <c:ext xmlns:c16="http://schemas.microsoft.com/office/drawing/2014/chart" uri="{C3380CC4-5D6E-409C-BE32-E72D297353CC}">
                  <c16:uniqueId val="{00000042-643F-B046-B955-5C387A7BD02A}"/>
                </c:ext>
              </c:extLst>
            </c:dLbl>
            <c:dLbl>
              <c:idx val="20"/>
              <c:delete val="1"/>
              <c:extLst>
                <c:ext xmlns:c15="http://schemas.microsoft.com/office/drawing/2012/chart" uri="{CE6537A1-D6FC-4f65-9D91-7224C49458BB}"/>
                <c:ext xmlns:c16="http://schemas.microsoft.com/office/drawing/2014/chart" uri="{C3380CC4-5D6E-409C-BE32-E72D297353CC}">
                  <c16:uniqueId val="{00000043-643F-B046-B955-5C387A7BD02A}"/>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'Figure 2 - vented vs intl prod'!$Q$60:$Q$80</c:f>
              <c:numCache>
                <c:formatCode>0</c:formatCode>
                <c:ptCount val="21"/>
                <c:pt idx="0">
                  <c:v>1876.3638071841158</c:v>
                </c:pt>
                <c:pt idx="1">
                  <c:v>1876.3638071841158</c:v>
                </c:pt>
                <c:pt idx="2">
                  <c:v>1876.3638071841158</c:v>
                </c:pt>
                <c:pt idx="3">
                  <c:v>1876.3638071841158</c:v>
                </c:pt>
                <c:pt idx="4">
                  <c:v>1876.3638071841158</c:v>
                </c:pt>
                <c:pt idx="5">
                  <c:v>1876.3638071841158</c:v>
                </c:pt>
                <c:pt idx="6">
                  <c:v>1876.3638071841158</c:v>
                </c:pt>
                <c:pt idx="7">
                  <c:v>1876.3638071841158</c:v>
                </c:pt>
                <c:pt idx="8">
                  <c:v>1876.3638071841158</c:v>
                </c:pt>
                <c:pt idx="9">
                  <c:v>1876.3638071841158</c:v>
                </c:pt>
                <c:pt idx="10">
                  <c:v>1876.3638071841158</c:v>
                </c:pt>
                <c:pt idx="11">
                  <c:v>1876.3638071841158</c:v>
                </c:pt>
                <c:pt idx="12">
                  <c:v>1876.3638071841158</c:v>
                </c:pt>
                <c:pt idx="13">
                  <c:v>1876.3638071841158</c:v>
                </c:pt>
                <c:pt idx="14">
                  <c:v>1876.3638071841158</c:v>
                </c:pt>
                <c:pt idx="15">
                  <c:v>1876.3638071841158</c:v>
                </c:pt>
                <c:pt idx="16">
                  <c:v>1876.3638071841158</c:v>
                </c:pt>
                <c:pt idx="17">
                  <c:v>1876.3638071841158</c:v>
                </c:pt>
                <c:pt idx="18">
                  <c:v>1876.3638071841158</c:v>
                </c:pt>
                <c:pt idx="19">
                  <c:v>1876.3638071841158</c:v>
                </c:pt>
                <c:pt idx="20">
                  <c:v>1876.3638071841158</c:v>
                </c:pt>
              </c:numCache>
            </c:numRef>
          </c:val>
          <c:smooth val="0"/>
          <c:extLst>
            <c:ext xmlns:c16="http://schemas.microsoft.com/office/drawing/2014/chart" uri="{C3380CC4-5D6E-409C-BE32-E72D297353CC}">
              <c16:uniqueId val="{00000044-643F-B046-B955-5C387A7BD02A}"/>
            </c:ext>
          </c:extLst>
        </c:ser>
        <c:ser>
          <c:idx val="4"/>
          <c:order val="6"/>
          <c:tx>
            <c:v>GWP-20, FNG</c:v>
          </c:tx>
          <c:spPr>
            <a:ln w="28575" cap="rnd">
              <a:solidFill>
                <a:srgbClr val="70AD47"/>
              </a:solidFill>
              <a:round/>
            </a:ln>
            <a:effectLst/>
          </c:spPr>
          <c:marker>
            <c:symbol val="none"/>
          </c:marker>
          <c:dLbls>
            <c:dLbl>
              <c:idx val="0"/>
              <c:layout>
                <c:manualLayout>
                  <c:x val="1.2048192771084161E-2"/>
                  <c:y val="-5.0387596899224806E-2"/>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45-643F-B046-B955-5C387A7BD02A}"/>
                </c:ext>
              </c:extLst>
            </c:dLbl>
            <c:dLbl>
              <c:idx val="1"/>
              <c:delete val="1"/>
              <c:extLst>
                <c:ext xmlns:c15="http://schemas.microsoft.com/office/drawing/2012/chart" uri="{CE6537A1-D6FC-4f65-9D91-7224C49458BB}"/>
                <c:ext xmlns:c16="http://schemas.microsoft.com/office/drawing/2014/chart" uri="{C3380CC4-5D6E-409C-BE32-E72D297353CC}">
                  <c16:uniqueId val="{00000046-643F-B046-B955-5C387A7BD02A}"/>
                </c:ext>
              </c:extLst>
            </c:dLbl>
            <c:dLbl>
              <c:idx val="2"/>
              <c:delete val="1"/>
              <c:extLst>
                <c:ext xmlns:c15="http://schemas.microsoft.com/office/drawing/2012/chart" uri="{CE6537A1-D6FC-4f65-9D91-7224C49458BB}"/>
                <c:ext xmlns:c16="http://schemas.microsoft.com/office/drawing/2014/chart" uri="{C3380CC4-5D6E-409C-BE32-E72D297353CC}">
                  <c16:uniqueId val="{00000047-643F-B046-B955-5C387A7BD02A}"/>
                </c:ext>
              </c:extLst>
            </c:dLbl>
            <c:dLbl>
              <c:idx val="3"/>
              <c:delete val="1"/>
              <c:extLst>
                <c:ext xmlns:c15="http://schemas.microsoft.com/office/drawing/2012/chart" uri="{CE6537A1-D6FC-4f65-9D91-7224C49458BB}"/>
                <c:ext xmlns:c16="http://schemas.microsoft.com/office/drawing/2014/chart" uri="{C3380CC4-5D6E-409C-BE32-E72D297353CC}">
                  <c16:uniqueId val="{00000048-643F-B046-B955-5C387A7BD02A}"/>
                </c:ext>
              </c:extLst>
            </c:dLbl>
            <c:dLbl>
              <c:idx val="4"/>
              <c:delete val="1"/>
              <c:extLst>
                <c:ext xmlns:c15="http://schemas.microsoft.com/office/drawing/2012/chart" uri="{CE6537A1-D6FC-4f65-9D91-7224C49458BB}"/>
                <c:ext xmlns:c16="http://schemas.microsoft.com/office/drawing/2014/chart" uri="{C3380CC4-5D6E-409C-BE32-E72D297353CC}">
                  <c16:uniqueId val="{00000049-643F-B046-B955-5C387A7BD02A}"/>
                </c:ext>
              </c:extLst>
            </c:dLbl>
            <c:dLbl>
              <c:idx val="5"/>
              <c:delete val="1"/>
              <c:extLst>
                <c:ext xmlns:c15="http://schemas.microsoft.com/office/drawing/2012/chart" uri="{CE6537A1-D6FC-4f65-9D91-7224C49458BB}"/>
                <c:ext xmlns:c16="http://schemas.microsoft.com/office/drawing/2014/chart" uri="{C3380CC4-5D6E-409C-BE32-E72D297353CC}">
                  <c16:uniqueId val="{0000004A-643F-B046-B955-5C387A7BD02A}"/>
                </c:ext>
              </c:extLst>
            </c:dLbl>
            <c:dLbl>
              <c:idx val="6"/>
              <c:delete val="1"/>
              <c:extLst>
                <c:ext xmlns:c15="http://schemas.microsoft.com/office/drawing/2012/chart" uri="{CE6537A1-D6FC-4f65-9D91-7224C49458BB}"/>
                <c:ext xmlns:c16="http://schemas.microsoft.com/office/drawing/2014/chart" uri="{C3380CC4-5D6E-409C-BE32-E72D297353CC}">
                  <c16:uniqueId val="{0000004B-643F-B046-B955-5C387A7BD02A}"/>
                </c:ext>
              </c:extLst>
            </c:dLbl>
            <c:dLbl>
              <c:idx val="7"/>
              <c:delete val="1"/>
              <c:extLst>
                <c:ext xmlns:c15="http://schemas.microsoft.com/office/drawing/2012/chart" uri="{CE6537A1-D6FC-4f65-9D91-7224C49458BB}"/>
                <c:ext xmlns:c16="http://schemas.microsoft.com/office/drawing/2014/chart" uri="{C3380CC4-5D6E-409C-BE32-E72D297353CC}">
                  <c16:uniqueId val="{0000004C-643F-B046-B955-5C387A7BD02A}"/>
                </c:ext>
              </c:extLst>
            </c:dLbl>
            <c:dLbl>
              <c:idx val="8"/>
              <c:delete val="1"/>
              <c:extLst>
                <c:ext xmlns:c15="http://schemas.microsoft.com/office/drawing/2012/chart" uri="{CE6537A1-D6FC-4f65-9D91-7224C49458BB}"/>
                <c:ext xmlns:c16="http://schemas.microsoft.com/office/drawing/2014/chart" uri="{C3380CC4-5D6E-409C-BE32-E72D297353CC}">
                  <c16:uniqueId val="{0000004D-643F-B046-B955-5C387A7BD02A}"/>
                </c:ext>
              </c:extLst>
            </c:dLbl>
            <c:dLbl>
              <c:idx val="9"/>
              <c:delete val="1"/>
              <c:extLst>
                <c:ext xmlns:c15="http://schemas.microsoft.com/office/drawing/2012/chart" uri="{CE6537A1-D6FC-4f65-9D91-7224C49458BB}"/>
                <c:ext xmlns:c16="http://schemas.microsoft.com/office/drawing/2014/chart" uri="{C3380CC4-5D6E-409C-BE32-E72D297353CC}">
                  <c16:uniqueId val="{0000004E-643F-B046-B955-5C387A7BD02A}"/>
                </c:ext>
              </c:extLst>
            </c:dLbl>
            <c:dLbl>
              <c:idx val="10"/>
              <c:delete val="1"/>
              <c:extLst>
                <c:ext xmlns:c15="http://schemas.microsoft.com/office/drawing/2012/chart" uri="{CE6537A1-D6FC-4f65-9D91-7224C49458BB}"/>
                <c:ext xmlns:c16="http://schemas.microsoft.com/office/drawing/2014/chart" uri="{C3380CC4-5D6E-409C-BE32-E72D297353CC}">
                  <c16:uniqueId val="{0000004F-643F-B046-B955-5C387A7BD02A}"/>
                </c:ext>
              </c:extLst>
            </c:dLbl>
            <c:dLbl>
              <c:idx val="11"/>
              <c:delete val="1"/>
              <c:extLst>
                <c:ext xmlns:c15="http://schemas.microsoft.com/office/drawing/2012/chart" uri="{CE6537A1-D6FC-4f65-9D91-7224C49458BB}"/>
                <c:ext xmlns:c16="http://schemas.microsoft.com/office/drawing/2014/chart" uri="{C3380CC4-5D6E-409C-BE32-E72D297353CC}">
                  <c16:uniqueId val="{00000050-643F-B046-B955-5C387A7BD02A}"/>
                </c:ext>
              </c:extLst>
            </c:dLbl>
            <c:dLbl>
              <c:idx val="12"/>
              <c:delete val="1"/>
              <c:extLst>
                <c:ext xmlns:c15="http://schemas.microsoft.com/office/drawing/2012/chart" uri="{CE6537A1-D6FC-4f65-9D91-7224C49458BB}"/>
                <c:ext xmlns:c16="http://schemas.microsoft.com/office/drawing/2014/chart" uri="{C3380CC4-5D6E-409C-BE32-E72D297353CC}">
                  <c16:uniqueId val="{00000051-643F-B046-B955-5C387A7BD02A}"/>
                </c:ext>
              </c:extLst>
            </c:dLbl>
            <c:dLbl>
              <c:idx val="13"/>
              <c:delete val="1"/>
              <c:extLst>
                <c:ext xmlns:c15="http://schemas.microsoft.com/office/drawing/2012/chart" uri="{CE6537A1-D6FC-4f65-9D91-7224C49458BB}"/>
                <c:ext xmlns:c16="http://schemas.microsoft.com/office/drawing/2014/chart" uri="{C3380CC4-5D6E-409C-BE32-E72D297353CC}">
                  <c16:uniqueId val="{00000052-643F-B046-B955-5C387A7BD02A}"/>
                </c:ext>
              </c:extLst>
            </c:dLbl>
            <c:dLbl>
              <c:idx val="14"/>
              <c:delete val="1"/>
              <c:extLst>
                <c:ext xmlns:c15="http://schemas.microsoft.com/office/drawing/2012/chart" uri="{CE6537A1-D6FC-4f65-9D91-7224C49458BB}"/>
                <c:ext xmlns:c16="http://schemas.microsoft.com/office/drawing/2014/chart" uri="{C3380CC4-5D6E-409C-BE32-E72D297353CC}">
                  <c16:uniqueId val="{00000053-643F-B046-B955-5C387A7BD02A}"/>
                </c:ext>
              </c:extLst>
            </c:dLbl>
            <c:dLbl>
              <c:idx val="15"/>
              <c:delete val="1"/>
              <c:extLst>
                <c:ext xmlns:c15="http://schemas.microsoft.com/office/drawing/2012/chart" uri="{CE6537A1-D6FC-4f65-9D91-7224C49458BB}"/>
                <c:ext xmlns:c16="http://schemas.microsoft.com/office/drawing/2014/chart" uri="{C3380CC4-5D6E-409C-BE32-E72D297353CC}">
                  <c16:uniqueId val="{00000054-643F-B046-B955-5C387A7BD02A}"/>
                </c:ext>
              </c:extLst>
            </c:dLbl>
            <c:dLbl>
              <c:idx val="16"/>
              <c:delete val="1"/>
              <c:extLst>
                <c:ext xmlns:c15="http://schemas.microsoft.com/office/drawing/2012/chart" uri="{CE6537A1-D6FC-4f65-9D91-7224C49458BB}"/>
                <c:ext xmlns:c16="http://schemas.microsoft.com/office/drawing/2014/chart" uri="{C3380CC4-5D6E-409C-BE32-E72D297353CC}">
                  <c16:uniqueId val="{00000055-643F-B046-B955-5C387A7BD02A}"/>
                </c:ext>
              </c:extLst>
            </c:dLbl>
            <c:dLbl>
              <c:idx val="17"/>
              <c:delete val="1"/>
              <c:extLst>
                <c:ext xmlns:c15="http://schemas.microsoft.com/office/drawing/2012/chart" uri="{CE6537A1-D6FC-4f65-9D91-7224C49458BB}"/>
                <c:ext xmlns:c16="http://schemas.microsoft.com/office/drawing/2014/chart" uri="{C3380CC4-5D6E-409C-BE32-E72D297353CC}">
                  <c16:uniqueId val="{00000056-643F-B046-B955-5C387A7BD02A}"/>
                </c:ext>
              </c:extLst>
            </c:dLbl>
            <c:dLbl>
              <c:idx val="18"/>
              <c:delete val="1"/>
              <c:extLst>
                <c:ext xmlns:c15="http://schemas.microsoft.com/office/drawing/2012/chart" uri="{CE6537A1-D6FC-4f65-9D91-7224C49458BB}"/>
                <c:ext xmlns:c16="http://schemas.microsoft.com/office/drawing/2014/chart" uri="{C3380CC4-5D6E-409C-BE32-E72D297353CC}">
                  <c16:uniqueId val="{00000057-643F-B046-B955-5C387A7BD02A}"/>
                </c:ext>
              </c:extLst>
            </c:dLbl>
            <c:dLbl>
              <c:idx val="19"/>
              <c:delete val="1"/>
              <c:extLst>
                <c:ext xmlns:c15="http://schemas.microsoft.com/office/drawing/2012/chart" uri="{CE6537A1-D6FC-4f65-9D91-7224C49458BB}"/>
                <c:ext xmlns:c16="http://schemas.microsoft.com/office/drawing/2014/chart" uri="{C3380CC4-5D6E-409C-BE32-E72D297353CC}">
                  <c16:uniqueId val="{00000058-643F-B046-B955-5C387A7BD02A}"/>
                </c:ext>
              </c:extLst>
            </c:dLbl>
            <c:dLbl>
              <c:idx val="20"/>
              <c:delete val="1"/>
              <c:extLst>
                <c:ext xmlns:c15="http://schemas.microsoft.com/office/drawing/2012/chart" uri="{CE6537A1-D6FC-4f65-9D91-7224C49458BB}"/>
                <c:ext xmlns:c16="http://schemas.microsoft.com/office/drawing/2014/chart" uri="{C3380CC4-5D6E-409C-BE32-E72D297353CC}">
                  <c16:uniqueId val="{00000059-643F-B046-B955-5C387A7BD02A}"/>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'Figure 2 - vented vs intl prod'!$R$60:$R$80</c:f>
              <c:numCache>
                <c:formatCode>0</c:formatCode>
                <c:ptCount val="21"/>
                <c:pt idx="0">
                  <c:v>1906.8058424239573</c:v>
                </c:pt>
                <c:pt idx="1">
                  <c:v>1906.8058424239573</c:v>
                </c:pt>
                <c:pt idx="2">
                  <c:v>1906.8058424239573</c:v>
                </c:pt>
                <c:pt idx="3">
                  <c:v>1906.8058424239573</c:v>
                </c:pt>
                <c:pt idx="4">
                  <c:v>1906.8058424239573</c:v>
                </c:pt>
                <c:pt idx="5">
                  <c:v>1906.8058424239573</c:v>
                </c:pt>
                <c:pt idx="6">
                  <c:v>1906.8058424239573</c:v>
                </c:pt>
                <c:pt idx="7">
                  <c:v>1906.8058424239573</c:v>
                </c:pt>
                <c:pt idx="8">
                  <c:v>1906.8058424239573</c:v>
                </c:pt>
                <c:pt idx="9">
                  <c:v>1906.8058424239573</c:v>
                </c:pt>
                <c:pt idx="10">
                  <c:v>1906.8058424239573</c:v>
                </c:pt>
                <c:pt idx="11">
                  <c:v>1906.8058424239573</c:v>
                </c:pt>
                <c:pt idx="12">
                  <c:v>1906.8058424239573</c:v>
                </c:pt>
                <c:pt idx="13">
                  <c:v>1906.8058424239573</c:v>
                </c:pt>
                <c:pt idx="14">
                  <c:v>1906.8058424239573</c:v>
                </c:pt>
                <c:pt idx="15">
                  <c:v>1906.8058424239573</c:v>
                </c:pt>
                <c:pt idx="16">
                  <c:v>1906.8058424239573</c:v>
                </c:pt>
                <c:pt idx="17">
                  <c:v>1906.8058424239573</c:v>
                </c:pt>
                <c:pt idx="18">
                  <c:v>1906.8058424239573</c:v>
                </c:pt>
                <c:pt idx="19">
                  <c:v>1906.8058424239573</c:v>
                </c:pt>
                <c:pt idx="20">
                  <c:v>1906.8058424239573</c:v>
                </c:pt>
              </c:numCache>
            </c:numRef>
          </c:val>
          <c:smooth val="0"/>
          <c:extLst>
            <c:ext xmlns:c16="http://schemas.microsoft.com/office/drawing/2014/chart" uri="{C3380CC4-5D6E-409C-BE32-E72D297353CC}">
              <c16:uniqueId val="{0000005A-643F-B046-B955-5C387A7BD02A}"/>
            </c:ext>
          </c:extLst>
        </c:ser>
        <c:dLbls>
          <c:showLegendKey val="0"/>
          <c:showVal val="0"/>
          <c:showCatName val="0"/>
          <c:showSerName val="0"/>
          <c:showPercent val="0"/>
          <c:showBubbleSize val="0"/>
        </c:dLbls>
        <c:marker val="1"/>
        <c:smooth val="0"/>
        <c:axId val="200612992"/>
        <c:axId val="170515008"/>
      </c:lineChart>
      <c:catAx>
        <c:axId val="200612992"/>
        <c:scaling>
          <c:orientation val="maxMin"/>
        </c:scaling>
        <c:delete val="0"/>
        <c:axPos val="b"/>
        <c:title>
          <c:tx>
            <c:rich>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en-US"/>
                  <a:t>Share of intentionally produced CO</a:t>
                </a:r>
                <a:r>
                  <a:rPr lang="en-US" baseline="-25000"/>
                  <a:t>2</a:t>
                </a:r>
                <a:r>
                  <a:rPr lang="en-US"/>
                  <a:t>-neutral methane</a:t>
                </a:r>
              </a:p>
            </c:rich>
          </c:tx>
          <c:overlay val="0"/>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70515008"/>
        <c:crosses val="autoZero"/>
        <c:auto val="0"/>
        <c:lblAlgn val="ctr"/>
        <c:lblOffset val="100"/>
        <c:tickLblSkip val="2"/>
        <c:tickMarkSkip val="1"/>
        <c:noMultiLvlLbl val="0"/>
      </c:catAx>
      <c:valAx>
        <c:axId val="170515008"/>
        <c:scaling>
          <c:orientation val="minMax"/>
          <c:max val="2300"/>
          <c:min val="0"/>
        </c:scaling>
        <c:delete val="0"/>
        <c:axPos val="l"/>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en-US" sz="1600" b="0" i="0" baseline="0">
                    <a:effectLst/>
                  </a:rPr>
                  <a:t>kg CO</a:t>
                </a:r>
                <a:r>
                  <a:rPr lang="en-US" sz="1600" b="0" i="0" baseline="-25000">
                    <a:effectLst/>
                  </a:rPr>
                  <a:t>2</a:t>
                </a:r>
                <a:r>
                  <a:rPr lang="en-US" sz="1600" b="0" i="0" baseline="0">
                    <a:effectLst/>
                  </a:rPr>
                  <a:t>e/GJ consumed</a:t>
                </a:r>
                <a:endParaRPr lang="en-US" sz="1600">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crossAx val="200612992"/>
        <c:crosses val="max"/>
        <c:crossBetween val="between"/>
        <c:majorUnit val="100"/>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sz="1600">
          <a:solidFill>
            <a:schemeClr val="tx1"/>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417729526994205"/>
          <c:y val="0.12390035565080994"/>
          <c:w val="0.68560165069727719"/>
          <c:h val="0.76531330100130923"/>
        </c:manualLayout>
      </c:layout>
      <c:areaChart>
        <c:grouping val="standard"/>
        <c:varyColors val="0"/>
        <c:ser>
          <c:idx val="6"/>
          <c:order val="0"/>
          <c:tx>
            <c:v>GWP-100, 0-15% leakage</c:v>
          </c:tx>
          <c:spPr>
            <a:solidFill>
              <a:srgbClr val="5B9BD5">
                <a:lumMod val="60000"/>
                <a:lumOff val="40000"/>
              </a:srgbClr>
            </a:solidFill>
            <a:ln>
              <a:noFill/>
            </a:ln>
            <a:effectLst/>
          </c:spPr>
          <c:dLbls>
            <c:dLbl>
              <c:idx val="0"/>
              <c:delete val="1"/>
              <c:extLst>
                <c:ext xmlns:c15="http://schemas.microsoft.com/office/drawing/2012/chart" uri="{CE6537A1-D6FC-4f65-9D91-7224C49458BB}"/>
                <c:ext xmlns:c16="http://schemas.microsoft.com/office/drawing/2014/chart" uri="{C3380CC4-5D6E-409C-BE32-E72D297353CC}">
                  <c16:uniqueId val="{00000000-49A1-0F4B-86E3-96A9159B40FF}"/>
                </c:ext>
              </c:extLst>
            </c:dLbl>
            <c:dLbl>
              <c:idx val="1"/>
              <c:delete val="1"/>
              <c:extLst>
                <c:ext xmlns:c15="http://schemas.microsoft.com/office/drawing/2012/chart" uri="{CE6537A1-D6FC-4f65-9D91-7224C49458BB}"/>
                <c:ext xmlns:c16="http://schemas.microsoft.com/office/drawing/2014/chart" uri="{C3380CC4-5D6E-409C-BE32-E72D297353CC}">
                  <c16:uniqueId val="{00000001-49A1-0F4B-86E3-96A9159B40FF}"/>
                </c:ext>
              </c:extLst>
            </c:dLbl>
            <c:dLbl>
              <c:idx val="2"/>
              <c:delete val="1"/>
              <c:extLst>
                <c:ext xmlns:c15="http://schemas.microsoft.com/office/drawing/2012/chart" uri="{CE6537A1-D6FC-4f65-9D91-7224C49458BB}"/>
                <c:ext xmlns:c16="http://schemas.microsoft.com/office/drawing/2014/chart" uri="{C3380CC4-5D6E-409C-BE32-E72D297353CC}">
                  <c16:uniqueId val="{00000002-49A1-0F4B-86E3-96A9159B40FF}"/>
                </c:ext>
              </c:extLst>
            </c:dLbl>
            <c:dLbl>
              <c:idx val="3"/>
              <c:delete val="1"/>
              <c:extLst>
                <c:ext xmlns:c15="http://schemas.microsoft.com/office/drawing/2012/chart" uri="{CE6537A1-D6FC-4f65-9D91-7224C49458BB}"/>
                <c:ext xmlns:c16="http://schemas.microsoft.com/office/drawing/2014/chart" uri="{C3380CC4-5D6E-409C-BE32-E72D297353CC}">
                  <c16:uniqueId val="{00000003-49A1-0F4B-86E3-96A9159B40FF}"/>
                </c:ext>
              </c:extLst>
            </c:dLbl>
            <c:dLbl>
              <c:idx val="4"/>
              <c:delete val="1"/>
              <c:extLst>
                <c:ext xmlns:c15="http://schemas.microsoft.com/office/drawing/2012/chart" uri="{CE6537A1-D6FC-4f65-9D91-7224C49458BB}"/>
                <c:ext xmlns:c16="http://schemas.microsoft.com/office/drawing/2014/chart" uri="{C3380CC4-5D6E-409C-BE32-E72D297353CC}">
                  <c16:uniqueId val="{00000004-49A1-0F4B-86E3-96A9159B40FF}"/>
                </c:ext>
              </c:extLst>
            </c:dLbl>
            <c:dLbl>
              <c:idx val="5"/>
              <c:delete val="1"/>
              <c:extLst>
                <c:ext xmlns:c15="http://schemas.microsoft.com/office/drawing/2012/chart" uri="{CE6537A1-D6FC-4f65-9D91-7224C49458BB}"/>
                <c:ext xmlns:c16="http://schemas.microsoft.com/office/drawing/2014/chart" uri="{C3380CC4-5D6E-409C-BE32-E72D297353CC}">
                  <c16:uniqueId val="{00000005-49A1-0F4B-86E3-96A9159B40FF}"/>
                </c:ext>
              </c:extLst>
            </c:dLbl>
            <c:dLbl>
              <c:idx val="6"/>
              <c:delete val="1"/>
              <c:extLst>
                <c:ext xmlns:c15="http://schemas.microsoft.com/office/drawing/2012/chart" uri="{CE6537A1-D6FC-4f65-9D91-7224C49458BB}"/>
                <c:ext xmlns:c16="http://schemas.microsoft.com/office/drawing/2014/chart" uri="{C3380CC4-5D6E-409C-BE32-E72D297353CC}">
                  <c16:uniqueId val="{00000006-49A1-0F4B-86E3-96A9159B40FF}"/>
                </c:ext>
              </c:extLst>
            </c:dLbl>
            <c:dLbl>
              <c:idx val="7"/>
              <c:delete val="1"/>
              <c:extLst>
                <c:ext xmlns:c15="http://schemas.microsoft.com/office/drawing/2012/chart" uri="{CE6537A1-D6FC-4f65-9D91-7224C49458BB}"/>
                <c:ext xmlns:c16="http://schemas.microsoft.com/office/drawing/2014/chart" uri="{C3380CC4-5D6E-409C-BE32-E72D297353CC}">
                  <c16:uniqueId val="{00000007-49A1-0F4B-86E3-96A9159B40FF}"/>
                </c:ext>
              </c:extLst>
            </c:dLbl>
            <c:dLbl>
              <c:idx val="8"/>
              <c:delete val="1"/>
              <c:extLst>
                <c:ext xmlns:c15="http://schemas.microsoft.com/office/drawing/2012/chart" uri="{CE6537A1-D6FC-4f65-9D91-7224C49458BB}"/>
                <c:ext xmlns:c16="http://schemas.microsoft.com/office/drawing/2014/chart" uri="{C3380CC4-5D6E-409C-BE32-E72D297353CC}">
                  <c16:uniqueId val="{00000008-49A1-0F4B-86E3-96A9159B40FF}"/>
                </c:ext>
              </c:extLst>
            </c:dLbl>
            <c:dLbl>
              <c:idx val="9"/>
              <c:layout>
                <c:manualLayout>
                  <c:x val="0.1052710683124068"/>
                  <c:y val="-2.5162399497299894E-2"/>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49A1-0F4B-86E3-96A9159B40FF}"/>
                </c:ext>
              </c:extLst>
            </c:dLbl>
            <c:dLbl>
              <c:idx val="10"/>
              <c:delete val="1"/>
              <c:extLst>
                <c:ext xmlns:c15="http://schemas.microsoft.com/office/drawing/2012/chart" uri="{CE6537A1-D6FC-4f65-9D91-7224C49458BB}"/>
                <c:ext xmlns:c16="http://schemas.microsoft.com/office/drawing/2014/chart" uri="{C3380CC4-5D6E-409C-BE32-E72D297353CC}">
                  <c16:uniqueId val="{0000000A-49A1-0F4B-86E3-96A9159B40FF}"/>
                </c:ext>
              </c:extLst>
            </c:dLbl>
            <c:dLbl>
              <c:idx val="11"/>
              <c:delete val="1"/>
              <c:extLst>
                <c:ext xmlns:c15="http://schemas.microsoft.com/office/drawing/2012/chart" uri="{CE6537A1-D6FC-4f65-9D91-7224C49458BB}"/>
                <c:ext xmlns:c16="http://schemas.microsoft.com/office/drawing/2014/chart" uri="{C3380CC4-5D6E-409C-BE32-E72D297353CC}">
                  <c16:uniqueId val="{0000000B-49A1-0F4B-86E3-96A9159B40FF}"/>
                </c:ext>
              </c:extLst>
            </c:dLbl>
            <c:dLbl>
              <c:idx val="12"/>
              <c:delete val="1"/>
              <c:extLst>
                <c:ext xmlns:c15="http://schemas.microsoft.com/office/drawing/2012/chart" uri="{CE6537A1-D6FC-4f65-9D91-7224C49458BB}"/>
                <c:ext xmlns:c16="http://schemas.microsoft.com/office/drawing/2014/chart" uri="{C3380CC4-5D6E-409C-BE32-E72D297353CC}">
                  <c16:uniqueId val="{0000000C-49A1-0F4B-86E3-96A9159B40FF}"/>
                </c:ext>
              </c:extLst>
            </c:dLbl>
            <c:dLbl>
              <c:idx val="13"/>
              <c:delete val="1"/>
              <c:extLst>
                <c:ext xmlns:c15="http://schemas.microsoft.com/office/drawing/2012/chart" uri="{CE6537A1-D6FC-4f65-9D91-7224C49458BB}"/>
                <c:ext xmlns:c16="http://schemas.microsoft.com/office/drawing/2014/chart" uri="{C3380CC4-5D6E-409C-BE32-E72D297353CC}">
                  <c16:uniqueId val="{0000000D-49A1-0F4B-86E3-96A9159B40FF}"/>
                </c:ext>
              </c:extLst>
            </c:dLbl>
            <c:dLbl>
              <c:idx val="14"/>
              <c:delete val="1"/>
              <c:extLst>
                <c:ext xmlns:c15="http://schemas.microsoft.com/office/drawing/2012/chart" uri="{CE6537A1-D6FC-4f65-9D91-7224C49458BB}"/>
                <c:ext xmlns:c16="http://schemas.microsoft.com/office/drawing/2014/chart" uri="{C3380CC4-5D6E-409C-BE32-E72D297353CC}">
                  <c16:uniqueId val="{0000000E-49A1-0F4B-86E3-96A9159B40FF}"/>
                </c:ext>
              </c:extLst>
            </c:dLbl>
            <c:dLbl>
              <c:idx val="15"/>
              <c:delete val="1"/>
              <c:extLst>
                <c:ext xmlns:c15="http://schemas.microsoft.com/office/drawing/2012/chart" uri="{CE6537A1-D6FC-4f65-9D91-7224C49458BB}"/>
                <c:ext xmlns:c16="http://schemas.microsoft.com/office/drawing/2014/chart" uri="{C3380CC4-5D6E-409C-BE32-E72D297353CC}">
                  <c16:uniqueId val="{0000000F-49A1-0F4B-86E3-96A9159B40FF}"/>
                </c:ext>
              </c:extLst>
            </c:dLbl>
            <c:dLbl>
              <c:idx val="16"/>
              <c:delete val="1"/>
              <c:extLst>
                <c:ext xmlns:c15="http://schemas.microsoft.com/office/drawing/2012/chart" uri="{CE6537A1-D6FC-4f65-9D91-7224C49458BB}"/>
                <c:ext xmlns:c16="http://schemas.microsoft.com/office/drawing/2014/chart" uri="{C3380CC4-5D6E-409C-BE32-E72D297353CC}">
                  <c16:uniqueId val="{00000010-49A1-0F4B-86E3-96A9159B40FF}"/>
                </c:ext>
              </c:extLst>
            </c:dLbl>
            <c:dLbl>
              <c:idx val="17"/>
              <c:delete val="1"/>
              <c:extLst>
                <c:ext xmlns:c15="http://schemas.microsoft.com/office/drawing/2012/chart" uri="{CE6537A1-D6FC-4f65-9D91-7224C49458BB}"/>
                <c:ext xmlns:c16="http://schemas.microsoft.com/office/drawing/2014/chart" uri="{C3380CC4-5D6E-409C-BE32-E72D297353CC}">
                  <c16:uniqueId val="{00000011-49A1-0F4B-86E3-96A9159B40FF}"/>
                </c:ext>
              </c:extLst>
            </c:dLbl>
            <c:dLbl>
              <c:idx val="18"/>
              <c:delete val="1"/>
              <c:extLst>
                <c:ext xmlns:c15="http://schemas.microsoft.com/office/drawing/2012/chart" uri="{CE6537A1-D6FC-4f65-9D91-7224C49458BB}"/>
                <c:ext xmlns:c16="http://schemas.microsoft.com/office/drawing/2014/chart" uri="{C3380CC4-5D6E-409C-BE32-E72D297353CC}">
                  <c16:uniqueId val="{00000012-49A1-0F4B-86E3-96A9159B40FF}"/>
                </c:ext>
              </c:extLst>
            </c:dLbl>
            <c:dLbl>
              <c:idx val="19"/>
              <c:delete val="1"/>
              <c:extLst>
                <c:ext xmlns:c15="http://schemas.microsoft.com/office/drawing/2012/chart" uri="{CE6537A1-D6FC-4f65-9D91-7224C49458BB}"/>
                <c:ext xmlns:c16="http://schemas.microsoft.com/office/drawing/2014/chart" uri="{C3380CC4-5D6E-409C-BE32-E72D297353CC}">
                  <c16:uniqueId val="{00000013-49A1-0F4B-86E3-96A9159B40FF}"/>
                </c:ext>
              </c:extLst>
            </c:dLbl>
            <c:dLbl>
              <c:idx val="20"/>
              <c:delete val="1"/>
              <c:extLst>
                <c:ext xmlns:c15="http://schemas.microsoft.com/office/drawing/2012/chart" uri="{CE6537A1-D6FC-4f65-9D91-7224C49458BB}"/>
                <c:ext xmlns:c16="http://schemas.microsoft.com/office/drawing/2014/chart" uri="{C3380CC4-5D6E-409C-BE32-E72D297353CC}">
                  <c16:uniqueId val="{00000014-49A1-0F4B-86E3-96A9159B40FF}"/>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1"/>
            <c:showCatName val="0"/>
            <c:showSerName val="1"/>
            <c:showPercent val="0"/>
            <c:showBubbleSize val="0"/>
            <c:showLeaderLines val="0"/>
            <c:extLst>
              <c:ext xmlns:c15="http://schemas.microsoft.com/office/drawing/2012/chart" uri="{CE6537A1-D6FC-4f65-9D91-7224C49458BB}">
                <c15:showLeaderLines val="0"/>
              </c:ext>
            </c:extLst>
          </c:dLbls>
          <c:cat>
            <c:numRef>
              <c:f>'Figure 3 - 99% eff flare'!$A$60:$A$80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3 - 99% eff flare'!$H$60:$H$80</c:f>
              <c:numCache>
                <c:formatCode>0</c:formatCode>
                <c:ptCount val="21"/>
                <c:pt idx="0">
                  <c:v>170</c:v>
                </c:pt>
                <c:pt idx="1">
                  <c:v>169.60000000000002</c:v>
                </c:pt>
                <c:pt idx="2">
                  <c:v>169.2</c:v>
                </c:pt>
                <c:pt idx="3">
                  <c:v>168.8</c:v>
                </c:pt>
                <c:pt idx="4">
                  <c:v>168.39999999999998</c:v>
                </c:pt>
                <c:pt idx="5">
                  <c:v>168</c:v>
                </c:pt>
                <c:pt idx="6">
                  <c:v>167.6</c:v>
                </c:pt>
                <c:pt idx="7">
                  <c:v>167.2</c:v>
                </c:pt>
                <c:pt idx="8">
                  <c:v>166.79999999999998</c:v>
                </c:pt>
                <c:pt idx="9">
                  <c:v>166.4</c:v>
                </c:pt>
                <c:pt idx="10">
                  <c:v>166</c:v>
                </c:pt>
                <c:pt idx="11">
                  <c:v>165.6</c:v>
                </c:pt>
                <c:pt idx="12">
                  <c:v>165.2</c:v>
                </c:pt>
                <c:pt idx="13">
                  <c:v>164.79999999999998</c:v>
                </c:pt>
                <c:pt idx="14">
                  <c:v>164.39999999999998</c:v>
                </c:pt>
                <c:pt idx="15">
                  <c:v>164</c:v>
                </c:pt>
                <c:pt idx="16">
                  <c:v>163.59999999999997</c:v>
                </c:pt>
                <c:pt idx="17">
                  <c:v>163.19999999999999</c:v>
                </c:pt>
                <c:pt idx="18">
                  <c:v>162.79999999999998</c:v>
                </c:pt>
                <c:pt idx="19">
                  <c:v>162.39999999999998</c:v>
                </c:pt>
                <c:pt idx="20">
                  <c:v>161.99999999999997</c:v>
                </c:pt>
              </c:numCache>
            </c:numRef>
          </c:val>
          <c:extLst>
            <c:ext xmlns:c16="http://schemas.microsoft.com/office/drawing/2014/chart" uri="{C3380CC4-5D6E-409C-BE32-E72D297353CC}">
              <c16:uniqueId val="{00000015-49A1-0F4B-86E3-96A9159B40FF}"/>
            </c:ext>
          </c:extLst>
        </c:ser>
        <c:ser>
          <c:idx val="13"/>
          <c:order val="1"/>
          <c:tx>
            <c:v>GWP-100, no leakage</c:v>
          </c:tx>
          <c:spPr>
            <a:solidFill>
              <a:sysClr val="window" lastClr="FFFFFF"/>
            </a:solidFill>
            <a:ln>
              <a:noFill/>
            </a:ln>
            <a:effectLst/>
          </c:spPr>
          <c:cat>
            <c:numRef>
              <c:f>'Figure 3 - 99% eff flare'!$A$60:$A$80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3 - 99% eff flare'!$B$60:$B$80</c:f>
              <c:numCache>
                <c:formatCode>0</c:formatCode>
                <c:ptCount val="21"/>
                <c:pt idx="0">
                  <c:v>50</c:v>
                </c:pt>
                <c:pt idx="1">
                  <c:v>49.66</c:v>
                </c:pt>
                <c:pt idx="2">
                  <c:v>49.32</c:v>
                </c:pt>
                <c:pt idx="3">
                  <c:v>48.98</c:v>
                </c:pt>
                <c:pt idx="4">
                  <c:v>48.64</c:v>
                </c:pt>
                <c:pt idx="5">
                  <c:v>48.3</c:v>
                </c:pt>
                <c:pt idx="6">
                  <c:v>47.959999999999994</c:v>
                </c:pt>
                <c:pt idx="7">
                  <c:v>47.62</c:v>
                </c:pt>
                <c:pt idx="8">
                  <c:v>47.279999999999994</c:v>
                </c:pt>
                <c:pt idx="9">
                  <c:v>46.94</c:v>
                </c:pt>
                <c:pt idx="10">
                  <c:v>46.599999999999994</c:v>
                </c:pt>
                <c:pt idx="11">
                  <c:v>46.259999999999991</c:v>
                </c:pt>
                <c:pt idx="12">
                  <c:v>45.919999999999995</c:v>
                </c:pt>
                <c:pt idx="13">
                  <c:v>45.579999999999991</c:v>
                </c:pt>
                <c:pt idx="14">
                  <c:v>45.239999999999995</c:v>
                </c:pt>
                <c:pt idx="15">
                  <c:v>44.899999999999991</c:v>
                </c:pt>
                <c:pt idx="16">
                  <c:v>44.559999999999995</c:v>
                </c:pt>
                <c:pt idx="17">
                  <c:v>44.219999999999992</c:v>
                </c:pt>
                <c:pt idx="18">
                  <c:v>43.879999999999995</c:v>
                </c:pt>
                <c:pt idx="19">
                  <c:v>43.539999999999992</c:v>
                </c:pt>
                <c:pt idx="20">
                  <c:v>43.199999999999989</c:v>
                </c:pt>
              </c:numCache>
            </c:numRef>
          </c:val>
          <c:extLst>
            <c:ext xmlns:c16="http://schemas.microsoft.com/office/drawing/2014/chart" uri="{C3380CC4-5D6E-409C-BE32-E72D297353CC}">
              <c16:uniqueId val="{00000016-49A1-0F4B-86E3-96A9159B40FF}"/>
            </c:ext>
          </c:extLst>
        </c:ser>
        <c:ser>
          <c:idx val="1"/>
          <c:order val="2"/>
          <c:tx>
            <c:v>GWP-20, 0-15% leakage</c:v>
          </c:tx>
          <c:spPr>
            <a:solidFill>
              <a:srgbClr val="70AD47">
                <a:lumMod val="60000"/>
                <a:lumOff val="40000"/>
                <a:alpha val="70000"/>
              </a:srgbClr>
            </a:solidFill>
            <a:ln>
              <a:noFill/>
            </a:ln>
            <a:effectLst/>
          </c:spPr>
          <c:dLbls>
            <c:dLbl>
              <c:idx val="0"/>
              <c:delete val="1"/>
              <c:extLst>
                <c:ext xmlns:c15="http://schemas.microsoft.com/office/drawing/2012/chart" uri="{CE6537A1-D6FC-4f65-9D91-7224C49458BB}"/>
                <c:ext xmlns:c16="http://schemas.microsoft.com/office/drawing/2014/chart" uri="{C3380CC4-5D6E-409C-BE32-E72D297353CC}">
                  <c16:uniqueId val="{00000017-49A1-0F4B-86E3-96A9159B40FF}"/>
                </c:ext>
              </c:extLst>
            </c:dLbl>
            <c:dLbl>
              <c:idx val="1"/>
              <c:delete val="1"/>
              <c:extLst>
                <c:ext xmlns:c15="http://schemas.microsoft.com/office/drawing/2012/chart" uri="{CE6537A1-D6FC-4f65-9D91-7224C49458BB}"/>
                <c:ext xmlns:c16="http://schemas.microsoft.com/office/drawing/2014/chart" uri="{C3380CC4-5D6E-409C-BE32-E72D297353CC}">
                  <c16:uniqueId val="{00000018-49A1-0F4B-86E3-96A9159B40FF}"/>
                </c:ext>
              </c:extLst>
            </c:dLbl>
            <c:dLbl>
              <c:idx val="2"/>
              <c:delete val="1"/>
              <c:extLst>
                <c:ext xmlns:c15="http://schemas.microsoft.com/office/drawing/2012/chart" uri="{CE6537A1-D6FC-4f65-9D91-7224C49458BB}"/>
                <c:ext xmlns:c16="http://schemas.microsoft.com/office/drawing/2014/chart" uri="{C3380CC4-5D6E-409C-BE32-E72D297353CC}">
                  <c16:uniqueId val="{00000019-49A1-0F4B-86E3-96A9159B40FF}"/>
                </c:ext>
              </c:extLst>
            </c:dLbl>
            <c:dLbl>
              <c:idx val="3"/>
              <c:delete val="1"/>
              <c:extLst>
                <c:ext xmlns:c15="http://schemas.microsoft.com/office/drawing/2012/chart" uri="{CE6537A1-D6FC-4f65-9D91-7224C49458BB}"/>
                <c:ext xmlns:c16="http://schemas.microsoft.com/office/drawing/2014/chart" uri="{C3380CC4-5D6E-409C-BE32-E72D297353CC}">
                  <c16:uniqueId val="{0000001A-49A1-0F4B-86E3-96A9159B40FF}"/>
                </c:ext>
              </c:extLst>
            </c:dLbl>
            <c:dLbl>
              <c:idx val="4"/>
              <c:delete val="1"/>
              <c:extLst>
                <c:ext xmlns:c15="http://schemas.microsoft.com/office/drawing/2012/chart" uri="{CE6537A1-D6FC-4f65-9D91-7224C49458BB}"/>
                <c:ext xmlns:c16="http://schemas.microsoft.com/office/drawing/2014/chart" uri="{C3380CC4-5D6E-409C-BE32-E72D297353CC}">
                  <c16:uniqueId val="{0000001B-49A1-0F4B-86E3-96A9159B40FF}"/>
                </c:ext>
              </c:extLst>
            </c:dLbl>
            <c:dLbl>
              <c:idx val="5"/>
              <c:delete val="1"/>
              <c:extLst>
                <c:ext xmlns:c15="http://schemas.microsoft.com/office/drawing/2012/chart" uri="{CE6537A1-D6FC-4f65-9D91-7224C49458BB}"/>
                <c:ext xmlns:c16="http://schemas.microsoft.com/office/drawing/2014/chart" uri="{C3380CC4-5D6E-409C-BE32-E72D297353CC}">
                  <c16:uniqueId val="{0000001C-49A1-0F4B-86E3-96A9159B40FF}"/>
                </c:ext>
              </c:extLst>
            </c:dLbl>
            <c:dLbl>
              <c:idx val="6"/>
              <c:delete val="1"/>
              <c:extLst>
                <c:ext xmlns:c15="http://schemas.microsoft.com/office/drawing/2012/chart" uri="{CE6537A1-D6FC-4f65-9D91-7224C49458BB}"/>
                <c:ext xmlns:c16="http://schemas.microsoft.com/office/drawing/2014/chart" uri="{C3380CC4-5D6E-409C-BE32-E72D297353CC}">
                  <c16:uniqueId val="{0000001D-49A1-0F4B-86E3-96A9159B40FF}"/>
                </c:ext>
              </c:extLst>
            </c:dLbl>
            <c:dLbl>
              <c:idx val="7"/>
              <c:delete val="1"/>
              <c:extLst>
                <c:ext xmlns:c15="http://schemas.microsoft.com/office/drawing/2012/chart" uri="{CE6537A1-D6FC-4f65-9D91-7224C49458BB}"/>
                <c:ext xmlns:c16="http://schemas.microsoft.com/office/drawing/2014/chart" uri="{C3380CC4-5D6E-409C-BE32-E72D297353CC}">
                  <c16:uniqueId val="{0000001E-49A1-0F4B-86E3-96A9159B40FF}"/>
                </c:ext>
              </c:extLst>
            </c:dLbl>
            <c:dLbl>
              <c:idx val="8"/>
              <c:delete val="1"/>
              <c:extLst>
                <c:ext xmlns:c15="http://schemas.microsoft.com/office/drawing/2012/chart" uri="{CE6537A1-D6FC-4f65-9D91-7224C49458BB}"/>
                <c:ext xmlns:c16="http://schemas.microsoft.com/office/drawing/2014/chart" uri="{C3380CC4-5D6E-409C-BE32-E72D297353CC}">
                  <c16:uniqueId val="{0000001F-49A1-0F4B-86E3-96A9159B40FF}"/>
                </c:ext>
              </c:extLst>
            </c:dLbl>
            <c:dLbl>
              <c:idx val="9"/>
              <c:delete val="1"/>
              <c:extLst>
                <c:ext xmlns:c15="http://schemas.microsoft.com/office/drawing/2012/chart" uri="{CE6537A1-D6FC-4f65-9D91-7224C49458BB}"/>
                <c:ext xmlns:c16="http://schemas.microsoft.com/office/drawing/2014/chart" uri="{C3380CC4-5D6E-409C-BE32-E72D297353CC}">
                  <c16:uniqueId val="{00000020-49A1-0F4B-86E3-96A9159B40FF}"/>
                </c:ext>
              </c:extLst>
            </c:dLbl>
            <c:dLbl>
              <c:idx val="10"/>
              <c:delete val="1"/>
              <c:extLst>
                <c:ext xmlns:c15="http://schemas.microsoft.com/office/drawing/2012/chart" uri="{CE6537A1-D6FC-4f65-9D91-7224C49458BB}"/>
                <c:ext xmlns:c16="http://schemas.microsoft.com/office/drawing/2014/chart" uri="{C3380CC4-5D6E-409C-BE32-E72D297353CC}">
                  <c16:uniqueId val="{00000021-49A1-0F4B-86E3-96A9159B40FF}"/>
                </c:ext>
              </c:extLst>
            </c:dLbl>
            <c:dLbl>
              <c:idx val="11"/>
              <c:delete val="1"/>
              <c:extLst>
                <c:ext xmlns:c15="http://schemas.microsoft.com/office/drawing/2012/chart" uri="{CE6537A1-D6FC-4f65-9D91-7224C49458BB}"/>
                <c:ext xmlns:c16="http://schemas.microsoft.com/office/drawing/2014/chart" uri="{C3380CC4-5D6E-409C-BE32-E72D297353CC}">
                  <c16:uniqueId val="{00000022-49A1-0F4B-86E3-96A9159B40FF}"/>
                </c:ext>
              </c:extLst>
            </c:dLbl>
            <c:dLbl>
              <c:idx val="12"/>
              <c:layout>
                <c:manualLayout>
                  <c:x val="-7.0998198704891619E-3"/>
                  <c:y val="-0.13724940983063114"/>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23-49A1-0F4B-86E3-96A9159B40FF}"/>
                </c:ext>
              </c:extLst>
            </c:dLbl>
            <c:dLbl>
              <c:idx val="13"/>
              <c:delete val="1"/>
              <c:extLst>
                <c:ext xmlns:c15="http://schemas.microsoft.com/office/drawing/2012/chart" uri="{CE6537A1-D6FC-4f65-9D91-7224C49458BB}"/>
                <c:ext xmlns:c16="http://schemas.microsoft.com/office/drawing/2014/chart" uri="{C3380CC4-5D6E-409C-BE32-E72D297353CC}">
                  <c16:uniqueId val="{00000024-49A1-0F4B-86E3-96A9159B40FF}"/>
                </c:ext>
              </c:extLst>
            </c:dLbl>
            <c:dLbl>
              <c:idx val="14"/>
              <c:delete val="1"/>
              <c:extLst>
                <c:ext xmlns:c15="http://schemas.microsoft.com/office/drawing/2012/chart" uri="{CE6537A1-D6FC-4f65-9D91-7224C49458BB}"/>
                <c:ext xmlns:c16="http://schemas.microsoft.com/office/drawing/2014/chart" uri="{C3380CC4-5D6E-409C-BE32-E72D297353CC}">
                  <c16:uniqueId val="{00000025-49A1-0F4B-86E3-96A9159B40FF}"/>
                </c:ext>
              </c:extLst>
            </c:dLbl>
            <c:dLbl>
              <c:idx val="15"/>
              <c:delete val="1"/>
              <c:extLst>
                <c:ext xmlns:c15="http://schemas.microsoft.com/office/drawing/2012/chart" uri="{CE6537A1-D6FC-4f65-9D91-7224C49458BB}"/>
                <c:ext xmlns:c16="http://schemas.microsoft.com/office/drawing/2014/chart" uri="{C3380CC4-5D6E-409C-BE32-E72D297353CC}">
                  <c16:uniqueId val="{00000026-49A1-0F4B-86E3-96A9159B40FF}"/>
                </c:ext>
              </c:extLst>
            </c:dLbl>
            <c:dLbl>
              <c:idx val="16"/>
              <c:delete val="1"/>
              <c:extLst>
                <c:ext xmlns:c15="http://schemas.microsoft.com/office/drawing/2012/chart" uri="{CE6537A1-D6FC-4f65-9D91-7224C49458BB}"/>
                <c:ext xmlns:c16="http://schemas.microsoft.com/office/drawing/2014/chart" uri="{C3380CC4-5D6E-409C-BE32-E72D297353CC}">
                  <c16:uniqueId val="{00000027-49A1-0F4B-86E3-96A9159B40FF}"/>
                </c:ext>
              </c:extLst>
            </c:dLbl>
            <c:dLbl>
              <c:idx val="17"/>
              <c:delete val="1"/>
              <c:extLst>
                <c:ext xmlns:c15="http://schemas.microsoft.com/office/drawing/2012/chart" uri="{CE6537A1-D6FC-4f65-9D91-7224C49458BB}"/>
                <c:ext xmlns:c16="http://schemas.microsoft.com/office/drawing/2014/chart" uri="{C3380CC4-5D6E-409C-BE32-E72D297353CC}">
                  <c16:uniqueId val="{00000028-49A1-0F4B-86E3-96A9159B40FF}"/>
                </c:ext>
              </c:extLst>
            </c:dLbl>
            <c:dLbl>
              <c:idx val="18"/>
              <c:delete val="1"/>
              <c:extLst>
                <c:ext xmlns:c15="http://schemas.microsoft.com/office/drawing/2012/chart" uri="{CE6537A1-D6FC-4f65-9D91-7224C49458BB}"/>
                <c:ext xmlns:c16="http://schemas.microsoft.com/office/drawing/2014/chart" uri="{C3380CC4-5D6E-409C-BE32-E72D297353CC}">
                  <c16:uniqueId val="{00000029-49A1-0F4B-86E3-96A9159B40FF}"/>
                </c:ext>
              </c:extLst>
            </c:dLbl>
            <c:dLbl>
              <c:idx val="19"/>
              <c:delete val="1"/>
              <c:extLst>
                <c:ext xmlns:c15="http://schemas.microsoft.com/office/drawing/2012/chart" uri="{CE6537A1-D6FC-4f65-9D91-7224C49458BB}"/>
                <c:ext xmlns:c16="http://schemas.microsoft.com/office/drawing/2014/chart" uri="{C3380CC4-5D6E-409C-BE32-E72D297353CC}">
                  <c16:uniqueId val="{0000002A-49A1-0F4B-86E3-96A9159B40FF}"/>
                </c:ext>
              </c:extLst>
            </c:dLbl>
            <c:dLbl>
              <c:idx val="20"/>
              <c:delete val="1"/>
              <c:extLst>
                <c:ext xmlns:c15="http://schemas.microsoft.com/office/drawing/2012/chart" uri="{CE6537A1-D6FC-4f65-9D91-7224C49458BB}"/>
                <c:ext xmlns:c16="http://schemas.microsoft.com/office/drawing/2014/chart" uri="{C3380CC4-5D6E-409C-BE32-E72D297353CC}">
                  <c16:uniqueId val="{0000002B-49A1-0F4B-86E3-96A9159B40FF}"/>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1"/>
            <c:showCatName val="0"/>
            <c:showSerName val="1"/>
            <c:showPercent val="0"/>
            <c:showBubbleSize val="0"/>
            <c:showLeaderLines val="0"/>
            <c:extLst>
              <c:ext xmlns:c15="http://schemas.microsoft.com/office/drawing/2012/chart" uri="{CE6537A1-D6FC-4f65-9D91-7224C49458BB}">
                <c15:showLeaderLines val="0"/>
              </c:ext>
            </c:extLst>
          </c:dLbls>
          <c:cat>
            <c:numRef>
              <c:f>'Figure 3 - 99% eff flare'!$A$60:$A$80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3 - 99% eff flare'!$O$60:$O$80</c:f>
              <c:numCache>
                <c:formatCode>0</c:formatCode>
                <c:ptCount val="21"/>
                <c:pt idx="0">
                  <c:v>353.52941176470591</c:v>
                </c:pt>
                <c:pt idx="1">
                  <c:v>352.51764705882357</c:v>
                </c:pt>
                <c:pt idx="2">
                  <c:v>351.50588235294123</c:v>
                </c:pt>
                <c:pt idx="3">
                  <c:v>350.49411764705889</c:v>
                </c:pt>
                <c:pt idx="4">
                  <c:v>349.48235294117649</c:v>
                </c:pt>
                <c:pt idx="5">
                  <c:v>348.47058823529414</c:v>
                </c:pt>
                <c:pt idx="6">
                  <c:v>347.4588235294118</c:v>
                </c:pt>
                <c:pt idx="7">
                  <c:v>346.44705882352946</c:v>
                </c:pt>
                <c:pt idx="8">
                  <c:v>345.43529411764712</c:v>
                </c:pt>
                <c:pt idx="9">
                  <c:v>344.42352941176472</c:v>
                </c:pt>
                <c:pt idx="10">
                  <c:v>343.41176470588238</c:v>
                </c:pt>
                <c:pt idx="11">
                  <c:v>342.4</c:v>
                </c:pt>
                <c:pt idx="12">
                  <c:v>341.38823529411764</c:v>
                </c:pt>
                <c:pt idx="13">
                  <c:v>340.37647058823529</c:v>
                </c:pt>
                <c:pt idx="14">
                  <c:v>339.36470588235295</c:v>
                </c:pt>
                <c:pt idx="15">
                  <c:v>338.35294117647061</c:v>
                </c:pt>
                <c:pt idx="16">
                  <c:v>337.34117647058821</c:v>
                </c:pt>
                <c:pt idx="17">
                  <c:v>336.32941176470587</c:v>
                </c:pt>
                <c:pt idx="18">
                  <c:v>335.31764705882358</c:v>
                </c:pt>
                <c:pt idx="19">
                  <c:v>334.30588235294118</c:v>
                </c:pt>
                <c:pt idx="20">
                  <c:v>333.29411764705878</c:v>
                </c:pt>
              </c:numCache>
            </c:numRef>
          </c:val>
          <c:extLst>
            <c:ext xmlns:c16="http://schemas.microsoft.com/office/drawing/2014/chart" uri="{C3380CC4-5D6E-409C-BE32-E72D297353CC}">
              <c16:uniqueId val="{0000002C-49A1-0F4B-86E3-96A9159B40FF}"/>
            </c:ext>
          </c:extLst>
        </c:ser>
        <c:ser>
          <c:idx val="0"/>
          <c:order val="3"/>
          <c:tx>
            <c:v>GWP-20, no leakage</c:v>
          </c:tx>
          <c:spPr>
            <a:solidFill>
              <a:sysClr val="window" lastClr="FFFFFF"/>
            </a:solidFill>
            <a:ln>
              <a:noFill/>
            </a:ln>
            <a:effectLst/>
          </c:spPr>
          <c:cat>
            <c:numRef>
              <c:f>'Figure 3 - 99% eff flare'!$A$60:$A$80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3 - 99% eff flare'!$I$60:$I$80</c:f>
              <c:numCache>
                <c:formatCode>0</c:formatCode>
                <c:ptCount val="21"/>
                <c:pt idx="0">
                  <c:v>50</c:v>
                </c:pt>
                <c:pt idx="1">
                  <c:v>49.14</c:v>
                </c:pt>
                <c:pt idx="2">
                  <c:v>48.279999999999994</c:v>
                </c:pt>
                <c:pt idx="3">
                  <c:v>47.419999999999995</c:v>
                </c:pt>
                <c:pt idx="4">
                  <c:v>46.559999999999995</c:v>
                </c:pt>
                <c:pt idx="5">
                  <c:v>45.699999999999989</c:v>
                </c:pt>
                <c:pt idx="6">
                  <c:v>44.839999999999989</c:v>
                </c:pt>
                <c:pt idx="7">
                  <c:v>43.97999999999999</c:v>
                </c:pt>
                <c:pt idx="8">
                  <c:v>43.11999999999999</c:v>
                </c:pt>
                <c:pt idx="9">
                  <c:v>42.259999999999984</c:v>
                </c:pt>
                <c:pt idx="10">
                  <c:v>41.399999999999984</c:v>
                </c:pt>
                <c:pt idx="11">
                  <c:v>40.539999999999985</c:v>
                </c:pt>
                <c:pt idx="12">
                  <c:v>39.679999999999986</c:v>
                </c:pt>
                <c:pt idx="13">
                  <c:v>38.819999999999979</c:v>
                </c:pt>
                <c:pt idx="14">
                  <c:v>37.95999999999998</c:v>
                </c:pt>
                <c:pt idx="15">
                  <c:v>37.09999999999998</c:v>
                </c:pt>
                <c:pt idx="16">
                  <c:v>36.239999999999981</c:v>
                </c:pt>
                <c:pt idx="17">
                  <c:v>35.379999999999981</c:v>
                </c:pt>
                <c:pt idx="18">
                  <c:v>34.519999999999982</c:v>
                </c:pt>
                <c:pt idx="19">
                  <c:v>33.659999999999982</c:v>
                </c:pt>
                <c:pt idx="20">
                  <c:v>32.799999999999983</c:v>
                </c:pt>
              </c:numCache>
            </c:numRef>
          </c:val>
          <c:extLst>
            <c:ext xmlns:c16="http://schemas.microsoft.com/office/drawing/2014/chart" uri="{C3380CC4-5D6E-409C-BE32-E72D297353CC}">
              <c16:uniqueId val="{0000002D-49A1-0F4B-86E3-96A9159B40FF}"/>
            </c:ext>
          </c:extLst>
        </c:ser>
        <c:dLbls>
          <c:showLegendKey val="0"/>
          <c:showVal val="0"/>
          <c:showCatName val="0"/>
          <c:showSerName val="0"/>
          <c:showPercent val="0"/>
          <c:showBubbleSize val="0"/>
        </c:dLbls>
        <c:axId val="200612992"/>
        <c:axId val="170515008"/>
      </c:areaChart>
      <c:lineChart>
        <c:grouping val="standard"/>
        <c:varyColors val="0"/>
        <c:ser>
          <c:idx val="2"/>
          <c:order val="4"/>
          <c:tx>
            <c:v>0-axis</c:v>
          </c:tx>
          <c:spPr>
            <a:ln w="28575" cap="rnd">
              <a:solidFill>
                <a:sysClr val="windowText" lastClr="000000"/>
              </a:solidFill>
              <a:round/>
            </a:ln>
            <a:effectLst/>
          </c:spPr>
          <c:marker>
            <c:symbol val="none"/>
          </c:marker>
          <c:val>
            <c:numRef>
              <c:f>'Figure 3 - 99% eff flare'!$P$60:$P$80</c:f>
              <c:numCache>
                <c:formatCode>0</c:formatCode>
                <c:ptCount val="21"/>
                <c:pt idx="0">
                  <c:v>50</c:v>
                </c:pt>
                <c:pt idx="1">
                  <c:v>50</c:v>
                </c:pt>
                <c:pt idx="2">
                  <c:v>50</c:v>
                </c:pt>
                <c:pt idx="3">
                  <c:v>50</c:v>
                </c:pt>
                <c:pt idx="4">
                  <c:v>50</c:v>
                </c:pt>
                <c:pt idx="5">
                  <c:v>50</c:v>
                </c:pt>
                <c:pt idx="6">
                  <c:v>50</c:v>
                </c:pt>
                <c:pt idx="7">
                  <c:v>50</c:v>
                </c:pt>
                <c:pt idx="8">
                  <c:v>50</c:v>
                </c:pt>
                <c:pt idx="9">
                  <c:v>50</c:v>
                </c:pt>
                <c:pt idx="10">
                  <c:v>50</c:v>
                </c:pt>
                <c:pt idx="11">
                  <c:v>50</c:v>
                </c:pt>
                <c:pt idx="12">
                  <c:v>50</c:v>
                </c:pt>
                <c:pt idx="13">
                  <c:v>50</c:v>
                </c:pt>
                <c:pt idx="14">
                  <c:v>50</c:v>
                </c:pt>
                <c:pt idx="15">
                  <c:v>50</c:v>
                </c:pt>
                <c:pt idx="16">
                  <c:v>50</c:v>
                </c:pt>
                <c:pt idx="17">
                  <c:v>50</c:v>
                </c:pt>
                <c:pt idx="18">
                  <c:v>50</c:v>
                </c:pt>
                <c:pt idx="19">
                  <c:v>50</c:v>
                </c:pt>
                <c:pt idx="20">
                  <c:v>50</c:v>
                </c:pt>
              </c:numCache>
            </c:numRef>
          </c:val>
          <c:smooth val="0"/>
          <c:extLst>
            <c:ext xmlns:c16="http://schemas.microsoft.com/office/drawing/2014/chart" uri="{C3380CC4-5D6E-409C-BE32-E72D297353CC}">
              <c16:uniqueId val="{0000002E-49A1-0F4B-86E3-96A9159B40FF}"/>
            </c:ext>
          </c:extLst>
        </c:ser>
        <c:ser>
          <c:idx val="3"/>
          <c:order val="5"/>
          <c:tx>
            <c:v>GWP-100, FNG</c:v>
          </c:tx>
          <c:spPr>
            <a:ln w="28575" cap="rnd">
              <a:solidFill>
                <a:srgbClr val="5B9BD5"/>
              </a:solidFill>
              <a:round/>
            </a:ln>
            <a:effectLst/>
          </c:spPr>
          <c:marker>
            <c:symbol val="none"/>
          </c:marker>
          <c:dLbls>
            <c:dLbl>
              <c:idx val="0"/>
              <c:layout>
                <c:manualLayout>
                  <c:x val="1.0843373493975727E-2"/>
                  <c:y val="2.3255813953488302E-2"/>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2F-49A1-0F4B-86E3-96A9159B40FF}"/>
                </c:ext>
              </c:extLst>
            </c:dLbl>
            <c:dLbl>
              <c:idx val="1"/>
              <c:delete val="1"/>
              <c:extLst>
                <c:ext xmlns:c15="http://schemas.microsoft.com/office/drawing/2012/chart" uri="{CE6537A1-D6FC-4f65-9D91-7224C49458BB}"/>
                <c:ext xmlns:c16="http://schemas.microsoft.com/office/drawing/2014/chart" uri="{C3380CC4-5D6E-409C-BE32-E72D297353CC}">
                  <c16:uniqueId val="{00000030-49A1-0F4B-86E3-96A9159B40FF}"/>
                </c:ext>
              </c:extLst>
            </c:dLbl>
            <c:dLbl>
              <c:idx val="2"/>
              <c:delete val="1"/>
              <c:extLst>
                <c:ext xmlns:c15="http://schemas.microsoft.com/office/drawing/2012/chart" uri="{CE6537A1-D6FC-4f65-9D91-7224C49458BB}"/>
                <c:ext xmlns:c16="http://schemas.microsoft.com/office/drawing/2014/chart" uri="{C3380CC4-5D6E-409C-BE32-E72D297353CC}">
                  <c16:uniqueId val="{00000031-49A1-0F4B-86E3-96A9159B40FF}"/>
                </c:ext>
              </c:extLst>
            </c:dLbl>
            <c:dLbl>
              <c:idx val="3"/>
              <c:delete val="1"/>
              <c:extLst>
                <c:ext xmlns:c15="http://schemas.microsoft.com/office/drawing/2012/chart" uri="{CE6537A1-D6FC-4f65-9D91-7224C49458BB}"/>
                <c:ext xmlns:c16="http://schemas.microsoft.com/office/drawing/2014/chart" uri="{C3380CC4-5D6E-409C-BE32-E72D297353CC}">
                  <c16:uniqueId val="{00000032-49A1-0F4B-86E3-96A9159B40FF}"/>
                </c:ext>
              </c:extLst>
            </c:dLbl>
            <c:dLbl>
              <c:idx val="4"/>
              <c:delete val="1"/>
              <c:extLst>
                <c:ext xmlns:c15="http://schemas.microsoft.com/office/drawing/2012/chart" uri="{CE6537A1-D6FC-4f65-9D91-7224C49458BB}"/>
                <c:ext xmlns:c16="http://schemas.microsoft.com/office/drawing/2014/chart" uri="{C3380CC4-5D6E-409C-BE32-E72D297353CC}">
                  <c16:uniqueId val="{00000033-49A1-0F4B-86E3-96A9159B40FF}"/>
                </c:ext>
              </c:extLst>
            </c:dLbl>
            <c:dLbl>
              <c:idx val="5"/>
              <c:delete val="1"/>
              <c:extLst>
                <c:ext xmlns:c15="http://schemas.microsoft.com/office/drawing/2012/chart" uri="{CE6537A1-D6FC-4f65-9D91-7224C49458BB}"/>
                <c:ext xmlns:c16="http://schemas.microsoft.com/office/drawing/2014/chart" uri="{C3380CC4-5D6E-409C-BE32-E72D297353CC}">
                  <c16:uniqueId val="{00000034-49A1-0F4B-86E3-96A9159B40FF}"/>
                </c:ext>
              </c:extLst>
            </c:dLbl>
            <c:dLbl>
              <c:idx val="6"/>
              <c:delete val="1"/>
              <c:extLst>
                <c:ext xmlns:c15="http://schemas.microsoft.com/office/drawing/2012/chart" uri="{CE6537A1-D6FC-4f65-9D91-7224C49458BB}"/>
                <c:ext xmlns:c16="http://schemas.microsoft.com/office/drawing/2014/chart" uri="{C3380CC4-5D6E-409C-BE32-E72D297353CC}">
                  <c16:uniqueId val="{00000035-49A1-0F4B-86E3-96A9159B40FF}"/>
                </c:ext>
              </c:extLst>
            </c:dLbl>
            <c:dLbl>
              <c:idx val="7"/>
              <c:delete val="1"/>
              <c:extLst>
                <c:ext xmlns:c15="http://schemas.microsoft.com/office/drawing/2012/chart" uri="{CE6537A1-D6FC-4f65-9D91-7224C49458BB}"/>
                <c:ext xmlns:c16="http://schemas.microsoft.com/office/drawing/2014/chart" uri="{C3380CC4-5D6E-409C-BE32-E72D297353CC}">
                  <c16:uniqueId val="{00000036-49A1-0F4B-86E3-96A9159B40FF}"/>
                </c:ext>
              </c:extLst>
            </c:dLbl>
            <c:dLbl>
              <c:idx val="8"/>
              <c:delete val="1"/>
              <c:extLst>
                <c:ext xmlns:c15="http://schemas.microsoft.com/office/drawing/2012/chart" uri="{CE6537A1-D6FC-4f65-9D91-7224C49458BB}"/>
                <c:ext xmlns:c16="http://schemas.microsoft.com/office/drawing/2014/chart" uri="{C3380CC4-5D6E-409C-BE32-E72D297353CC}">
                  <c16:uniqueId val="{00000037-49A1-0F4B-86E3-96A9159B40FF}"/>
                </c:ext>
              </c:extLst>
            </c:dLbl>
            <c:dLbl>
              <c:idx val="9"/>
              <c:delete val="1"/>
              <c:extLst>
                <c:ext xmlns:c15="http://schemas.microsoft.com/office/drawing/2012/chart" uri="{CE6537A1-D6FC-4f65-9D91-7224C49458BB}"/>
                <c:ext xmlns:c16="http://schemas.microsoft.com/office/drawing/2014/chart" uri="{C3380CC4-5D6E-409C-BE32-E72D297353CC}">
                  <c16:uniqueId val="{00000038-49A1-0F4B-86E3-96A9159B40FF}"/>
                </c:ext>
              </c:extLst>
            </c:dLbl>
            <c:dLbl>
              <c:idx val="10"/>
              <c:delete val="1"/>
              <c:extLst>
                <c:ext xmlns:c15="http://schemas.microsoft.com/office/drawing/2012/chart" uri="{CE6537A1-D6FC-4f65-9D91-7224C49458BB}"/>
                <c:ext xmlns:c16="http://schemas.microsoft.com/office/drawing/2014/chart" uri="{C3380CC4-5D6E-409C-BE32-E72D297353CC}">
                  <c16:uniqueId val="{00000039-49A1-0F4B-86E3-96A9159B40FF}"/>
                </c:ext>
              </c:extLst>
            </c:dLbl>
            <c:dLbl>
              <c:idx val="11"/>
              <c:delete val="1"/>
              <c:extLst>
                <c:ext xmlns:c15="http://schemas.microsoft.com/office/drawing/2012/chart" uri="{CE6537A1-D6FC-4f65-9D91-7224C49458BB}"/>
                <c:ext xmlns:c16="http://schemas.microsoft.com/office/drawing/2014/chart" uri="{C3380CC4-5D6E-409C-BE32-E72D297353CC}">
                  <c16:uniqueId val="{0000003A-49A1-0F4B-86E3-96A9159B40FF}"/>
                </c:ext>
              </c:extLst>
            </c:dLbl>
            <c:dLbl>
              <c:idx val="12"/>
              <c:delete val="1"/>
              <c:extLst>
                <c:ext xmlns:c15="http://schemas.microsoft.com/office/drawing/2012/chart" uri="{CE6537A1-D6FC-4f65-9D91-7224C49458BB}"/>
                <c:ext xmlns:c16="http://schemas.microsoft.com/office/drawing/2014/chart" uri="{C3380CC4-5D6E-409C-BE32-E72D297353CC}">
                  <c16:uniqueId val="{0000003B-49A1-0F4B-86E3-96A9159B40FF}"/>
                </c:ext>
              </c:extLst>
            </c:dLbl>
            <c:dLbl>
              <c:idx val="13"/>
              <c:delete val="1"/>
              <c:extLst>
                <c:ext xmlns:c15="http://schemas.microsoft.com/office/drawing/2012/chart" uri="{CE6537A1-D6FC-4f65-9D91-7224C49458BB}"/>
                <c:ext xmlns:c16="http://schemas.microsoft.com/office/drawing/2014/chart" uri="{C3380CC4-5D6E-409C-BE32-E72D297353CC}">
                  <c16:uniqueId val="{0000003C-49A1-0F4B-86E3-96A9159B40FF}"/>
                </c:ext>
              </c:extLst>
            </c:dLbl>
            <c:dLbl>
              <c:idx val="14"/>
              <c:delete val="1"/>
              <c:extLst>
                <c:ext xmlns:c15="http://schemas.microsoft.com/office/drawing/2012/chart" uri="{CE6537A1-D6FC-4f65-9D91-7224C49458BB}"/>
                <c:ext xmlns:c16="http://schemas.microsoft.com/office/drawing/2014/chart" uri="{C3380CC4-5D6E-409C-BE32-E72D297353CC}">
                  <c16:uniqueId val="{0000003D-49A1-0F4B-86E3-96A9159B40FF}"/>
                </c:ext>
              </c:extLst>
            </c:dLbl>
            <c:dLbl>
              <c:idx val="15"/>
              <c:delete val="1"/>
              <c:extLst>
                <c:ext xmlns:c15="http://schemas.microsoft.com/office/drawing/2012/chart" uri="{CE6537A1-D6FC-4f65-9D91-7224C49458BB}"/>
                <c:ext xmlns:c16="http://schemas.microsoft.com/office/drawing/2014/chart" uri="{C3380CC4-5D6E-409C-BE32-E72D297353CC}">
                  <c16:uniqueId val="{0000003E-49A1-0F4B-86E3-96A9159B40FF}"/>
                </c:ext>
              </c:extLst>
            </c:dLbl>
            <c:dLbl>
              <c:idx val="16"/>
              <c:delete val="1"/>
              <c:extLst>
                <c:ext xmlns:c15="http://schemas.microsoft.com/office/drawing/2012/chart" uri="{CE6537A1-D6FC-4f65-9D91-7224C49458BB}"/>
                <c:ext xmlns:c16="http://schemas.microsoft.com/office/drawing/2014/chart" uri="{C3380CC4-5D6E-409C-BE32-E72D297353CC}">
                  <c16:uniqueId val="{0000003F-49A1-0F4B-86E3-96A9159B40FF}"/>
                </c:ext>
              </c:extLst>
            </c:dLbl>
            <c:dLbl>
              <c:idx val="17"/>
              <c:delete val="1"/>
              <c:extLst>
                <c:ext xmlns:c15="http://schemas.microsoft.com/office/drawing/2012/chart" uri="{CE6537A1-D6FC-4f65-9D91-7224C49458BB}"/>
                <c:ext xmlns:c16="http://schemas.microsoft.com/office/drawing/2014/chart" uri="{C3380CC4-5D6E-409C-BE32-E72D297353CC}">
                  <c16:uniqueId val="{00000040-49A1-0F4B-86E3-96A9159B40FF}"/>
                </c:ext>
              </c:extLst>
            </c:dLbl>
            <c:dLbl>
              <c:idx val="18"/>
              <c:delete val="1"/>
              <c:extLst>
                <c:ext xmlns:c15="http://schemas.microsoft.com/office/drawing/2012/chart" uri="{CE6537A1-D6FC-4f65-9D91-7224C49458BB}"/>
                <c:ext xmlns:c16="http://schemas.microsoft.com/office/drawing/2014/chart" uri="{C3380CC4-5D6E-409C-BE32-E72D297353CC}">
                  <c16:uniqueId val="{00000041-49A1-0F4B-86E3-96A9159B40FF}"/>
                </c:ext>
              </c:extLst>
            </c:dLbl>
            <c:dLbl>
              <c:idx val="19"/>
              <c:delete val="1"/>
              <c:extLst>
                <c:ext xmlns:c15="http://schemas.microsoft.com/office/drawing/2012/chart" uri="{CE6537A1-D6FC-4f65-9D91-7224C49458BB}"/>
                <c:ext xmlns:c16="http://schemas.microsoft.com/office/drawing/2014/chart" uri="{C3380CC4-5D6E-409C-BE32-E72D297353CC}">
                  <c16:uniqueId val="{00000042-49A1-0F4B-86E3-96A9159B40FF}"/>
                </c:ext>
              </c:extLst>
            </c:dLbl>
            <c:dLbl>
              <c:idx val="20"/>
              <c:delete val="1"/>
              <c:extLst>
                <c:ext xmlns:c15="http://schemas.microsoft.com/office/drawing/2012/chart" uri="{CE6537A1-D6FC-4f65-9D91-7224C49458BB}"/>
                <c:ext xmlns:c16="http://schemas.microsoft.com/office/drawing/2014/chart" uri="{C3380CC4-5D6E-409C-BE32-E72D297353CC}">
                  <c16:uniqueId val="{00000043-49A1-0F4B-86E3-96A9159B40FF}"/>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'Figure 3 - 99% eff flare'!$Q$60:$Q$80</c:f>
              <c:numCache>
                <c:formatCode>0</c:formatCode>
                <c:ptCount val="21"/>
                <c:pt idx="0">
                  <c:v>126.36380718411579</c:v>
                </c:pt>
                <c:pt idx="1">
                  <c:v>126.36380718411579</c:v>
                </c:pt>
                <c:pt idx="2">
                  <c:v>126.36380718411579</c:v>
                </c:pt>
                <c:pt idx="3">
                  <c:v>126.36380718411579</c:v>
                </c:pt>
                <c:pt idx="4">
                  <c:v>126.36380718411579</c:v>
                </c:pt>
                <c:pt idx="5">
                  <c:v>126.36380718411579</c:v>
                </c:pt>
                <c:pt idx="6">
                  <c:v>126.36380718411579</c:v>
                </c:pt>
                <c:pt idx="7">
                  <c:v>126.36380718411579</c:v>
                </c:pt>
                <c:pt idx="8">
                  <c:v>126.36380718411579</c:v>
                </c:pt>
                <c:pt idx="9">
                  <c:v>126.36380718411579</c:v>
                </c:pt>
                <c:pt idx="10">
                  <c:v>126.36380718411579</c:v>
                </c:pt>
                <c:pt idx="11">
                  <c:v>126.36380718411579</c:v>
                </c:pt>
                <c:pt idx="12">
                  <c:v>126.36380718411579</c:v>
                </c:pt>
                <c:pt idx="13">
                  <c:v>126.36380718411579</c:v>
                </c:pt>
                <c:pt idx="14">
                  <c:v>126.36380718411579</c:v>
                </c:pt>
                <c:pt idx="15">
                  <c:v>126.36380718411579</c:v>
                </c:pt>
                <c:pt idx="16">
                  <c:v>126.36380718411579</c:v>
                </c:pt>
                <c:pt idx="17">
                  <c:v>126.36380718411579</c:v>
                </c:pt>
                <c:pt idx="18">
                  <c:v>126.36380718411579</c:v>
                </c:pt>
                <c:pt idx="19">
                  <c:v>126.36380718411579</c:v>
                </c:pt>
                <c:pt idx="20">
                  <c:v>126.36380718411579</c:v>
                </c:pt>
              </c:numCache>
            </c:numRef>
          </c:val>
          <c:smooth val="0"/>
          <c:extLst>
            <c:ext xmlns:c16="http://schemas.microsoft.com/office/drawing/2014/chart" uri="{C3380CC4-5D6E-409C-BE32-E72D297353CC}">
              <c16:uniqueId val="{00000044-49A1-0F4B-86E3-96A9159B40FF}"/>
            </c:ext>
          </c:extLst>
        </c:ser>
        <c:ser>
          <c:idx val="4"/>
          <c:order val="6"/>
          <c:tx>
            <c:v>GWP-20, FNG</c:v>
          </c:tx>
          <c:spPr>
            <a:ln w="28575" cap="rnd">
              <a:solidFill>
                <a:srgbClr val="70AD47"/>
              </a:solidFill>
              <a:round/>
            </a:ln>
            <a:effectLst/>
          </c:spPr>
          <c:marker>
            <c:symbol val="none"/>
          </c:marker>
          <c:dLbls>
            <c:dLbl>
              <c:idx val="0"/>
              <c:layout>
                <c:manualLayout>
                  <c:x val="1.2048192771084161E-2"/>
                  <c:y val="-5.0387596899224806E-2"/>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45-49A1-0F4B-86E3-96A9159B40FF}"/>
                </c:ext>
              </c:extLst>
            </c:dLbl>
            <c:dLbl>
              <c:idx val="1"/>
              <c:delete val="1"/>
              <c:extLst>
                <c:ext xmlns:c15="http://schemas.microsoft.com/office/drawing/2012/chart" uri="{CE6537A1-D6FC-4f65-9D91-7224C49458BB}"/>
                <c:ext xmlns:c16="http://schemas.microsoft.com/office/drawing/2014/chart" uri="{C3380CC4-5D6E-409C-BE32-E72D297353CC}">
                  <c16:uniqueId val="{00000046-49A1-0F4B-86E3-96A9159B40FF}"/>
                </c:ext>
              </c:extLst>
            </c:dLbl>
            <c:dLbl>
              <c:idx val="2"/>
              <c:delete val="1"/>
              <c:extLst>
                <c:ext xmlns:c15="http://schemas.microsoft.com/office/drawing/2012/chart" uri="{CE6537A1-D6FC-4f65-9D91-7224C49458BB}"/>
                <c:ext xmlns:c16="http://schemas.microsoft.com/office/drawing/2014/chart" uri="{C3380CC4-5D6E-409C-BE32-E72D297353CC}">
                  <c16:uniqueId val="{00000047-49A1-0F4B-86E3-96A9159B40FF}"/>
                </c:ext>
              </c:extLst>
            </c:dLbl>
            <c:dLbl>
              <c:idx val="3"/>
              <c:delete val="1"/>
              <c:extLst>
                <c:ext xmlns:c15="http://schemas.microsoft.com/office/drawing/2012/chart" uri="{CE6537A1-D6FC-4f65-9D91-7224C49458BB}"/>
                <c:ext xmlns:c16="http://schemas.microsoft.com/office/drawing/2014/chart" uri="{C3380CC4-5D6E-409C-BE32-E72D297353CC}">
                  <c16:uniqueId val="{00000048-49A1-0F4B-86E3-96A9159B40FF}"/>
                </c:ext>
              </c:extLst>
            </c:dLbl>
            <c:dLbl>
              <c:idx val="4"/>
              <c:delete val="1"/>
              <c:extLst>
                <c:ext xmlns:c15="http://schemas.microsoft.com/office/drawing/2012/chart" uri="{CE6537A1-D6FC-4f65-9D91-7224C49458BB}"/>
                <c:ext xmlns:c16="http://schemas.microsoft.com/office/drawing/2014/chart" uri="{C3380CC4-5D6E-409C-BE32-E72D297353CC}">
                  <c16:uniqueId val="{00000049-49A1-0F4B-86E3-96A9159B40FF}"/>
                </c:ext>
              </c:extLst>
            </c:dLbl>
            <c:dLbl>
              <c:idx val="5"/>
              <c:delete val="1"/>
              <c:extLst>
                <c:ext xmlns:c15="http://schemas.microsoft.com/office/drawing/2012/chart" uri="{CE6537A1-D6FC-4f65-9D91-7224C49458BB}"/>
                <c:ext xmlns:c16="http://schemas.microsoft.com/office/drawing/2014/chart" uri="{C3380CC4-5D6E-409C-BE32-E72D297353CC}">
                  <c16:uniqueId val="{0000004A-49A1-0F4B-86E3-96A9159B40FF}"/>
                </c:ext>
              </c:extLst>
            </c:dLbl>
            <c:dLbl>
              <c:idx val="6"/>
              <c:delete val="1"/>
              <c:extLst>
                <c:ext xmlns:c15="http://schemas.microsoft.com/office/drawing/2012/chart" uri="{CE6537A1-D6FC-4f65-9D91-7224C49458BB}"/>
                <c:ext xmlns:c16="http://schemas.microsoft.com/office/drawing/2014/chart" uri="{C3380CC4-5D6E-409C-BE32-E72D297353CC}">
                  <c16:uniqueId val="{0000004B-49A1-0F4B-86E3-96A9159B40FF}"/>
                </c:ext>
              </c:extLst>
            </c:dLbl>
            <c:dLbl>
              <c:idx val="7"/>
              <c:delete val="1"/>
              <c:extLst>
                <c:ext xmlns:c15="http://schemas.microsoft.com/office/drawing/2012/chart" uri="{CE6537A1-D6FC-4f65-9D91-7224C49458BB}"/>
                <c:ext xmlns:c16="http://schemas.microsoft.com/office/drawing/2014/chart" uri="{C3380CC4-5D6E-409C-BE32-E72D297353CC}">
                  <c16:uniqueId val="{0000004C-49A1-0F4B-86E3-96A9159B40FF}"/>
                </c:ext>
              </c:extLst>
            </c:dLbl>
            <c:dLbl>
              <c:idx val="8"/>
              <c:delete val="1"/>
              <c:extLst>
                <c:ext xmlns:c15="http://schemas.microsoft.com/office/drawing/2012/chart" uri="{CE6537A1-D6FC-4f65-9D91-7224C49458BB}"/>
                <c:ext xmlns:c16="http://schemas.microsoft.com/office/drawing/2014/chart" uri="{C3380CC4-5D6E-409C-BE32-E72D297353CC}">
                  <c16:uniqueId val="{0000004D-49A1-0F4B-86E3-96A9159B40FF}"/>
                </c:ext>
              </c:extLst>
            </c:dLbl>
            <c:dLbl>
              <c:idx val="9"/>
              <c:delete val="1"/>
              <c:extLst>
                <c:ext xmlns:c15="http://schemas.microsoft.com/office/drawing/2012/chart" uri="{CE6537A1-D6FC-4f65-9D91-7224C49458BB}"/>
                <c:ext xmlns:c16="http://schemas.microsoft.com/office/drawing/2014/chart" uri="{C3380CC4-5D6E-409C-BE32-E72D297353CC}">
                  <c16:uniqueId val="{0000004E-49A1-0F4B-86E3-96A9159B40FF}"/>
                </c:ext>
              </c:extLst>
            </c:dLbl>
            <c:dLbl>
              <c:idx val="10"/>
              <c:delete val="1"/>
              <c:extLst>
                <c:ext xmlns:c15="http://schemas.microsoft.com/office/drawing/2012/chart" uri="{CE6537A1-D6FC-4f65-9D91-7224C49458BB}"/>
                <c:ext xmlns:c16="http://schemas.microsoft.com/office/drawing/2014/chart" uri="{C3380CC4-5D6E-409C-BE32-E72D297353CC}">
                  <c16:uniqueId val="{0000004F-49A1-0F4B-86E3-96A9159B40FF}"/>
                </c:ext>
              </c:extLst>
            </c:dLbl>
            <c:dLbl>
              <c:idx val="11"/>
              <c:delete val="1"/>
              <c:extLst>
                <c:ext xmlns:c15="http://schemas.microsoft.com/office/drawing/2012/chart" uri="{CE6537A1-D6FC-4f65-9D91-7224C49458BB}"/>
                <c:ext xmlns:c16="http://schemas.microsoft.com/office/drawing/2014/chart" uri="{C3380CC4-5D6E-409C-BE32-E72D297353CC}">
                  <c16:uniqueId val="{00000050-49A1-0F4B-86E3-96A9159B40FF}"/>
                </c:ext>
              </c:extLst>
            </c:dLbl>
            <c:dLbl>
              <c:idx val="12"/>
              <c:delete val="1"/>
              <c:extLst>
                <c:ext xmlns:c15="http://schemas.microsoft.com/office/drawing/2012/chart" uri="{CE6537A1-D6FC-4f65-9D91-7224C49458BB}"/>
                <c:ext xmlns:c16="http://schemas.microsoft.com/office/drawing/2014/chart" uri="{C3380CC4-5D6E-409C-BE32-E72D297353CC}">
                  <c16:uniqueId val="{00000051-49A1-0F4B-86E3-96A9159B40FF}"/>
                </c:ext>
              </c:extLst>
            </c:dLbl>
            <c:dLbl>
              <c:idx val="13"/>
              <c:delete val="1"/>
              <c:extLst>
                <c:ext xmlns:c15="http://schemas.microsoft.com/office/drawing/2012/chart" uri="{CE6537A1-D6FC-4f65-9D91-7224C49458BB}"/>
                <c:ext xmlns:c16="http://schemas.microsoft.com/office/drawing/2014/chart" uri="{C3380CC4-5D6E-409C-BE32-E72D297353CC}">
                  <c16:uniqueId val="{00000052-49A1-0F4B-86E3-96A9159B40FF}"/>
                </c:ext>
              </c:extLst>
            </c:dLbl>
            <c:dLbl>
              <c:idx val="14"/>
              <c:delete val="1"/>
              <c:extLst>
                <c:ext xmlns:c15="http://schemas.microsoft.com/office/drawing/2012/chart" uri="{CE6537A1-D6FC-4f65-9D91-7224C49458BB}"/>
                <c:ext xmlns:c16="http://schemas.microsoft.com/office/drawing/2014/chart" uri="{C3380CC4-5D6E-409C-BE32-E72D297353CC}">
                  <c16:uniqueId val="{00000053-49A1-0F4B-86E3-96A9159B40FF}"/>
                </c:ext>
              </c:extLst>
            </c:dLbl>
            <c:dLbl>
              <c:idx val="15"/>
              <c:delete val="1"/>
              <c:extLst>
                <c:ext xmlns:c15="http://schemas.microsoft.com/office/drawing/2012/chart" uri="{CE6537A1-D6FC-4f65-9D91-7224C49458BB}"/>
                <c:ext xmlns:c16="http://schemas.microsoft.com/office/drawing/2014/chart" uri="{C3380CC4-5D6E-409C-BE32-E72D297353CC}">
                  <c16:uniqueId val="{00000054-49A1-0F4B-86E3-96A9159B40FF}"/>
                </c:ext>
              </c:extLst>
            </c:dLbl>
            <c:dLbl>
              <c:idx val="16"/>
              <c:delete val="1"/>
              <c:extLst>
                <c:ext xmlns:c15="http://schemas.microsoft.com/office/drawing/2012/chart" uri="{CE6537A1-D6FC-4f65-9D91-7224C49458BB}"/>
                <c:ext xmlns:c16="http://schemas.microsoft.com/office/drawing/2014/chart" uri="{C3380CC4-5D6E-409C-BE32-E72D297353CC}">
                  <c16:uniqueId val="{00000055-49A1-0F4B-86E3-96A9159B40FF}"/>
                </c:ext>
              </c:extLst>
            </c:dLbl>
            <c:dLbl>
              <c:idx val="17"/>
              <c:delete val="1"/>
              <c:extLst>
                <c:ext xmlns:c15="http://schemas.microsoft.com/office/drawing/2012/chart" uri="{CE6537A1-D6FC-4f65-9D91-7224C49458BB}"/>
                <c:ext xmlns:c16="http://schemas.microsoft.com/office/drawing/2014/chart" uri="{C3380CC4-5D6E-409C-BE32-E72D297353CC}">
                  <c16:uniqueId val="{00000056-49A1-0F4B-86E3-96A9159B40FF}"/>
                </c:ext>
              </c:extLst>
            </c:dLbl>
            <c:dLbl>
              <c:idx val="18"/>
              <c:delete val="1"/>
              <c:extLst>
                <c:ext xmlns:c15="http://schemas.microsoft.com/office/drawing/2012/chart" uri="{CE6537A1-D6FC-4f65-9D91-7224C49458BB}"/>
                <c:ext xmlns:c16="http://schemas.microsoft.com/office/drawing/2014/chart" uri="{C3380CC4-5D6E-409C-BE32-E72D297353CC}">
                  <c16:uniqueId val="{00000057-49A1-0F4B-86E3-96A9159B40FF}"/>
                </c:ext>
              </c:extLst>
            </c:dLbl>
            <c:dLbl>
              <c:idx val="19"/>
              <c:delete val="1"/>
              <c:extLst>
                <c:ext xmlns:c15="http://schemas.microsoft.com/office/drawing/2012/chart" uri="{CE6537A1-D6FC-4f65-9D91-7224C49458BB}"/>
                <c:ext xmlns:c16="http://schemas.microsoft.com/office/drawing/2014/chart" uri="{C3380CC4-5D6E-409C-BE32-E72D297353CC}">
                  <c16:uniqueId val="{00000058-49A1-0F4B-86E3-96A9159B40FF}"/>
                </c:ext>
              </c:extLst>
            </c:dLbl>
            <c:dLbl>
              <c:idx val="20"/>
              <c:delete val="1"/>
              <c:extLst>
                <c:ext xmlns:c15="http://schemas.microsoft.com/office/drawing/2012/chart" uri="{CE6537A1-D6FC-4f65-9D91-7224C49458BB}"/>
                <c:ext xmlns:c16="http://schemas.microsoft.com/office/drawing/2014/chart" uri="{C3380CC4-5D6E-409C-BE32-E72D297353CC}">
                  <c16:uniqueId val="{00000059-49A1-0F4B-86E3-96A9159B40FF}"/>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'Figure 3 - 99% eff flare'!$R$60:$R$80</c:f>
              <c:numCache>
                <c:formatCode>0</c:formatCode>
                <c:ptCount val="21"/>
                <c:pt idx="0">
                  <c:v>156.80584242395727</c:v>
                </c:pt>
                <c:pt idx="1">
                  <c:v>156.80584242395727</c:v>
                </c:pt>
                <c:pt idx="2">
                  <c:v>156.80584242395727</c:v>
                </c:pt>
                <c:pt idx="3">
                  <c:v>156.80584242395727</c:v>
                </c:pt>
                <c:pt idx="4">
                  <c:v>156.80584242395727</c:v>
                </c:pt>
                <c:pt idx="5">
                  <c:v>156.80584242395727</c:v>
                </c:pt>
                <c:pt idx="6">
                  <c:v>156.80584242395727</c:v>
                </c:pt>
                <c:pt idx="7">
                  <c:v>156.80584242395727</c:v>
                </c:pt>
                <c:pt idx="8">
                  <c:v>156.80584242395727</c:v>
                </c:pt>
                <c:pt idx="9">
                  <c:v>156.80584242395727</c:v>
                </c:pt>
                <c:pt idx="10">
                  <c:v>156.80584242395727</c:v>
                </c:pt>
                <c:pt idx="11">
                  <c:v>156.80584242395727</c:v>
                </c:pt>
                <c:pt idx="12">
                  <c:v>156.80584242395727</c:v>
                </c:pt>
                <c:pt idx="13">
                  <c:v>156.80584242395727</c:v>
                </c:pt>
                <c:pt idx="14">
                  <c:v>156.80584242395727</c:v>
                </c:pt>
                <c:pt idx="15">
                  <c:v>156.80584242395727</c:v>
                </c:pt>
                <c:pt idx="16">
                  <c:v>156.80584242395727</c:v>
                </c:pt>
                <c:pt idx="17">
                  <c:v>156.80584242395727</c:v>
                </c:pt>
                <c:pt idx="18">
                  <c:v>156.80584242395727</c:v>
                </c:pt>
                <c:pt idx="19">
                  <c:v>156.80584242395727</c:v>
                </c:pt>
                <c:pt idx="20">
                  <c:v>156.80584242395727</c:v>
                </c:pt>
              </c:numCache>
            </c:numRef>
          </c:val>
          <c:smooth val="0"/>
          <c:extLst>
            <c:ext xmlns:c16="http://schemas.microsoft.com/office/drawing/2014/chart" uri="{C3380CC4-5D6E-409C-BE32-E72D297353CC}">
              <c16:uniqueId val="{0000005A-49A1-0F4B-86E3-96A9159B40FF}"/>
            </c:ext>
          </c:extLst>
        </c:ser>
        <c:dLbls>
          <c:showLegendKey val="0"/>
          <c:showVal val="0"/>
          <c:showCatName val="0"/>
          <c:showSerName val="0"/>
          <c:showPercent val="0"/>
          <c:showBubbleSize val="0"/>
        </c:dLbls>
        <c:marker val="1"/>
        <c:smooth val="0"/>
        <c:axId val="200612992"/>
        <c:axId val="170515008"/>
      </c:lineChart>
      <c:catAx>
        <c:axId val="200612992"/>
        <c:scaling>
          <c:orientation val="maxMin"/>
        </c:scaling>
        <c:delete val="0"/>
        <c:axPos val="b"/>
        <c:title>
          <c:tx>
            <c:rich>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en-US"/>
                  <a:t>Share of intentionally produced CO</a:t>
                </a:r>
                <a:r>
                  <a:rPr lang="en-US" baseline="-25000"/>
                  <a:t>2</a:t>
                </a:r>
                <a:r>
                  <a:rPr lang="en-US"/>
                  <a:t>-neutral methane</a:t>
                </a:r>
              </a:p>
            </c:rich>
          </c:tx>
          <c:overlay val="0"/>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70515008"/>
        <c:crosses val="autoZero"/>
        <c:auto val="0"/>
        <c:lblAlgn val="ctr"/>
        <c:lblOffset val="100"/>
        <c:tickLblSkip val="2"/>
        <c:tickMarkSkip val="1"/>
        <c:noMultiLvlLbl val="0"/>
      </c:catAx>
      <c:valAx>
        <c:axId val="170515008"/>
        <c:scaling>
          <c:orientation val="minMax"/>
          <c:max val="350"/>
          <c:min val="-200"/>
        </c:scaling>
        <c:delete val="0"/>
        <c:axPos val="l"/>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en-US" sz="1600" b="0" i="0" baseline="0">
                    <a:effectLst/>
                  </a:rPr>
                  <a:t>kg CO</a:t>
                </a:r>
                <a:r>
                  <a:rPr lang="en-US" sz="1600" b="0" i="0" baseline="-25000">
                    <a:effectLst/>
                  </a:rPr>
                  <a:t>2</a:t>
                </a:r>
                <a:r>
                  <a:rPr lang="en-US" sz="1600" b="0" i="0" baseline="0">
                    <a:effectLst/>
                  </a:rPr>
                  <a:t>e/GJ consumed</a:t>
                </a:r>
                <a:endParaRPr lang="en-US" sz="1600">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crossAx val="200612992"/>
        <c:crosses val="max"/>
        <c:crossBetween val="between"/>
        <c:majorUnit val="50"/>
        <c:minorUnit val="10"/>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sz="1600">
          <a:solidFill>
            <a:schemeClr val="tx1"/>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417729526994205"/>
          <c:y val="0.12390035565080994"/>
          <c:w val="0.68560165069727719"/>
          <c:h val="0.76531330100130923"/>
        </c:manualLayout>
      </c:layout>
      <c:areaChart>
        <c:grouping val="standard"/>
        <c:varyColors val="0"/>
        <c:ser>
          <c:idx val="6"/>
          <c:order val="0"/>
          <c:tx>
            <c:v>GWP-100, 0-15% leakage</c:v>
          </c:tx>
          <c:spPr>
            <a:solidFill>
              <a:srgbClr val="5B9BD5">
                <a:lumMod val="60000"/>
                <a:lumOff val="40000"/>
              </a:srgbClr>
            </a:solidFill>
            <a:ln>
              <a:noFill/>
            </a:ln>
            <a:effectLst/>
          </c:spPr>
          <c:dLbls>
            <c:dLbl>
              <c:idx val="0"/>
              <c:delete val="1"/>
              <c:extLst>
                <c:ext xmlns:c15="http://schemas.microsoft.com/office/drawing/2012/chart" uri="{CE6537A1-D6FC-4f65-9D91-7224C49458BB}"/>
                <c:ext xmlns:c16="http://schemas.microsoft.com/office/drawing/2014/chart" uri="{C3380CC4-5D6E-409C-BE32-E72D297353CC}">
                  <c16:uniqueId val="{00000000-E87C-B044-A3DD-A6745C92EBCD}"/>
                </c:ext>
              </c:extLst>
            </c:dLbl>
            <c:dLbl>
              <c:idx val="1"/>
              <c:delete val="1"/>
              <c:extLst>
                <c:ext xmlns:c15="http://schemas.microsoft.com/office/drawing/2012/chart" uri="{CE6537A1-D6FC-4f65-9D91-7224C49458BB}"/>
                <c:ext xmlns:c16="http://schemas.microsoft.com/office/drawing/2014/chart" uri="{C3380CC4-5D6E-409C-BE32-E72D297353CC}">
                  <c16:uniqueId val="{00000001-E87C-B044-A3DD-A6745C92EBCD}"/>
                </c:ext>
              </c:extLst>
            </c:dLbl>
            <c:dLbl>
              <c:idx val="2"/>
              <c:delete val="1"/>
              <c:extLst>
                <c:ext xmlns:c15="http://schemas.microsoft.com/office/drawing/2012/chart" uri="{CE6537A1-D6FC-4f65-9D91-7224C49458BB}"/>
                <c:ext xmlns:c16="http://schemas.microsoft.com/office/drawing/2014/chart" uri="{C3380CC4-5D6E-409C-BE32-E72D297353CC}">
                  <c16:uniqueId val="{00000002-E87C-B044-A3DD-A6745C92EBCD}"/>
                </c:ext>
              </c:extLst>
            </c:dLbl>
            <c:dLbl>
              <c:idx val="3"/>
              <c:delete val="1"/>
              <c:extLst>
                <c:ext xmlns:c15="http://schemas.microsoft.com/office/drawing/2012/chart" uri="{CE6537A1-D6FC-4f65-9D91-7224C49458BB}"/>
                <c:ext xmlns:c16="http://schemas.microsoft.com/office/drawing/2014/chart" uri="{C3380CC4-5D6E-409C-BE32-E72D297353CC}">
                  <c16:uniqueId val="{00000003-E87C-B044-A3DD-A6745C92EBCD}"/>
                </c:ext>
              </c:extLst>
            </c:dLbl>
            <c:dLbl>
              <c:idx val="4"/>
              <c:delete val="1"/>
              <c:extLst>
                <c:ext xmlns:c15="http://schemas.microsoft.com/office/drawing/2012/chart" uri="{CE6537A1-D6FC-4f65-9D91-7224C49458BB}"/>
                <c:ext xmlns:c16="http://schemas.microsoft.com/office/drawing/2014/chart" uri="{C3380CC4-5D6E-409C-BE32-E72D297353CC}">
                  <c16:uniqueId val="{00000004-E87C-B044-A3DD-A6745C92EBCD}"/>
                </c:ext>
              </c:extLst>
            </c:dLbl>
            <c:dLbl>
              <c:idx val="5"/>
              <c:delete val="1"/>
              <c:extLst>
                <c:ext xmlns:c15="http://schemas.microsoft.com/office/drawing/2012/chart" uri="{CE6537A1-D6FC-4f65-9D91-7224C49458BB}"/>
                <c:ext xmlns:c16="http://schemas.microsoft.com/office/drawing/2014/chart" uri="{C3380CC4-5D6E-409C-BE32-E72D297353CC}">
                  <c16:uniqueId val="{00000005-E87C-B044-A3DD-A6745C92EBCD}"/>
                </c:ext>
              </c:extLst>
            </c:dLbl>
            <c:dLbl>
              <c:idx val="6"/>
              <c:delete val="1"/>
              <c:extLst>
                <c:ext xmlns:c15="http://schemas.microsoft.com/office/drawing/2012/chart" uri="{CE6537A1-D6FC-4f65-9D91-7224C49458BB}"/>
                <c:ext xmlns:c16="http://schemas.microsoft.com/office/drawing/2014/chart" uri="{C3380CC4-5D6E-409C-BE32-E72D297353CC}">
                  <c16:uniqueId val="{00000006-E87C-B044-A3DD-A6745C92EBCD}"/>
                </c:ext>
              </c:extLst>
            </c:dLbl>
            <c:dLbl>
              <c:idx val="7"/>
              <c:delete val="1"/>
              <c:extLst>
                <c:ext xmlns:c15="http://schemas.microsoft.com/office/drawing/2012/chart" uri="{CE6537A1-D6FC-4f65-9D91-7224C49458BB}"/>
                <c:ext xmlns:c16="http://schemas.microsoft.com/office/drawing/2014/chart" uri="{C3380CC4-5D6E-409C-BE32-E72D297353CC}">
                  <c16:uniqueId val="{00000007-E87C-B044-A3DD-A6745C92EBCD}"/>
                </c:ext>
              </c:extLst>
            </c:dLbl>
            <c:dLbl>
              <c:idx val="8"/>
              <c:delete val="1"/>
              <c:extLst>
                <c:ext xmlns:c15="http://schemas.microsoft.com/office/drawing/2012/chart" uri="{CE6537A1-D6FC-4f65-9D91-7224C49458BB}"/>
                <c:ext xmlns:c16="http://schemas.microsoft.com/office/drawing/2014/chart" uri="{C3380CC4-5D6E-409C-BE32-E72D297353CC}">
                  <c16:uniqueId val="{00000008-E87C-B044-A3DD-A6745C92EBCD}"/>
                </c:ext>
              </c:extLst>
            </c:dLbl>
            <c:dLbl>
              <c:idx val="9"/>
              <c:layout>
                <c:manualLayout>
                  <c:x val="7.2693848235186723E-2"/>
                  <c:y val="-0.1561162076922166"/>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E87C-B044-A3DD-A6745C92EBCD}"/>
                </c:ext>
              </c:extLst>
            </c:dLbl>
            <c:dLbl>
              <c:idx val="10"/>
              <c:delete val="1"/>
              <c:extLst>
                <c:ext xmlns:c15="http://schemas.microsoft.com/office/drawing/2012/chart" uri="{CE6537A1-D6FC-4f65-9D91-7224C49458BB}"/>
                <c:ext xmlns:c16="http://schemas.microsoft.com/office/drawing/2014/chart" uri="{C3380CC4-5D6E-409C-BE32-E72D297353CC}">
                  <c16:uniqueId val="{0000000A-E87C-B044-A3DD-A6745C92EBCD}"/>
                </c:ext>
              </c:extLst>
            </c:dLbl>
            <c:dLbl>
              <c:idx val="11"/>
              <c:delete val="1"/>
              <c:extLst>
                <c:ext xmlns:c15="http://schemas.microsoft.com/office/drawing/2012/chart" uri="{CE6537A1-D6FC-4f65-9D91-7224C49458BB}"/>
                <c:ext xmlns:c16="http://schemas.microsoft.com/office/drawing/2014/chart" uri="{C3380CC4-5D6E-409C-BE32-E72D297353CC}">
                  <c16:uniqueId val="{0000000B-E87C-B044-A3DD-A6745C92EBCD}"/>
                </c:ext>
              </c:extLst>
            </c:dLbl>
            <c:dLbl>
              <c:idx val="12"/>
              <c:delete val="1"/>
              <c:extLst>
                <c:ext xmlns:c15="http://schemas.microsoft.com/office/drawing/2012/chart" uri="{CE6537A1-D6FC-4f65-9D91-7224C49458BB}"/>
                <c:ext xmlns:c16="http://schemas.microsoft.com/office/drawing/2014/chart" uri="{C3380CC4-5D6E-409C-BE32-E72D297353CC}">
                  <c16:uniqueId val="{0000000C-E87C-B044-A3DD-A6745C92EBCD}"/>
                </c:ext>
              </c:extLst>
            </c:dLbl>
            <c:dLbl>
              <c:idx val="13"/>
              <c:delete val="1"/>
              <c:extLst>
                <c:ext xmlns:c15="http://schemas.microsoft.com/office/drawing/2012/chart" uri="{CE6537A1-D6FC-4f65-9D91-7224C49458BB}"/>
                <c:ext xmlns:c16="http://schemas.microsoft.com/office/drawing/2014/chart" uri="{C3380CC4-5D6E-409C-BE32-E72D297353CC}">
                  <c16:uniqueId val="{0000000D-E87C-B044-A3DD-A6745C92EBCD}"/>
                </c:ext>
              </c:extLst>
            </c:dLbl>
            <c:dLbl>
              <c:idx val="14"/>
              <c:delete val="1"/>
              <c:extLst>
                <c:ext xmlns:c15="http://schemas.microsoft.com/office/drawing/2012/chart" uri="{CE6537A1-D6FC-4f65-9D91-7224C49458BB}"/>
                <c:ext xmlns:c16="http://schemas.microsoft.com/office/drawing/2014/chart" uri="{C3380CC4-5D6E-409C-BE32-E72D297353CC}">
                  <c16:uniqueId val="{0000000E-E87C-B044-A3DD-A6745C92EBCD}"/>
                </c:ext>
              </c:extLst>
            </c:dLbl>
            <c:dLbl>
              <c:idx val="15"/>
              <c:delete val="1"/>
              <c:extLst>
                <c:ext xmlns:c15="http://schemas.microsoft.com/office/drawing/2012/chart" uri="{CE6537A1-D6FC-4f65-9D91-7224C49458BB}"/>
                <c:ext xmlns:c16="http://schemas.microsoft.com/office/drawing/2014/chart" uri="{C3380CC4-5D6E-409C-BE32-E72D297353CC}">
                  <c16:uniqueId val="{0000000F-E87C-B044-A3DD-A6745C92EBCD}"/>
                </c:ext>
              </c:extLst>
            </c:dLbl>
            <c:dLbl>
              <c:idx val="16"/>
              <c:delete val="1"/>
              <c:extLst>
                <c:ext xmlns:c15="http://schemas.microsoft.com/office/drawing/2012/chart" uri="{CE6537A1-D6FC-4f65-9D91-7224C49458BB}"/>
                <c:ext xmlns:c16="http://schemas.microsoft.com/office/drawing/2014/chart" uri="{C3380CC4-5D6E-409C-BE32-E72D297353CC}">
                  <c16:uniqueId val="{00000010-E87C-B044-A3DD-A6745C92EBCD}"/>
                </c:ext>
              </c:extLst>
            </c:dLbl>
            <c:dLbl>
              <c:idx val="17"/>
              <c:delete val="1"/>
              <c:extLst>
                <c:ext xmlns:c15="http://schemas.microsoft.com/office/drawing/2012/chart" uri="{CE6537A1-D6FC-4f65-9D91-7224C49458BB}"/>
                <c:ext xmlns:c16="http://schemas.microsoft.com/office/drawing/2014/chart" uri="{C3380CC4-5D6E-409C-BE32-E72D297353CC}">
                  <c16:uniqueId val="{00000011-E87C-B044-A3DD-A6745C92EBCD}"/>
                </c:ext>
              </c:extLst>
            </c:dLbl>
            <c:dLbl>
              <c:idx val="18"/>
              <c:delete val="1"/>
              <c:extLst>
                <c:ext xmlns:c15="http://schemas.microsoft.com/office/drawing/2012/chart" uri="{CE6537A1-D6FC-4f65-9D91-7224C49458BB}"/>
                <c:ext xmlns:c16="http://schemas.microsoft.com/office/drawing/2014/chart" uri="{C3380CC4-5D6E-409C-BE32-E72D297353CC}">
                  <c16:uniqueId val="{00000012-E87C-B044-A3DD-A6745C92EBCD}"/>
                </c:ext>
              </c:extLst>
            </c:dLbl>
            <c:dLbl>
              <c:idx val="19"/>
              <c:delete val="1"/>
              <c:extLst>
                <c:ext xmlns:c15="http://schemas.microsoft.com/office/drawing/2012/chart" uri="{CE6537A1-D6FC-4f65-9D91-7224C49458BB}"/>
                <c:ext xmlns:c16="http://schemas.microsoft.com/office/drawing/2014/chart" uri="{C3380CC4-5D6E-409C-BE32-E72D297353CC}">
                  <c16:uniqueId val="{00000013-E87C-B044-A3DD-A6745C92EBCD}"/>
                </c:ext>
              </c:extLst>
            </c:dLbl>
            <c:dLbl>
              <c:idx val="20"/>
              <c:delete val="1"/>
              <c:extLst>
                <c:ext xmlns:c15="http://schemas.microsoft.com/office/drawing/2012/chart" uri="{CE6537A1-D6FC-4f65-9D91-7224C49458BB}"/>
                <c:ext xmlns:c16="http://schemas.microsoft.com/office/drawing/2014/chart" uri="{C3380CC4-5D6E-409C-BE32-E72D297353CC}">
                  <c16:uniqueId val="{00000014-E87C-B044-A3DD-A6745C92EBCD}"/>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1"/>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'Figure S1 - 86% eff flare'!$A$60:$A$80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S1 - 86% eff flare'!$H$60:$H$80</c:f>
              <c:numCache>
                <c:formatCode>0</c:formatCode>
                <c:ptCount val="21"/>
                <c:pt idx="0">
                  <c:v>370</c:v>
                </c:pt>
                <c:pt idx="1">
                  <c:v>364.4</c:v>
                </c:pt>
                <c:pt idx="2">
                  <c:v>358.79999999999995</c:v>
                </c:pt>
                <c:pt idx="3">
                  <c:v>353.2</c:v>
                </c:pt>
                <c:pt idx="4">
                  <c:v>347.59999999999997</c:v>
                </c:pt>
                <c:pt idx="5">
                  <c:v>342</c:v>
                </c:pt>
                <c:pt idx="6">
                  <c:v>336.4</c:v>
                </c:pt>
                <c:pt idx="7">
                  <c:v>330.79999999999995</c:v>
                </c:pt>
                <c:pt idx="8">
                  <c:v>325.19999999999993</c:v>
                </c:pt>
                <c:pt idx="9">
                  <c:v>319.59999999999997</c:v>
                </c:pt>
                <c:pt idx="10">
                  <c:v>313.99999999999994</c:v>
                </c:pt>
                <c:pt idx="11">
                  <c:v>308.39999999999998</c:v>
                </c:pt>
                <c:pt idx="12">
                  <c:v>302.79999999999995</c:v>
                </c:pt>
                <c:pt idx="13">
                  <c:v>297.19999999999993</c:v>
                </c:pt>
                <c:pt idx="14">
                  <c:v>291.59999999999997</c:v>
                </c:pt>
                <c:pt idx="15">
                  <c:v>285.99999999999994</c:v>
                </c:pt>
                <c:pt idx="16">
                  <c:v>280.39999999999998</c:v>
                </c:pt>
                <c:pt idx="17">
                  <c:v>274.79999999999995</c:v>
                </c:pt>
                <c:pt idx="18">
                  <c:v>269.19999999999993</c:v>
                </c:pt>
                <c:pt idx="19">
                  <c:v>263.59999999999997</c:v>
                </c:pt>
                <c:pt idx="20">
                  <c:v>257.99999999999994</c:v>
                </c:pt>
              </c:numCache>
            </c:numRef>
          </c:val>
          <c:extLst>
            <c:ext xmlns:c16="http://schemas.microsoft.com/office/drawing/2014/chart" uri="{C3380CC4-5D6E-409C-BE32-E72D297353CC}">
              <c16:uniqueId val="{00000015-E87C-B044-A3DD-A6745C92EBCD}"/>
            </c:ext>
          </c:extLst>
        </c:ser>
        <c:ser>
          <c:idx val="13"/>
          <c:order val="1"/>
          <c:tx>
            <c:v>GWP-100, no leakage</c:v>
          </c:tx>
          <c:spPr>
            <a:solidFill>
              <a:sysClr val="window" lastClr="FFFFFF"/>
            </a:solidFill>
            <a:ln>
              <a:noFill/>
            </a:ln>
            <a:effectLst/>
          </c:spPr>
          <c:cat>
            <c:numRef>
              <c:f>'Figure S1 - 86% eff flare'!$A$60:$A$80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S1 - 86% eff flare'!$B$60:$B$80</c:f>
              <c:numCache>
                <c:formatCode>0</c:formatCode>
                <c:ptCount val="21"/>
                <c:pt idx="0">
                  <c:v>250</c:v>
                </c:pt>
                <c:pt idx="1">
                  <c:v>245.24</c:v>
                </c:pt>
                <c:pt idx="2">
                  <c:v>240.48</c:v>
                </c:pt>
                <c:pt idx="3">
                  <c:v>235.72</c:v>
                </c:pt>
                <c:pt idx="4">
                  <c:v>230.95999999999998</c:v>
                </c:pt>
                <c:pt idx="5">
                  <c:v>226.2</c:v>
                </c:pt>
                <c:pt idx="6">
                  <c:v>221.43999999999997</c:v>
                </c:pt>
                <c:pt idx="7">
                  <c:v>216.67999999999998</c:v>
                </c:pt>
                <c:pt idx="8">
                  <c:v>211.91999999999996</c:v>
                </c:pt>
                <c:pt idx="9">
                  <c:v>207.15999999999997</c:v>
                </c:pt>
                <c:pt idx="10">
                  <c:v>202.39999999999995</c:v>
                </c:pt>
                <c:pt idx="11">
                  <c:v>197.63999999999996</c:v>
                </c:pt>
                <c:pt idx="12">
                  <c:v>192.87999999999997</c:v>
                </c:pt>
                <c:pt idx="13">
                  <c:v>188.11999999999995</c:v>
                </c:pt>
                <c:pt idx="14">
                  <c:v>183.35999999999996</c:v>
                </c:pt>
                <c:pt idx="15">
                  <c:v>178.59999999999997</c:v>
                </c:pt>
                <c:pt idx="16">
                  <c:v>173.83999999999997</c:v>
                </c:pt>
                <c:pt idx="17">
                  <c:v>169.07999999999998</c:v>
                </c:pt>
                <c:pt idx="18">
                  <c:v>164.31999999999996</c:v>
                </c:pt>
                <c:pt idx="19">
                  <c:v>159.55999999999997</c:v>
                </c:pt>
                <c:pt idx="20">
                  <c:v>154.79999999999998</c:v>
                </c:pt>
              </c:numCache>
            </c:numRef>
          </c:val>
          <c:extLst>
            <c:ext xmlns:c16="http://schemas.microsoft.com/office/drawing/2014/chart" uri="{C3380CC4-5D6E-409C-BE32-E72D297353CC}">
              <c16:uniqueId val="{00000016-E87C-B044-A3DD-A6745C92EBCD}"/>
            </c:ext>
          </c:extLst>
        </c:ser>
        <c:ser>
          <c:idx val="1"/>
          <c:order val="2"/>
          <c:tx>
            <c:v>GWP-20, 0-15% leakage</c:v>
          </c:tx>
          <c:spPr>
            <a:solidFill>
              <a:srgbClr val="70AD47">
                <a:lumMod val="60000"/>
                <a:lumOff val="40000"/>
                <a:alpha val="70000"/>
              </a:srgbClr>
            </a:solidFill>
            <a:ln>
              <a:noFill/>
            </a:ln>
            <a:effectLst/>
          </c:spPr>
          <c:dLbls>
            <c:dLbl>
              <c:idx val="0"/>
              <c:delete val="1"/>
              <c:extLst>
                <c:ext xmlns:c15="http://schemas.microsoft.com/office/drawing/2012/chart" uri="{CE6537A1-D6FC-4f65-9D91-7224C49458BB}"/>
                <c:ext xmlns:c16="http://schemas.microsoft.com/office/drawing/2014/chart" uri="{C3380CC4-5D6E-409C-BE32-E72D297353CC}">
                  <c16:uniqueId val="{00000017-E87C-B044-A3DD-A6745C92EBCD}"/>
                </c:ext>
              </c:extLst>
            </c:dLbl>
            <c:dLbl>
              <c:idx val="1"/>
              <c:delete val="1"/>
              <c:extLst>
                <c:ext xmlns:c15="http://schemas.microsoft.com/office/drawing/2012/chart" uri="{CE6537A1-D6FC-4f65-9D91-7224C49458BB}"/>
                <c:ext xmlns:c16="http://schemas.microsoft.com/office/drawing/2014/chart" uri="{C3380CC4-5D6E-409C-BE32-E72D297353CC}">
                  <c16:uniqueId val="{00000018-E87C-B044-A3DD-A6745C92EBCD}"/>
                </c:ext>
              </c:extLst>
            </c:dLbl>
            <c:dLbl>
              <c:idx val="2"/>
              <c:delete val="1"/>
              <c:extLst>
                <c:ext xmlns:c15="http://schemas.microsoft.com/office/drawing/2012/chart" uri="{CE6537A1-D6FC-4f65-9D91-7224C49458BB}"/>
                <c:ext xmlns:c16="http://schemas.microsoft.com/office/drawing/2014/chart" uri="{C3380CC4-5D6E-409C-BE32-E72D297353CC}">
                  <c16:uniqueId val="{00000019-E87C-B044-A3DD-A6745C92EBCD}"/>
                </c:ext>
              </c:extLst>
            </c:dLbl>
            <c:dLbl>
              <c:idx val="3"/>
              <c:delete val="1"/>
              <c:extLst>
                <c:ext xmlns:c15="http://schemas.microsoft.com/office/drawing/2012/chart" uri="{CE6537A1-D6FC-4f65-9D91-7224C49458BB}"/>
                <c:ext xmlns:c16="http://schemas.microsoft.com/office/drawing/2014/chart" uri="{C3380CC4-5D6E-409C-BE32-E72D297353CC}">
                  <c16:uniqueId val="{0000001A-E87C-B044-A3DD-A6745C92EBCD}"/>
                </c:ext>
              </c:extLst>
            </c:dLbl>
            <c:dLbl>
              <c:idx val="4"/>
              <c:delete val="1"/>
              <c:extLst>
                <c:ext xmlns:c15="http://schemas.microsoft.com/office/drawing/2012/chart" uri="{CE6537A1-D6FC-4f65-9D91-7224C49458BB}"/>
                <c:ext xmlns:c16="http://schemas.microsoft.com/office/drawing/2014/chart" uri="{C3380CC4-5D6E-409C-BE32-E72D297353CC}">
                  <c16:uniqueId val="{0000001B-E87C-B044-A3DD-A6745C92EBCD}"/>
                </c:ext>
              </c:extLst>
            </c:dLbl>
            <c:dLbl>
              <c:idx val="5"/>
              <c:delete val="1"/>
              <c:extLst>
                <c:ext xmlns:c15="http://schemas.microsoft.com/office/drawing/2012/chart" uri="{CE6537A1-D6FC-4f65-9D91-7224C49458BB}"/>
                <c:ext xmlns:c16="http://schemas.microsoft.com/office/drawing/2014/chart" uri="{C3380CC4-5D6E-409C-BE32-E72D297353CC}">
                  <c16:uniqueId val="{0000001C-E87C-B044-A3DD-A6745C92EBCD}"/>
                </c:ext>
              </c:extLst>
            </c:dLbl>
            <c:dLbl>
              <c:idx val="6"/>
              <c:delete val="1"/>
              <c:extLst>
                <c:ext xmlns:c15="http://schemas.microsoft.com/office/drawing/2012/chart" uri="{CE6537A1-D6FC-4f65-9D91-7224C49458BB}"/>
                <c:ext xmlns:c16="http://schemas.microsoft.com/office/drawing/2014/chart" uri="{C3380CC4-5D6E-409C-BE32-E72D297353CC}">
                  <c16:uniqueId val="{0000001D-E87C-B044-A3DD-A6745C92EBCD}"/>
                </c:ext>
              </c:extLst>
            </c:dLbl>
            <c:dLbl>
              <c:idx val="7"/>
              <c:delete val="1"/>
              <c:extLst>
                <c:ext xmlns:c15="http://schemas.microsoft.com/office/drawing/2012/chart" uri="{CE6537A1-D6FC-4f65-9D91-7224C49458BB}"/>
                <c:ext xmlns:c16="http://schemas.microsoft.com/office/drawing/2014/chart" uri="{C3380CC4-5D6E-409C-BE32-E72D297353CC}">
                  <c16:uniqueId val="{0000001E-E87C-B044-A3DD-A6745C92EBCD}"/>
                </c:ext>
              </c:extLst>
            </c:dLbl>
            <c:dLbl>
              <c:idx val="8"/>
              <c:delete val="1"/>
              <c:extLst>
                <c:ext xmlns:c15="http://schemas.microsoft.com/office/drawing/2012/chart" uri="{CE6537A1-D6FC-4f65-9D91-7224C49458BB}"/>
                <c:ext xmlns:c16="http://schemas.microsoft.com/office/drawing/2014/chart" uri="{C3380CC4-5D6E-409C-BE32-E72D297353CC}">
                  <c16:uniqueId val="{0000001F-E87C-B044-A3DD-A6745C92EBCD}"/>
                </c:ext>
              </c:extLst>
            </c:dLbl>
            <c:dLbl>
              <c:idx val="9"/>
              <c:delete val="1"/>
              <c:extLst>
                <c:ext xmlns:c15="http://schemas.microsoft.com/office/drawing/2012/chart" uri="{CE6537A1-D6FC-4f65-9D91-7224C49458BB}"/>
                <c:ext xmlns:c16="http://schemas.microsoft.com/office/drawing/2014/chart" uri="{C3380CC4-5D6E-409C-BE32-E72D297353CC}">
                  <c16:uniqueId val="{00000020-E87C-B044-A3DD-A6745C92EBCD}"/>
                </c:ext>
              </c:extLst>
            </c:dLbl>
            <c:dLbl>
              <c:idx val="10"/>
              <c:delete val="1"/>
              <c:extLst>
                <c:ext xmlns:c15="http://schemas.microsoft.com/office/drawing/2012/chart" uri="{CE6537A1-D6FC-4f65-9D91-7224C49458BB}"/>
                <c:ext xmlns:c16="http://schemas.microsoft.com/office/drawing/2014/chart" uri="{C3380CC4-5D6E-409C-BE32-E72D297353CC}">
                  <c16:uniqueId val="{00000021-E87C-B044-A3DD-A6745C92EBCD}"/>
                </c:ext>
              </c:extLst>
            </c:dLbl>
            <c:dLbl>
              <c:idx val="11"/>
              <c:delete val="1"/>
              <c:extLst>
                <c:ext xmlns:c15="http://schemas.microsoft.com/office/drawing/2012/chart" uri="{CE6537A1-D6FC-4f65-9D91-7224C49458BB}"/>
                <c:ext xmlns:c16="http://schemas.microsoft.com/office/drawing/2014/chart" uri="{C3380CC4-5D6E-409C-BE32-E72D297353CC}">
                  <c16:uniqueId val="{00000022-E87C-B044-A3DD-A6745C92EBCD}"/>
                </c:ext>
              </c:extLst>
            </c:dLbl>
            <c:dLbl>
              <c:idx val="12"/>
              <c:layout>
                <c:manualLayout>
                  <c:x val="0.20042913765846837"/>
                  <c:y val="-0.26820321802554775"/>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23-E87C-B044-A3DD-A6745C92EBCD}"/>
                </c:ext>
              </c:extLst>
            </c:dLbl>
            <c:dLbl>
              <c:idx val="13"/>
              <c:delete val="1"/>
              <c:extLst>
                <c:ext xmlns:c15="http://schemas.microsoft.com/office/drawing/2012/chart" uri="{CE6537A1-D6FC-4f65-9D91-7224C49458BB}"/>
                <c:ext xmlns:c16="http://schemas.microsoft.com/office/drawing/2014/chart" uri="{C3380CC4-5D6E-409C-BE32-E72D297353CC}">
                  <c16:uniqueId val="{00000024-E87C-B044-A3DD-A6745C92EBCD}"/>
                </c:ext>
              </c:extLst>
            </c:dLbl>
            <c:dLbl>
              <c:idx val="14"/>
              <c:delete val="1"/>
              <c:extLst>
                <c:ext xmlns:c15="http://schemas.microsoft.com/office/drawing/2012/chart" uri="{CE6537A1-D6FC-4f65-9D91-7224C49458BB}"/>
                <c:ext xmlns:c16="http://schemas.microsoft.com/office/drawing/2014/chart" uri="{C3380CC4-5D6E-409C-BE32-E72D297353CC}">
                  <c16:uniqueId val="{00000025-E87C-B044-A3DD-A6745C92EBCD}"/>
                </c:ext>
              </c:extLst>
            </c:dLbl>
            <c:dLbl>
              <c:idx val="15"/>
              <c:delete val="1"/>
              <c:extLst>
                <c:ext xmlns:c15="http://schemas.microsoft.com/office/drawing/2012/chart" uri="{CE6537A1-D6FC-4f65-9D91-7224C49458BB}"/>
                <c:ext xmlns:c16="http://schemas.microsoft.com/office/drawing/2014/chart" uri="{C3380CC4-5D6E-409C-BE32-E72D297353CC}">
                  <c16:uniqueId val="{00000026-E87C-B044-A3DD-A6745C92EBCD}"/>
                </c:ext>
              </c:extLst>
            </c:dLbl>
            <c:dLbl>
              <c:idx val="16"/>
              <c:delete val="1"/>
              <c:extLst>
                <c:ext xmlns:c15="http://schemas.microsoft.com/office/drawing/2012/chart" uri="{CE6537A1-D6FC-4f65-9D91-7224C49458BB}"/>
                <c:ext xmlns:c16="http://schemas.microsoft.com/office/drawing/2014/chart" uri="{C3380CC4-5D6E-409C-BE32-E72D297353CC}">
                  <c16:uniqueId val="{00000027-E87C-B044-A3DD-A6745C92EBCD}"/>
                </c:ext>
              </c:extLst>
            </c:dLbl>
            <c:dLbl>
              <c:idx val="17"/>
              <c:delete val="1"/>
              <c:extLst>
                <c:ext xmlns:c15="http://schemas.microsoft.com/office/drawing/2012/chart" uri="{CE6537A1-D6FC-4f65-9D91-7224C49458BB}"/>
                <c:ext xmlns:c16="http://schemas.microsoft.com/office/drawing/2014/chart" uri="{C3380CC4-5D6E-409C-BE32-E72D297353CC}">
                  <c16:uniqueId val="{00000028-E87C-B044-A3DD-A6745C92EBCD}"/>
                </c:ext>
              </c:extLst>
            </c:dLbl>
            <c:dLbl>
              <c:idx val="18"/>
              <c:delete val="1"/>
              <c:extLst>
                <c:ext xmlns:c15="http://schemas.microsoft.com/office/drawing/2012/chart" uri="{CE6537A1-D6FC-4f65-9D91-7224C49458BB}"/>
                <c:ext xmlns:c16="http://schemas.microsoft.com/office/drawing/2014/chart" uri="{C3380CC4-5D6E-409C-BE32-E72D297353CC}">
                  <c16:uniqueId val="{00000029-E87C-B044-A3DD-A6745C92EBCD}"/>
                </c:ext>
              </c:extLst>
            </c:dLbl>
            <c:dLbl>
              <c:idx val="19"/>
              <c:delete val="1"/>
              <c:extLst>
                <c:ext xmlns:c15="http://schemas.microsoft.com/office/drawing/2012/chart" uri="{CE6537A1-D6FC-4f65-9D91-7224C49458BB}"/>
                <c:ext xmlns:c16="http://schemas.microsoft.com/office/drawing/2014/chart" uri="{C3380CC4-5D6E-409C-BE32-E72D297353CC}">
                  <c16:uniqueId val="{0000002A-E87C-B044-A3DD-A6745C92EBCD}"/>
                </c:ext>
              </c:extLst>
            </c:dLbl>
            <c:dLbl>
              <c:idx val="20"/>
              <c:delete val="1"/>
              <c:extLst>
                <c:ext xmlns:c15="http://schemas.microsoft.com/office/drawing/2012/chart" uri="{CE6537A1-D6FC-4f65-9D91-7224C49458BB}"/>
                <c:ext xmlns:c16="http://schemas.microsoft.com/office/drawing/2014/chart" uri="{C3380CC4-5D6E-409C-BE32-E72D297353CC}">
                  <c16:uniqueId val="{0000002B-E87C-B044-A3DD-A6745C92EBCD}"/>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1"/>
            <c:showCatName val="0"/>
            <c:showSerName val="1"/>
            <c:showPercent val="0"/>
            <c:showBubbleSize val="0"/>
            <c:showLeaderLines val="0"/>
            <c:extLst>
              <c:ext xmlns:c15="http://schemas.microsoft.com/office/drawing/2012/chart" uri="{CE6537A1-D6FC-4f65-9D91-7224C49458BB}">
                <c15:showLeaderLines val="0"/>
              </c:ext>
            </c:extLst>
          </c:dLbls>
          <c:cat>
            <c:numRef>
              <c:f>'Figure S1 - 86% eff flare'!$A$60:$A$80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S1 - 86% eff flare'!$O$60:$O$80</c:f>
              <c:numCache>
                <c:formatCode>0</c:formatCode>
                <c:ptCount val="21"/>
                <c:pt idx="0">
                  <c:v>553.52941176470586</c:v>
                </c:pt>
                <c:pt idx="1">
                  <c:v>539.36470588235295</c:v>
                </c:pt>
                <c:pt idx="2">
                  <c:v>525.20000000000005</c:v>
                </c:pt>
                <c:pt idx="3">
                  <c:v>511.03529411764708</c:v>
                </c:pt>
                <c:pt idx="4">
                  <c:v>496.87058823529406</c:v>
                </c:pt>
                <c:pt idx="5">
                  <c:v>482.7058823529411</c:v>
                </c:pt>
                <c:pt idx="6">
                  <c:v>468.5411764705882</c:v>
                </c:pt>
                <c:pt idx="7">
                  <c:v>454.37647058823518</c:v>
                </c:pt>
                <c:pt idx="8">
                  <c:v>440.21176470588227</c:v>
                </c:pt>
                <c:pt idx="9">
                  <c:v>426.04705882352926</c:v>
                </c:pt>
                <c:pt idx="10">
                  <c:v>411.88235294117635</c:v>
                </c:pt>
                <c:pt idx="11">
                  <c:v>397.71764705882345</c:v>
                </c:pt>
                <c:pt idx="12">
                  <c:v>383.55294117647048</c:v>
                </c:pt>
                <c:pt idx="13">
                  <c:v>369.38823529411752</c:v>
                </c:pt>
                <c:pt idx="14">
                  <c:v>355.22352941176462</c:v>
                </c:pt>
                <c:pt idx="15">
                  <c:v>341.05882352941165</c:v>
                </c:pt>
                <c:pt idx="16">
                  <c:v>326.89411764705869</c:v>
                </c:pt>
                <c:pt idx="17">
                  <c:v>312.72941176470579</c:v>
                </c:pt>
                <c:pt idx="18">
                  <c:v>298.56470588235283</c:v>
                </c:pt>
                <c:pt idx="19">
                  <c:v>284.39999999999986</c:v>
                </c:pt>
                <c:pt idx="20">
                  <c:v>270.23529411764696</c:v>
                </c:pt>
              </c:numCache>
            </c:numRef>
          </c:val>
          <c:extLst>
            <c:ext xmlns:c16="http://schemas.microsoft.com/office/drawing/2014/chart" uri="{C3380CC4-5D6E-409C-BE32-E72D297353CC}">
              <c16:uniqueId val="{0000002C-E87C-B044-A3DD-A6745C92EBCD}"/>
            </c:ext>
          </c:extLst>
        </c:ser>
        <c:ser>
          <c:idx val="0"/>
          <c:order val="3"/>
          <c:tx>
            <c:v>GWP-20, no leakage</c:v>
          </c:tx>
          <c:spPr>
            <a:solidFill>
              <a:sysClr val="window" lastClr="FFFFFF"/>
            </a:solidFill>
            <a:ln>
              <a:noFill/>
            </a:ln>
            <a:effectLst/>
          </c:spPr>
          <c:cat>
            <c:numRef>
              <c:f>'Figure S1 - 86% eff flare'!$A$60:$A$80</c:f>
              <c:numCache>
                <c:formatCode>0%</c:formatCode>
                <c:ptCount val="21"/>
                <c:pt idx="0">
                  <c:v>1</c:v>
                </c:pt>
                <c:pt idx="1">
                  <c:v>0.95</c:v>
                </c:pt>
                <c:pt idx="2">
                  <c:v>0.89999999999999991</c:v>
                </c:pt>
                <c:pt idx="3">
                  <c:v>0.84999999999999987</c:v>
                </c:pt>
                <c:pt idx="4">
                  <c:v>0.79999999999999982</c:v>
                </c:pt>
                <c:pt idx="5">
                  <c:v>0.74999999999999978</c:v>
                </c:pt>
                <c:pt idx="6">
                  <c:v>0.69999999999999973</c:v>
                </c:pt>
                <c:pt idx="7">
                  <c:v>0.64999999999999969</c:v>
                </c:pt>
                <c:pt idx="8">
                  <c:v>0.59999999999999964</c:v>
                </c:pt>
                <c:pt idx="9">
                  <c:v>0.5499999999999996</c:v>
                </c:pt>
                <c:pt idx="10">
                  <c:v>0.49999999999999961</c:v>
                </c:pt>
                <c:pt idx="11">
                  <c:v>0.44999999999999962</c:v>
                </c:pt>
                <c:pt idx="12">
                  <c:v>0.39999999999999963</c:v>
                </c:pt>
                <c:pt idx="13">
                  <c:v>0.34999999999999964</c:v>
                </c:pt>
                <c:pt idx="14">
                  <c:v>0.29999999999999966</c:v>
                </c:pt>
                <c:pt idx="15">
                  <c:v>0.24999999999999967</c:v>
                </c:pt>
                <c:pt idx="16">
                  <c:v>0.19999999999999968</c:v>
                </c:pt>
                <c:pt idx="17">
                  <c:v>0.14999999999999969</c:v>
                </c:pt>
                <c:pt idx="18">
                  <c:v>9.9999999999999686E-2</c:v>
                </c:pt>
                <c:pt idx="19">
                  <c:v>4.9999999999999684E-2</c:v>
                </c:pt>
                <c:pt idx="20">
                  <c:v>-3.1918911957973251E-16</c:v>
                </c:pt>
              </c:numCache>
            </c:numRef>
          </c:cat>
          <c:val>
            <c:numRef>
              <c:f>'Figure S1 - 86% eff flare'!$I$60:$I$80</c:f>
              <c:numCache>
                <c:formatCode>0</c:formatCode>
                <c:ptCount val="21"/>
                <c:pt idx="0">
                  <c:v>250</c:v>
                </c:pt>
                <c:pt idx="1">
                  <c:v>237.95999999999998</c:v>
                </c:pt>
                <c:pt idx="2">
                  <c:v>225.92</c:v>
                </c:pt>
                <c:pt idx="3">
                  <c:v>213.87999999999997</c:v>
                </c:pt>
                <c:pt idx="4">
                  <c:v>201.83999999999995</c:v>
                </c:pt>
                <c:pt idx="5">
                  <c:v>189.79999999999995</c:v>
                </c:pt>
                <c:pt idx="6">
                  <c:v>177.75999999999993</c:v>
                </c:pt>
                <c:pt idx="7">
                  <c:v>165.71999999999991</c:v>
                </c:pt>
                <c:pt idx="8">
                  <c:v>153.67999999999989</c:v>
                </c:pt>
                <c:pt idx="9">
                  <c:v>141.6399999999999</c:v>
                </c:pt>
                <c:pt idx="10">
                  <c:v>129.59999999999988</c:v>
                </c:pt>
                <c:pt idx="11">
                  <c:v>117.55999999999992</c:v>
                </c:pt>
                <c:pt idx="12">
                  <c:v>105.51999999999992</c:v>
                </c:pt>
                <c:pt idx="13">
                  <c:v>93.479999999999905</c:v>
                </c:pt>
                <c:pt idx="14">
                  <c:v>81.439999999999884</c:v>
                </c:pt>
                <c:pt idx="15">
                  <c:v>69.39999999999992</c:v>
                </c:pt>
                <c:pt idx="16">
                  <c:v>57.359999999999928</c:v>
                </c:pt>
                <c:pt idx="17">
                  <c:v>45.319999999999908</c:v>
                </c:pt>
                <c:pt idx="18">
                  <c:v>33.279999999999916</c:v>
                </c:pt>
                <c:pt idx="19">
                  <c:v>21.239999999999924</c:v>
                </c:pt>
                <c:pt idx="20">
                  <c:v>9.1999999999999318</c:v>
                </c:pt>
              </c:numCache>
            </c:numRef>
          </c:val>
          <c:extLst>
            <c:ext xmlns:c16="http://schemas.microsoft.com/office/drawing/2014/chart" uri="{C3380CC4-5D6E-409C-BE32-E72D297353CC}">
              <c16:uniqueId val="{0000002D-E87C-B044-A3DD-A6745C92EBCD}"/>
            </c:ext>
          </c:extLst>
        </c:ser>
        <c:dLbls>
          <c:showLegendKey val="0"/>
          <c:showVal val="0"/>
          <c:showCatName val="0"/>
          <c:showSerName val="0"/>
          <c:showPercent val="0"/>
          <c:showBubbleSize val="0"/>
        </c:dLbls>
        <c:axId val="200612992"/>
        <c:axId val="170515008"/>
      </c:areaChart>
      <c:lineChart>
        <c:grouping val="standard"/>
        <c:varyColors val="0"/>
        <c:ser>
          <c:idx val="2"/>
          <c:order val="4"/>
          <c:tx>
            <c:v>0-axis</c:v>
          </c:tx>
          <c:spPr>
            <a:ln w="28575" cap="rnd">
              <a:solidFill>
                <a:sysClr val="windowText" lastClr="000000"/>
              </a:solidFill>
              <a:round/>
            </a:ln>
            <a:effectLst/>
          </c:spPr>
          <c:marker>
            <c:symbol val="none"/>
          </c:marker>
          <c:val>
            <c:numRef>
              <c:f>'Figure S1 - 86% eff flare'!$P$60:$P$80</c:f>
              <c:numCache>
                <c:formatCode>0</c:formatCode>
                <c:ptCount val="21"/>
                <c:pt idx="0">
                  <c:v>250</c:v>
                </c:pt>
                <c:pt idx="1">
                  <c:v>250</c:v>
                </c:pt>
                <c:pt idx="2">
                  <c:v>250</c:v>
                </c:pt>
                <c:pt idx="3">
                  <c:v>250</c:v>
                </c:pt>
                <c:pt idx="4">
                  <c:v>250</c:v>
                </c:pt>
                <c:pt idx="5">
                  <c:v>250</c:v>
                </c:pt>
                <c:pt idx="6">
                  <c:v>250</c:v>
                </c:pt>
                <c:pt idx="7">
                  <c:v>250</c:v>
                </c:pt>
                <c:pt idx="8">
                  <c:v>250</c:v>
                </c:pt>
                <c:pt idx="9">
                  <c:v>250</c:v>
                </c:pt>
                <c:pt idx="10">
                  <c:v>250</c:v>
                </c:pt>
                <c:pt idx="11">
                  <c:v>250</c:v>
                </c:pt>
                <c:pt idx="12">
                  <c:v>250</c:v>
                </c:pt>
                <c:pt idx="13">
                  <c:v>250</c:v>
                </c:pt>
                <c:pt idx="14">
                  <c:v>250</c:v>
                </c:pt>
                <c:pt idx="15">
                  <c:v>250</c:v>
                </c:pt>
                <c:pt idx="16">
                  <c:v>250</c:v>
                </c:pt>
                <c:pt idx="17">
                  <c:v>250</c:v>
                </c:pt>
                <c:pt idx="18">
                  <c:v>250</c:v>
                </c:pt>
                <c:pt idx="19">
                  <c:v>250</c:v>
                </c:pt>
                <c:pt idx="20">
                  <c:v>250</c:v>
                </c:pt>
              </c:numCache>
            </c:numRef>
          </c:val>
          <c:smooth val="0"/>
          <c:extLst>
            <c:ext xmlns:c16="http://schemas.microsoft.com/office/drawing/2014/chart" uri="{C3380CC4-5D6E-409C-BE32-E72D297353CC}">
              <c16:uniqueId val="{0000002E-E87C-B044-A3DD-A6745C92EBCD}"/>
            </c:ext>
          </c:extLst>
        </c:ser>
        <c:ser>
          <c:idx val="3"/>
          <c:order val="5"/>
          <c:tx>
            <c:v>GWP-100, FNG</c:v>
          </c:tx>
          <c:spPr>
            <a:ln w="28575" cap="rnd">
              <a:solidFill>
                <a:srgbClr val="5B9BD5"/>
              </a:solidFill>
              <a:round/>
            </a:ln>
            <a:effectLst/>
          </c:spPr>
          <c:marker>
            <c:symbol val="none"/>
          </c:marker>
          <c:dLbls>
            <c:dLbl>
              <c:idx val="0"/>
              <c:layout>
                <c:manualLayout>
                  <c:x val="1.0843373493975727E-2"/>
                  <c:y val="2.3255813953488302E-2"/>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2F-E87C-B044-A3DD-A6745C92EBCD}"/>
                </c:ext>
              </c:extLst>
            </c:dLbl>
            <c:dLbl>
              <c:idx val="1"/>
              <c:delete val="1"/>
              <c:extLst>
                <c:ext xmlns:c15="http://schemas.microsoft.com/office/drawing/2012/chart" uri="{CE6537A1-D6FC-4f65-9D91-7224C49458BB}"/>
                <c:ext xmlns:c16="http://schemas.microsoft.com/office/drawing/2014/chart" uri="{C3380CC4-5D6E-409C-BE32-E72D297353CC}">
                  <c16:uniqueId val="{00000030-E87C-B044-A3DD-A6745C92EBCD}"/>
                </c:ext>
              </c:extLst>
            </c:dLbl>
            <c:dLbl>
              <c:idx val="2"/>
              <c:delete val="1"/>
              <c:extLst>
                <c:ext xmlns:c15="http://schemas.microsoft.com/office/drawing/2012/chart" uri="{CE6537A1-D6FC-4f65-9D91-7224C49458BB}"/>
                <c:ext xmlns:c16="http://schemas.microsoft.com/office/drawing/2014/chart" uri="{C3380CC4-5D6E-409C-BE32-E72D297353CC}">
                  <c16:uniqueId val="{00000031-E87C-B044-A3DD-A6745C92EBCD}"/>
                </c:ext>
              </c:extLst>
            </c:dLbl>
            <c:dLbl>
              <c:idx val="3"/>
              <c:delete val="1"/>
              <c:extLst>
                <c:ext xmlns:c15="http://schemas.microsoft.com/office/drawing/2012/chart" uri="{CE6537A1-D6FC-4f65-9D91-7224C49458BB}"/>
                <c:ext xmlns:c16="http://schemas.microsoft.com/office/drawing/2014/chart" uri="{C3380CC4-5D6E-409C-BE32-E72D297353CC}">
                  <c16:uniqueId val="{00000032-E87C-B044-A3DD-A6745C92EBCD}"/>
                </c:ext>
              </c:extLst>
            </c:dLbl>
            <c:dLbl>
              <c:idx val="4"/>
              <c:delete val="1"/>
              <c:extLst>
                <c:ext xmlns:c15="http://schemas.microsoft.com/office/drawing/2012/chart" uri="{CE6537A1-D6FC-4f65-9D91-7224C49458BB}"/>
                <c:ext xmlns:c16="http://schemas.microsoft.com/office/drawing/2014/chart" uri="{C3380CC4-5D6E-409C-BE32-E72D297353CC}">
                  <c16:uniqueId val="{00000033-E87C-B044-A3DD-A6745C92EBCD}"/>
                </c:ext>
              </c:extLst>
            </c:dLbl>
            <c:dLbl>
              <c:idx val="5"/>
              <c:delete val="1"/>
              <c:extLst>
                <c:ext xmlns:c15="http://schemas.microsoft.com/office/drawing/2012/chart" uri="{CE6537A1-D6FC-4f65-9D91-7224C49458BB}"/>
                <c:ext xmlns:c16="http://schemas.microsoft.com/office/drawing/2014/chart" uri="{C3380CC4-5D6E-409C-BE32-E72D297353CC}">
                  <c16:uniqueId val="{00000034-E87C-B044-A3DD-A6745C92EBCD}"/>
                </c:ext>
              </c:extLst>
            </c:dLbl>
            <c:dLbl>
              <c:idx val="6"/>
              <c:delete val="1"/>
              <c:extLst>
                <c:ext xmlns:c15="http://schemas.microsoft.com/office/drawing/2012/chart" uri="{CE6537A1-D6FC-4f65-9D91-7224C49458BB}"/>
                <c:ext xmlns:c16="http://schemas.microsoft.com/office/drawing/2014/chart" uri="{C3380CC4-5D6E-409C-BE32-E72D297353CC}">
                  <c16:uniqueId val="{00000035-E87C-B044-A3DD-A6745C92EBCD}"/>
                </c:ext>
              </c:extLst>
            </c:dLbl>
            <c:dLbl>
              <c:idx val="7"/>
              <c:delete val="1"/>
              <c:extLst>
                <c:ext xmlns:c15="http://schemas.microsoft.com/office/drawing/2012/chart" uri="{CE6537A1-D6FC-4f65-9D91-7224C49458BB}"/>
                <c:ext xmlns:c16="http://schemas.microsoft.com/office/drawing/2014/chart" uri="{C3380CC4-5D6E-409C-BE32-E72D297353CC}">
                  <c16:uniqueId val="{00000036-E87C-B044-A3DD-A6745C92EBCD}"/>
                </c:ext>
              </c:extLst>
            </c:dLbl>
            <c:dLbl>
              <c:idx val="8"/>
              <c:delete val="1"/>
              <c:extLst>
                <c:ext xmlns:c15="http://schemas.microsoft.com/office/drawing/2012/chart" uri="{CE6537A1-D6FC-4f65-9D91-7224C49458BB}"/>
                <c:ext xmlns:c16="http://schemas.microsoft.com/office/drawing/2014/chart" uri="{C3380CC4-5D6E-409C-BE32-E72D297353CC}">
                  <c16:uniqueId val="{00000037-E87C-B044-A3DD-A6745C92EBCD}"/>
                </c:ext>
              </c:extLst>
            </c:dLbl>
            <c:dLbl>
              <c:idx val="9"/>
              <c:delete val="1"/>
              <c:extLst>
                <c:ext xmlns:c15="http://schemas.microsoft.com/office/drawing/2012/chart" uri="{CE6537A1-D6FC-4f65-9D91-7224C49458BB}"/>
                <c:ext xmlns:c16="http://schemas.microsoft.com/office/drawing/2014/chart" uri="{C3380CC4-5D6E-409C-BE32-E72D297353CC}">
                  <c16:uniqueId val="{00000038-E87C-B044-A3DD-A6745C92EBCD}"/>
                </c:ext>
              </c:extLst>
            </c:dLbl>
            <c:dLbl>
              <c:idx val="10"/>
              <c:delete val="1"/>
              <c:extLst>
                <c:ext xmlns:c15="http://schemas.microsoft.com/office/drawing/2012/chart" uri="{CE6537A1-D6FC-4f65-9D91-7224C49458BB}"/>
                <c:ext xmlns:c16="http://schemas.microsoft.com/office/drawing/2014/chart" uri="{C3380CC4-5D6E-409C-BE32-E72D297353CC}">
                  <c16:uniqueId val="{00000039-E87C-B044-A3DD-A6745C92EBCD}"/>
                </c:ext>
              </c:extLst>
            </c:dLbl>
            <c:dLbl>
              <c:idx val="11"/>
              <c:delete val="1"/>
              <c:extLst>
                <c:ext xmlns:c15="http://schemas.microsoft.com/office/drawing/2012/chart" uri="{CE6537A1-D6FC-4f65-9D91-7224C49458BB}"/>
                <c:ext xmlns:c16="http://schemas.microsoft.com/office/drawing/2014/chart" uri="{C3380CC4-5D6E-409C-BE32-E72D297353CC}">
                  <c16:uniqueId val="{0000003A-E87C-B044-A3DD-A6745C92EBCD}"/>
                </c:ext>
              </c:extLst>
            </c:dLbl>
            <c:dLbl>
              <c:idx val="12"/>
              <c:delete val="1"/>
              <c:extLst>
                <c:ext xmlns:c15="http://schemas.microsoft.com/office/drawing/2012/chart" uri="{CE6537A1-D6FC-4f65-9D91-7224C49458BB}"/>
                <c:ext xmlns:c16="http://schemas.microsoft.com/office/drawing/2014/chart" uri="{C3380CC4-5D6E-409C-BE32-E72D297353CC}">
                  <c16:uniqueId val="{0000003B-E87C-B044-A3DD-A6745C92EBCD}"/>
                </c:ext>
              </c:extLst>
            </c:dLbl>
            <c:dLbl>
              <c:idx val="13"/>
              <c:delete val="1"/>
              <c:extLst>
                <c:ext xmlns:c15="http://schemas.microsoft.com/office/drawing/2012/chart" uri="{CE6537A1-D6FC-4f65-9D91-7224C49458BB}"/>
                <c:ext xmlns:c16="http://schemas.microsoft.com/office/drawing/2014/chart" uri="{C3380CC4-5D6E-409C-BE32-E72D297353CC}">
                  <c16:uniqueId val="{0000003C-E87C-B044-A3DD-A6745C92EBCD}"/>
                </c:ext>
              </c:extLst>
            </c:dLbl>
            <c:dLbl>
              <c:idx val="14"/>
              <c:delete val="1"/>
              <c:extLst>
                <c:ext xmlns:c15="http://schemas.microsoft.com/office/drawing/2012/chart" uri="{CE6537A1-D6FC-4f65-9D91-7224C49458BB}"/>
                <c:ext xmlns:c16="http://schemas.microsoft.com/office/drawing/2014/chart" uri="{C3380CC4-5D6E-409C-BE32-E72D297353CC}">
                  <c16:uniqueId val="{0000003D-E87C-B044-A3DD-A6745C92EBCD}"/>
                </c:ext>
              </c:extLst>
            </c:dLbl>
            <c:dLbl>
              <c:idx val="15"/>
              <c:delete val="1"/>
              <c:extLst>
                <c:ext xmlns:c15="http://schemas.microsoft.com/office/drawing/2012/chart" uri="{CE6537A1-D6FC-4f65-9D91-7224C49458BB}"/>
                <c:ext xmlns:c16="http://schemas.microsoft.com/office/drawing/2014/chart" uri="{C3380CC4-5D6E-409C-BE32-E72D297353CC}">
                  <c16:uniqueId val="{0000003E-E87C-B044-A3DD-A6745C92EBCD}"/>
                </c:ext>
              </c:extLst>
            </c:dLbl>
            <c:dLbl>
              <c:idx val="16"/>
              <c:delete val="1"/>
              <c:extLst>
                <c:ext xmlns:c15="http://schemas.microsoft.com/office/drawing/2012/chart" uri="{CE6537A1-D6FC-4f65-9D91-7224C49458BB}"/>
                <c:ext xmlns:c16="http://schemas.microsoft.com/office/drawing/2014/chart" uri="{C3380CC4-5D6E-409C-BE32-E72D297353CC}">
                  <c16:uniqueId val="{0000003F-E87C-B044-A3DD-A6745C92EBCD}"/>
                </c:ext>
              </c:extLst>
            </c:dLbl>
            <c:dLbl>
              <c:idx val="17"/>
              <c:delete val="1"/>
              <c:extLst>
                <c:ext xmlns:c15="http://schemas.microsoft.com/office/drawing/2012/chart" uri="{CE6537A1-D6FC-4f65-9D91-7224C49458BB}"/>
                <c:ext xmlns:c16="http://schemas.microsoft.com/office/drawing/2014/chart" uri="{C3380CC4-5D6E-409C-BE32-E72D297353CC}">
                  <c16:uniqueId val="{00000040-E87C-B044-A3DD-A6745C92EBCD}"/>
                </c:ext>
              </c:extLst>
            </c:dLbl>
            <c:dLbl>
              <c:idx val="18"/>
              <c:delete val="1"/>
              <c:extLst>
                <c:ext xmlns:c15="http://schemas.microsoft.com/office/drawing/2012/chart" uri="{CE6537A1-D6FC-4f65-9D91-7224C49458BB}"/>
                <c:ext xmlns:c16="http://schemas.microsoft.com/office/drawing/2014/chart" uri="{C3380CC4-5D6E-409C-BE32-E72D297353CC}">
                  <c16:uniqueId val="{00000041-E87C-B044-A3DD-A6745C92EBCD}"/>
                </c:ext>
              </c:extLst>
            </c:dLbl>
            <c:dLbl>
              <c:idx val="19"/>
              <c:delete val="1"/>
              <c:extLst>
                <c:ext xmlns:c15="http://schemas.microsoft.com/office/drawing/2012/chart" uri="{CE6537A1-D6FC-4f65-9D91-7224C49458BB}"/>
                <c:ext xmlns:c16="http://schemas.microsoft.com/office/drawing/2014/chart" uri="{C3380CC4-5D6E-409C-BE32-E72D297353CC}">
                  <c16:uniqueId val="{00000042-E87C-B044-A3DD-A6745C92EBCD}"/>
                </c:ext>
              </c:extLst>
            </c:dLbl>
            <c:dLbl>
              <c:idx val="20"/>
              <c:delete val="1"/>
              <c:extLst>
                <c:ext xmlns:c15="http://schemas.microsoft.com/office/drawing/2012/chart" uri="{CE6537A1-D6FC-4f65-9D91-7224C49458BB}"/>
                <c:ext xmlns:c16="http://schemas.microsoft.com/office/drawing/2014/chart" uri="{C3380CC4-5D6E-409C-BE32-E72D297353CC}">
                  <c16:uniqueId val="{00000043-E87C-B044-A3DD-A6745C92EBCD}"/>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'Figure S1 - 86% eff flare'!$Q$60:$Q$80</c:f>
              <c:numCache>
                <c:formatCode>0</c:formatCode>
                <c:ptCount val="21"/>
                <c:pt idx="0">
                  <c:v>326.36380718411579</c:v>
                </c:pt>
                <c:pt idx="1">
                  <c:v>326.36380718411579</c:v>
                </c:pt>
                <c:pt idx="2">
                  <c:v>326.36380718411579</c:v>
                </c:pt>
                <c:pt idx="3">
                  <c:v>326.36380718411579</c:v>
                </c:pt>
                <c:pt idx="4">
                  <c:v>326.36380718411579</c:v>
                </c:pt>
                <c:pt idx="5">
                  <c:v>326.36380718411579</c:v>
                </c:pt>
                <c:pt idx="6">
                  <c:v>326.36380718411579</c:v>
                </c:pt>
                <c:pt idx="7">
                  <c:v>326.36380718411579</c:v>
                </c:pt>
                <c:pt idx="8">
                  <c:v>326.36380718411579</c:v>
                </c:pt>
                <c:pt idx="9">
                  <c:v>326.36380718411579</c:v>
                </c:pt>
                <c:pt idx="10">
                  <c:v>326.36380718411579</c:v>
                </c:pt>
                <c:pt idx="11">
                  <c:v>326.36380718411579</c:v>
                </c:pt>
                <c:pt idx="12">
                  <c:v>326.36380718411579</c:v>
                </c:pt>
                <c:pt idx="13">
                  <c:v>326.36380718411579</c:v>
                </c:pt>
                <c:pt idx="14">
                  <c:v>326.36380718411579</c:v>
                </c:pt>
                <c:pt idx="15">
                  <c:v>326.36380718411579</c:v>
                </c:pt>
                <c:pt idx="16">
                  <c:v>326.36380718411579</c:v>
                </c:pt>
                <c:pt idx="17">
                  <c:v>326.36380718411579</c:v>
                </c:pt>
                <c:pt idx="18">
                  <c:v>326.36380718411579</c:v>
                </c:pt>
                <c:pt idx="19">
                  <c:v>326.36380718411579</c:v>
                </c:pt>
                <c:pt idx="20">
                  <c:v>326.36380718411579</c:v>
                </c:pt>
              </c:numCache>
            </c:numRef>
          </c:val>
          <c:smooth val="0"/>
          <c:extLst>
            <c:ext xmlns:c16="http://schemas.microsoft.com/office/drawing/2014/chart" uri="{C3380CC4-5D6E-409C-BE32-E72D297353CC}">
              <c16:uniqueId val="{00000044-E87C-B044-A3DD-A6745C92EBCD}"/>
            </c:ext>
          </c:extLst>
        </c:ser>
        <c:ser>
          <c:idx val="4"/>
          <c:order val="6"/>
          <c:tx>
            <c:v>GWP-20, FNG</c:v>
          </c:tx>
          <c:spPr>
            <a:ln w="28575" cap="rnd">
              <a:solidFill>
                <a:srgbClr val="70AD47"/>
              </a:solidFill>
              <a:round/>
            </a:ln>
            <a:effectLst/>
          </c:spPr>
          <c:marker>
            <c:symbol val="none"/>
          </c:marker>
          <c:dLbls>
            <c:dLbl>
              <c:idx val="0"/>
              <c:layout>
                <c:manualLayout>
                  <c:x val="1.2048192771084161E-2"/>
                  <c:y val="-5.0387596899224806E-2"/>
                </c:manualLayout>
              </c:layout>
              <c:showLegendKey val="1"/>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45-E87C-B044-A3DD-A6745C92EBCD}"/>
                </c:ext>
              </c:extLst>
            </c:dLbl>
            <c:dLbl>
              <c:idx val="1"/>
              <c:delete val="1"/>
              <c:extLst>
                <c:ext xmlns:c15="http://schemas.microsoft.com/office/drawing/2012/chart" uri="{CE6537A1-D6FC-4f65-9D91-7224C49458BB}"/>
                <c:ext xmlns:c16="http://schemas.microsoft.com/office/drawing/2014/chart" uri="{C3380CC4-5D6E-409C-BE32-E72D297353CC}">
                  <c16:uniqueId val="{00000046-E87C-B044-A3DD-A6745C92EBCD}"/>
                </c:ext>
              </c:extLst>
            </c:dLbl>
            <c:dLbl>
              <c:idx val="2"/>
              <c:delete val="1"/>
              <c:extLst>
                <c:ext xmlns:c15="http://schemas.microsoft.com/office/drawing/2012/chart" uri="{CE6537A1-D6FC-4f65-9D91-7224C49458BB}"/>
                <c:ext xmlns:c16="http://schemas.microsoft.com/office/drawing/2014/chart" uri="{C3380CC4-5D6E-409C-BE32-E72D297353CC}">
                  <c16:uniqueId val="{00000047-E87C-B044-A3DD-A6745C92EBCD}"/>
                </c:ext>
              </c:extLst>
            </c:dLbl>
            <c:dLbl>
              <c:idx val="3"/>
              <c:delete val="1"/>
              <c:extLst>
                <c:ext xmlns:c15="http://schemas.microsoft.com/office/drawing/2012/chart" uri="{CE6537A1-D6FC-4f65-9D91-7224C49458BB}"/>
                <c:ext xmlns:c16="http://schemas.microsoft.com/office/drawing/2014/chart" uri="{C3380CC4-5D6E-409C-BE32-E72D297353CC}">
                  <c16:uniqueId val="{00000048-E87C-B044-A3DD-A6745C92EBCD}"/>
                </c:ext>
              </c:extLst>
            </c:dLbl>
            <c:dLbl>
              <c:idx val="4"/>
              <c:delete val="1"/>
              <c:extLst>
                <c:ext xmlns:c15="http://schemas.microsoft.com/office/drawing/2012/chart" uri="{CE6537A1-D6FC-4f65-9D91-7224C49458BB}"/>
                <c:ext xmlns:c16="http://schemas.microsoft.com/office/drawing/2014/chart" uri="{C3380CC4-5D6E-409C-BE32-E72D297353CC}">
                  <c16:uniqueId val="{00000049-E87C-B044-A3DD-A6745C92EBCD}"/>
                </c:ext>
              </c:extLst>
            </c:dLbl>
            <c:dLbl>
              <c:idx val="5"/>
              <c:delete val="1"/>
              <c:extLst>
                <c:ext xmlns:c15="http://schemas.microsoft.com/office/drawing/2012/chart" uri="{CE6537A1-D6FC-4f65-9D91-7224C49458BB}"/>
                <c:ext xmlns:c16="http://schemas.microsoft.com/office/drawing/2014/chart" uri="{C3380CC4-5D6E-409C-BE32-E72D297353CC}">
                  <c16:uniqueId val="{0000004A-E87C-B044-A3DD-A6745C92EBCD}"/>
                </c:ext>
              </c:extLst>
            </c:dLbl>
            <c:dLbl>
              <c:idx val="6"/>
              <c:delete val="1"/>
              <c:extLst>
                <c:ext xmlns:c15="http://schemas.microsoft.com/office/drawing/2012/chart" uri="{CE6537A1-D6FC-4f65-9D91-7224C49458BB}"/>
                <c:ext xmlns:c16="http://schemas.microsoft.com/office/drawing/2014/chart" uri="{C3380CC4-5D6E-409C-BE32-E72D297353CC}">
                  <c16:uniqueId val="{0000004B-E87C-B044-A3DD-A6745C92EBCD}"/>
                </c:ext>
              </c:extLst>
            </c:dLbl>
            <c:dLbl>
              <c:idx val="7"/>
              <c:delete val="1"/>
              <c:extLst>
                <c:ext xmlns:c15="http://schemas.microsoft.com/office/drawing/2012/chart" uri="{CE6537A1-D6FC-4f65-9D91-7224C49458BB}"/>
                <c:ext xmlns:c16="http://schemas.microsoft.com/office/drawing/2014/chart" uri="{C3380CC4-5D6E-409C-BE32-E72D297353CC}">
                  <c16:uniqueId val="{0000004C-E87C-B044-A3DD-A6745C92EBCD}"/>
                </c:ext>
              </c:extLst>
            </c:dLbl>
            <c:dLbl>
              <c:idx val="8"/>
              <c:delete val="1"/>
              <c:extLst>
                <c:ext xmlns:c15="http://schemas.microsoft.com/office/drawing/2012/chart" uri="{CE6537A1-D6FC-4f65-9D91-7224C49458BB}"/>
                <c:ext xmlns:c16="http://schemas.microsoft.com/office/drawing/2014/chart" uri="{C3380CC4-5D6E-409C-BE32-E72D297353CC}">
                  <c16:uniqueId val="{0000004D-E87C-B044-A3DD-A6745C92EBCD}"/>
                </c:ext>
              </c:extLst>
            </c:dLbl>
            <c:dLbl>
              <c:idx val="9"/>
              <c:delete val="1"/>
              <c:extLst>
                <c:ext xmlns:c15="http://schemas.microsoft.com/office/drawing/2012/chart" uri="{CE6537A1-D6FC-4f65-9D91-7224C49458BB}"/>
                <c:ext xmlns:c16="http://schemas.microsoft.com/office/drawing/2014/chart" uri="{C3380CC4-5D6E-409C-BE32-E72D297353CC}">
                  <c16:uniqueId val="{0000004E-E87C-B044-A3DD-A6745C92EBCD}"/>
                </c:ext>
              </c:extLst>
            </c:dLbl>
            <c:dLbl>
              <c:idx val="10"/>
              <c:delete val="1"/>
              <c:extLst>
                <c:ext xmlns:c15="http://schemas.microsoft.com/office/drawing/2012/chart" uri="{CE6537A1-D6FC-4f65-9D91-7224C49458BB}"/>
                <c:ext xmlns:c16="http://schemas.microsoft.com/office/drawing/2014/chart" uri="{C3380CC4-5D6E-409C-BE32-E72D297353CC}">
                  <c16:uniqueId val="{0000004F-E87C-B044-A3DD-A6745C92EBCD}"/>
                </c:ext>
              </c:extLst>
            </c:dLbl>
            <c:dLbl>
              <c:idx val="11"/>
              <c:delete val="1"/>
              <c:extLst>
                <c:ext xmlns:c15="http://schemas.microsoft.com/office/drawing/2012/chart" uri="{CE6537A1-D6FC-4f65-9D91-7224C49458BB}"/>
                <c:ext xmlns:c16="http://schemas.microsoft.com/office/drawing/2014/chart" uri="{C3380CC4-5D6E-409C-BE32-E72D297353CC}">
                  <c16:uniqueId val="{00000050-E87C-B044-A3DD-A6745C92EBCD}"/>
                </c:ext>
              </c:extLst>
            </c:dLbl>
            <c:dLbl>
              <c:idx val="12"/>
              <c:delete val="1"/>
              <c:extLst>
                <c:ext xmlns:c15="http://schemas.microsoft.com/office/drawing/2012/chart" uri="{CE6537A1-D6FC-4f65-9D91-7224C49458BB}"/>
                <c:ext xmlns:c16="http://schemas.microsoft.com/office/drawing/2014/chart" uri="{C3380CC4-5D6E-409C-BE32-E72D297353CC}">
                  <c16:uniqueId val="{00000051-E87C-B044-A3DD-A6745C92EBCD}"/>
                </c:ext>
              </c:extLst>
            </c:dLbl>
            <c:dLbl>
              <c:idx val="13"/>
              <c:delete val="1"/>
              <c:extLst>
                <c:ext xmlns:c15="http://schemas.microsoft.com/office/drawing/2012/chart" uri="{CE6537A1-D6FC-4f65-9D91-7224C49458BB}"/>
                <c:ext xmlns:c16="http://schemas.microsoft.com/office/drawing/2014/chart" uri="{C3380CC4-5D6E-409C-BE32-E72D297353CC}">
                  <c16:uniqueId val="{00000052-E87C-B044-A3DD-A6745C92EBCD}"/>
                </c:ext>
              </c:extLst>
            </c:dLbl>
            <c:dLbl>
              <c:idx val="14"/>
              <c:delete val="1"/>
              <c:extLst>
                <c:ext xmlns:c15="http://schemas.microsoft.com/office/drawing/2012/chart" uri="{CE6537A1-D6FC-4f65-9D91-7224C49458BB}"/>
                <c:ext xmlns:c16="http://schemas.microsoft.com/office/drawing/2014/chart" uri="{C3380CC4-5D6E-409C-BE32-E72D297353CC}">
                  <c16:uniqueId val="{00000053-E87C-B044-A3DD-A6745C92EBCD}"/>
                </c:ext>
              </c:extLst>
            </c:dLbl>
            <c:dLbl>
              <c:idx val="15"/>
              <c:delete val="1"/>
              <c:extLst>
                <c:ext xmlns:c15="http://schemas.microsoft.com/office/drawing/2012/chart" uri="{CE6537A1-D6FC-4f65-9D91-7224C49458BB}"/>
                <c:ext xmlns:c16="http://schemas.microsoft.com/office/drawing/2014/chart" uri="{C3380CC4-5D6E-409C-BE32-E72D297353CC}">
                  <c16:uniqueId val="{00000054-E87C-B044-A3DD-A6745C92EBCD}"/>
                </c:ext>
              </c:extLst>
            </c:dLbl>
            <c:dLbl>
              <c:idx val="16"/>
              <c:delete val="1"/>
              <c:extLst>
                <c:ext xmlns:c15="http://schemas.microsoft.com/office/drawing/2012/chart" uri="{CE6537A1-D6FC-4f65-9D91-7224C49458BB}"/>
                <c:ext xmlns:c16="http://schemas.microsoft.com/office/drawing/2014/chart" uri="{C3380CC4-5D6E-409C-BE32-E72D297353CC}">
                  <c16:uniqueId val="{00000055-E87C-B044-A3DD-A6745C92EBCD}"/>
                </c:ext>
              </c:extLst>
            </c:dLbl>
            <c:dLbl>
              <c:idx val="17"/>
              <c:delete val="1"/>
              <c:extLst>
                <c:ext xmlns:c15="http://schemas.microsoft.com/office/drawing/2012/chart" uri="{CE6537A1-D6FC-4f65-9D91-7224C49458BB}"/>
                <c:ext xmlns:c16="http://schemas.microsoft.com/office/drawing/2014/chart" uri="{C3380CC4-5D6E-409C-BE32-E72D297353CC}">
                  <c16:uniqueId val="{00000056-E87C-B044-A3DD-A6745C92EBCD}"/>
                </c:ext>
              </c:extLst>
            </c:dLbl>
            <c:dLbl>
              <c:idx val="18"/>
              <c:delete val="1"/>
              <c:extLst>
                <c:ext xmlns:c15="http://schemas.microsoft.com/office/drawing/2012/chart" uri="{CE6537A1-D6FC-4f65-9D91-7224C49458BB}"/>
                <c:ext xmlns:c16="http://schemas.microsoft.com/office/drawing/2014/chart" uri="{C3380CC4-5D6E-409C-BE32-E72D297353CC}">
                  <c16:uniqueId val="{00000057-E87C-B044-A3DD-A6745C92EBCD}"/>
                </c:ext>
              </c:extLst>
            </c:dLbl>
            <c:dLbl>
              <c:idx val="19"/>
              <c:delete val="1"/>
              <c:extLst>
                <c:ext xmlns:c15="http://schemas.microsoft.com/office/drawing/2012/chart" uri="{CE6537A1-D6FC-4f65-9D91-7224C49458BB}"/>
                <c:ext xmlns:c16="http://schemas.microsoft.com/office/drawing/2014/chart" uri="{C3380CC4-5D6E-409C-BE32-E72D297353CC}">
                  <c16:uniqueId val="{00000058-E87C-B044-A3DD-A6745C92EBCD}"/>
                </c:ext>
              </c:extLst>
            </c:dLbl>
            <c:dLbl>
              <c:idx val="20"/>
              <c:delete val="1"/>
              <c:extLst>
                <c:ext xmlns:c15="http://schemas.microsoft.com/office/drawing/2012/chart" uri="{CE6537A1-D6FC-4f65-9D91-7224C49458BB}"/>
                <c:ext xmlns:c16="http://schemas.microsoft.com/office/drawing/2014/chart" uri="{C3380CC4-5D6E-409C-BE32-E72D297353CC}">
                  <c16:uniqueId val="{00000059-E87C-B044-A3DD-A6745C92EBCD}"/>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1"/>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'Figure S1 - 86% eff flare'!$R$60:$R$80</c:f>
              <c:numCache>
                <c:formatCode>0</c:formatCode>
                <c:ptCount val="21"/>
                <c:pt idx="0">
                  <c:v>356.8058424239573</c:v>
                </c:pt>
                <c:pt idx="1">
                  <c:v>356.8058424239573</c:v>
                </c:pt>
                <c:pt idx="2">
                  <c:v>356.8058424239573</c:v>
                </c:pt>
                <c:pt idx="3">
                  <c:v>356.8058424239573</c:v>
                </c:pt>
                <c:pt idx="4">
                  <c:v>356.8058424239573</c:v>
                </c:pt>
                <c:pt idx="5">
                  <c:v>356.8058424239573</c:v>
                </c:pt>
                <c:pt idx="6">
                  <c:v>356.8058424239573</c:v>
                </c:pt>
                <c:pt idx="7">
                  <c:v>356.8058424239573</c:v>
                </c:pt>
                <c:pt idx="8">
                  <c:v>356.8058424239573</c:v>
                </c:pt>
                <c:pt idx="9">
                  <c:v>356.8058424239573</c:v>
                </c:pt>
                <c:pt idx="10">
                  <c:v>356.8058424239573</c:v>
                </c:pt>
                <c:pt idx="11">
                  <c:v>356.8058424239573</c:v>
                </c:pt>
                <c:pt idx="12">
                  <c:v>356.8058424239573</c:v>
                </c:pt>
                <c:pt idx="13">
                  <c:v>356.8058424239573</c:v>
                </c:pt>
                <c:pt idx="14">
                  <c:v>356.8058424239573</c:v>
                </c:pt>
                <c:pt idx="15">
                  <c:v>356.8058424239573</c:v>
                </c:pt>
                <c:pt idx="16">
                  <c:v>356.8058424239573</c:v>
                </c:pt>
                <c:pt idx="17">
                  <c:v>356.8058424239573</c:v>
                </c:pt>
                <c:pt idx="18">
                  <c:v>356.8058424239573</c:v>
                </c:pt>
                <c:pt idx="19">
                  <c:v>356.8058424239573</c:v>
                </c:pt>
                <c:pt idx="20">
                  <c:v>356.8058424239573</c:v>
                </c:pt>
              </c:numCache>
            </c:numRef>
          </c:val>
          <c:smooth val="0"/>
          <c:extLst>
            <c:ext xmlns:c16="http://schemas.microsoft.com/office/drawing/2014/chart" uri="{C3380CC4-5D6E-409C-BE32-E72D297353CC}">
              <c16:uniqueId val="{0000005A-E87C-B044-A3DD-A6745C92EBCD}"/>
            </c:ext>
          </c:extLst>
        </c:ser>
        <c:dLbls>
          <c:showLegendKey val="0"/>
          <c:showVal val="0"/>
          <c:showCatName val="0"/>
          <c:showSerName val="0"/>
          <c:showPercent val="0"/>
          <c:showBubbleSize val="0"/>
        </c:dLbls>
        <c:marker val="1"/>
        <c:smooth val="0"/>
        <c:axId val="200612992"/>
        <c:axId val="170515008"/>
      </c:lineChart>
      <c:catAx>
        <c:axId val="200612992"/>
        <c:scaling>
          <c:orientation val="maxMin"/>
        </c:scaling>
        <c:delete val="0"/>
        <c:axPos val="b"/>
        <c:title>
          <c:tx>
            <c:rich>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en-US"/>
                  <a:t>Share of intentionally produced CO</a:t>
                </a:r>
                <a:r>
                  <a:rPr lang="en-US" baseline="-25000"/>
                  <a:t>2</a:t>
                </a:r>
                <a:r>
                  <a:rPr lang="en-US"/>
                  <a:t>-neutral methane</a:t>
                </a:r>
              </a:p>
            </c:rich>
          </c:tx>
          <c:overlay val="0"/>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70515008"/>
        <c:crosses val="autoZero"/>
        <c:auto val="0"/>
        <c:lblAlgn val="ctr"/>
        <c:lblOffset val="100"/>
        <c:tickLblSkip val="2"/>
        <c:tickMarkSkip val="1"/>
        <c:noMultiLvlLbl val="0"/>
      </c:catAx>
      <c:valAx>
        <c:axId val="170515008"/>
        <c:scaling>
          <c:orientation val="minMax"/>
          <c:max val="600"/>
          <c:min val="0"/>
        </c:scaling>
        <c:delete val="0"/>
        <c:axPos val="l"/>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en-US"/>
                  <a:t>kg CO</a:t>
                </a:r>
                <a:r>
                  <a:rPr lang="en-US" baseline="-25000"/>
                  <a:t>2</a:t>
                </a:r>
                <a:r>
                  <a:rPr lang="en-US"/>
                  <a:t>e/GJ consumed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crossAx val="200612992"/>
        <c:crosses val="max"/>
        <c:crossBetween val="between"/>
        <c:majorUnit val="50"/>
      </c:valAx>
      <c:spPr>
        <a:noFill/>
        <a:ln>
          <a:noFill/>
        </a:ln>
        <a:effectLst/>
      </c:spPr>
    </c:plotArea>
    <c:plotVisOnly val="1"/>
    <c:dispBlanksAs val="gap"/>
    <c:showDLblsOverMax val="0"/>
    <c:extLst/>
  </c:chart>
  <c:spPr>
    <a:solidFill>
      <a:schemeClr val="bg1"/>
    </a:solidFill>
    <a:ln w="9525" cap="flat" cmpd="sng" algn="ctr">
      <a:noFill/>
      <a:round/>
    </a:ln>
    <a:effectLst/>
  </c:spPr>
  <c:txPr>
    <a:bodyPr/>
    <a:lstStyle/>
    <a:p>
      <a:pPr>
        <a:defRPr sz="1600">
          <a:solidFill>
            <a:schemeClr val="tx1"/>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55</xdr:row>
      <xdr:rowOff>0</xdr:rowOff>
    </xdr:from>
    <xdr:to>
      <xdr:col>0</xdr:col>
      <xdr:colOff>12700</xdr:colOff>
      <xdr:row>55</xdr:row>
      <xdr:rowOff>12700</xdr:rowOff>
    </xdr:to>
    <xdr:pic>
      <xdr:nvPicPr>
        <xdr:cNvPr id="5" name="Picture 4" descr="page26image3912">
          <a:extLst>
            <a:ext uri="{FF2B5EF4-FFF2-40B4-BE49-F238E27FC236}">
              <a16:creationId xmlns:a16="http://schemas.microsoft.com/office/drawing/2014/main" id="{3A9A01AC-4933-914A-B35C-66B6181C4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41400"/>
          <a:ext cx="12700" cy="12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304800</xdr:colOff>
      <xdr:row>12</xdr:row>
      <xdr:rowOff>266700</xdr:rowOff>
    </xdr:from>
    <xdr:to>
      <xdr:col>16</xdr:col>
      <xdr:colOff>406400</xdr:colOff>
      <xdr:row>33</xdr:row>
      <xdr:rowOff>31750</xdr:rowOff>
    </xdr:to>
    <xdr:graphicFrame macro="">
      <xdr:nvGraphicFramePr>
        <xdr:cNvPr id="2" name="Chart 1">
          <a:extLst>
            <a:ext uri="{FF2B5EF4-FFF2-40B4-BE49-F238E27FC236}">
              <a16:creationId xmlns:a16="http://schemas.microsoft.com/office/drawing/2014/main" id="{7281543D-0041-3249-9B93-885263D7DD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303823</xdr:colOff>
      <xdr:row>28</xdr:row>
      <xdr:rowOff>19540</xdr:rowOff>
    </xdr:from>
    <xdr:to>
      <xdr:col>17</xdr:col>
      <xdr:colOff>298353</xdr:colOff>
      <xdr:row>54</xdr:row>
      <xdr:rowOff>164320</xdr:rowOff>
    </xdr:to>
    <xdr:grpSp>
      <xdr:nvGrpSpPr>
        <xdr:cNvPr id="2" name="Group 1">
          <a:extLst>
            <a:ext uri="{FF2B5EF4-FFF2-40B4-BE49-F238E27FC236}">
              <a16:creationId xmlns:a16="http://schemas.microsoft.com/office/drawing/2014/main" id="{AB790D96-C80A-9B44-B069-7BF69D5F581A}"/>
            </a:ext>
          </a:extLst>
        </xdr:cNvPr>
        <xdr:cNvGrpSpPr/>
      </xdr:nvGrpSpPr>
      <xdr:grpSpPr>
        <a:xfrm>
          <a:off x="7352323" y="6979140"/>
          <a:ext cx="10472030" cy="6418580"/>
          <a:chOff x="7352323" y="6979140"/>
          <a:chExt cx="10472030" cy="6418580"/>
        </a:xfrm>
      </xdr:grpSpPr>
      <xdr:graphicFrame macro="">
        <xdr:nvGraphicFramePr>
          <xdr:cNvPr id="6" name="Chart 5">
            <a:extLst>
              <a:ext uri="{FF2B5EF4-FFF2-40B4-BE49-F238E27FC236}">
                <a16:creationId xmlns:a16="http://schemas.microsoft.com/office/drawing/2014/main" id="{4DE9CC26-F5DA-0E43-97B8-CFFD610F2311}"/>
              </a:ext>
            </a:extLst>
          </xdr:cNvPr>
          <xdr:cNvGraphicFramePr>
            <a:graphicFrameLocks/>
          </xdr:cNvGraphicFramePr>
        </xdr:nvGraphicFramePr>
        <xdr:xfrm>
          <a:off x="7352323" y="6979140"/>
          <a:ext cx="10472030" cy="6418580"/>
        </xdr:xfrm>
        <a:graphic>
          <a:graphicData uri="http://schemas.openxmlformats.org/drawingml/2006/chart">
            <c:chart xmlns:c="http://schemas.openxmlformats.org/drawingml/2006/chart" xmlns:r="http://schemas.openxmlformats.org/officeDocument/2006/relationships" r:id="rId1"/>
          </a:graphicData>
        </a:graphic>
      </xdr:graphicFrame>
      <xdr:grpSp>
        <xdr:nvGrpSpPr>
          <xdr:cNvPr id="7" name="Group 6">
            <a:extLst>
              <a:ext uri="{FF2B5EF4-FFF2-40B4-BE49-F238E27FC236}">
                <a16:creationId xmlns:a16="http://schemas.microsoft.com/office/drawing/2014/main" id="{6C0C6597-08AB-2143-85B6-AFB69267CAAD}"/>
              </a:ext>
            </a:extLst>
          </xdr:cNvPr>
          <xdr:cNvGrpSpPr/>
        </xdr:nvGrpSpPr>
        <xdr:grpSpPr>
          <a:xfrm>
            <a:off x="7968919" y="7587093"/>
            <a:ext cx="616596" cy="4609753"/>
            <a:chOff x="1661160" y="8818880"/>
            <a:chExt cx="619760" cy="4673600"/>
          </a:xfrm>
        </xdr:grpSpPr>
        <xdr:sp macro="" textlink="">
          <xdr:nvSpPr>
            <xdr:cNvPr id="8" name="TextBox 7">
              <a:extLst>
                <a:ext uri="{FF2B5EF4-FFF2-40B4-BE49-F238E27FC236}">
                  <a16:creationId xmlns:a16="http://schemas.microsoft.com/office/drawing/2014/main" id="{4690D00D-4BF7-C84B-A800-C16836098393}"/>
                </a:ext>
              </a:extLst>
            </xdr:cNvPr>
            <xdr:cNvSpPr txBox="1"/>
          </xdr:nvSpPr>
          <xdr:spPr>
            <a:xfrm>
              <a:off x="1681480" y="8818880"/>
              <a:ext cx="599440" cy="2946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500</a:t>
              </a:r>
            </a:p>
          </xdr:txBody>
        </xdr:sp>
        <xdr:sp macro="" textlink="">
          <xdr:nvSpPr>
            <xdr:cNvPr id="9" name="TextBox 8">
              <a:extLst>
                <a:ext uri="{FF2B5EF4-FFF2-40B4-BE49-F238E27FC236}">
                  <a16:creationId xmlns:a16="http://schemas.microsoft.com/office/drawing/2014/main" id="{204DFDDA-0174-514C-8965-C71657918F0C}"/>
                </a:ext>
              </a:extLst>
            </xdr:cNvPr>
            <xdr:cNvSpPr txBox="1"/>
          </xdr:nvSpPr>
          <xdr:spPr>
            <a:xfrm>
              <a:off x="2087880" y="9913620"/>
              <a:ext cx="193040" cy="2946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0</a:t>
              </a:r>
            </a:p>
          </xdr:txBody>
        </xdr:sp>
        <xdr:sp macro="" textlink="">
          <xdr:nvSpPr>
            <xdr:cNvPr id="10" name="TextBox 9">
              <a:extLst>
                <a:ext uri="{FF2B5EF4-FFF2-40B4-BE49-F238E27FC236}">
                  <a16:creationId xmlns:a16="http://schemas.microsoft.com/office/drawing/2014/main" id="{A46EC54F-7602-8B44-89A5-748C33E4481C}"/>
                </a:ext>
              </a:extLst>
            </xdr:cNvPr>
            <xdr:cNvSpPr txBox="1"/>
          </xdr:nvSpPr>
          <xdr:spPr>
            <a:xfrm>
              <a:off x="1661160" y="12103100"/>
              <a:ext cx="619760" cy="2946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-1000</a:t>
              </a:r>
            </a:p>
          </xdr:txBody>
        </xdr:sp>
        <xdr:sp macro="" textlink="">
          <xdr:nvSpPr>
            <xdr:cNvPr id="11" name="TextBox 10">
              <a:extLst>
                <a:ext uri="{FF2B5EF4-FFF2-40B4-BE49-F238E27FC236}">
                  <a16:creationId xmlns:a16="http://schemas.microsoft.com/office/drawing/2014/main" id="{25F7D161-44FA-684D-9D42-18670C225B9E}"/>
                </a:ext>
              </a:extLst>
            </xdr:cNvPr>
            <xdr:cNvSpPr txBox="1"/>
          </xdr:nvSpPr>
          <xdr:spPr>
            <a:xfrm>
              <a:off x="1661160" y="13197840"/>
              <a:ext cx="619760" cy="2946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-1500</a:t>
              </a:r>
            </a:p>
          </xdr:txBody>
        </xdr:sp>
        <xdr:sp macro="" textlink="">
          <xdr:nvSpPr>
            <xdr:cNvPr id="12" name="TextBox 11">
              <a:extLst>
                <a:ext uri="{FF2B5EF4-FFF2-40B4-BE49-F238E27FC236}">
                  <a16:creationId xmlns:a16="http://schemas.microsoft.com/office/drawing/2014/main" id="{65D2F18F-0D49-A645-AF9C-C413DDC1E555}"/>
                </a:ext>
              </a:extLst>
            </xdr:cNvPr>
            <xdr:cNvSpPr txBox="1"/>
          </xdr:nvSpPr>
          <xdr:spPr>
            <a:xfrm>
              <a:off x="1661160" y="11008360"/>
              <a:ext cx="619760" cy="2946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-500</a:t>
              </a:r>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38100</xdr:colOff>
      <xdr:row>27</xdr:row>
      <xdr:rowOff>38100</xdr:rowOff>
    </xdr:from>
    <xdr:to>
      <xdr:col>13</xdr:col>
      <xdr:colOff>86360</xdr:colOff>
      <xdr:row>54</xdr:row>
      <xdr:rowOff>20711</xdr:rowOff>
    </xdr:to>
    <xdr:grpSp>
      <xdr:nvGrpSpPr>
        <xdr:cNvPr id="2" name="Group 1">
          <a:extLst>
            <a:ext uri="{FF2B5EF4-FFF2-40B4-BE49-F238E27FC236}">
              <a16:creationId xmlns:a16="http://schemas.microsoft.com/office/drawing/2014/main" id="{B58B3EC0-02DE-F84E-B88E-9E0D3A6CF298}"/>
            </a:ext>
          </a:extLst>
        </xdr:cNvPr>
        <xdr:cNvGrpSpPr/>
      </xdr:nvGrpSpPr>
      <xdr:grpSpPr>
        <a:xfrm>
          <a:off x="3276600" y="6756400"/>
          <a:ext cx="10525760" cy="6497711"/>
          <a:chOff x="3276600" y="6756400"/>
          <a:chExt cx="10525760" cy="6497711"/>
        </a:xfrm>
      </xdr:grpSpPr>
      <xdr:graphicFrame macro="">
        <xdr:nvGraphicFramePr>
          <xdr:cNvPr id="5" name="Chart 4">
            <a:extLst>
              <a:ext uri="{FF2B5EF4-FFF2-40B4-BE49-F238E27FC236}">
                <a16:creationId xmlns:a16="http://schemas.microsoft.com/office/drawing/2014/main" id="{BB84C6DD-84D8-1642-B5E7-D043D01EBDA7}"/>
              </a:ext>
            </a:extLst>
          </xdr:cNvPr>
          <xdr:cNvGraphicFramePr>
            <a:graphicFrameLocks/>
          </xdr:cNvGraphicFramePr>
        </xdr:nvGraphicFramePr>
        <xdr:xfrm>
          <a:off x="3276600" y="6756400"/>
          <a:ext cx="10525760" cy="6497711"/>
        </xdr:xfrm>
        <a:graphic>
          <a:graphicData uri="http://schemas.openxmlformats.org/drawingml/2006/chart">
            <c:chart xmlns:c="http://schemas.openxmlformats.org/drawingml/2006/chart" xmlns:r="http://schemas.openxmlformats.org/officeDocument/2006/relationships" r:id="rId1"/>
          </a:graphicData>
        </a:graphic>
      </xdr:graphicFrame>
      <xdr:grpSp>
        <xdr:nvGrpSpPr>
          <xdr:cNvPr id="15" name="Group 14">
            <a:extLst>
              <a:ext uri="{FF2B5EF4-FFF2-40B4-BE49-F238E27FC236}">
                <a16:creationId xmlns:a16="http://schemas.microsoft.com/office/drawing/2014/main" id="{88C297DE-3770-AB4A-9C2C-BFC38352B62B}"/>
              </a:ext>
            </a:extLst>
          </xdr:cNvPr>
          <xdr:cNvGrpSpPr/>
        </xdr:nvGrpSpPr>
        <xdr:grpSpPr>
          <a:xfrm>
            <a:off x="3870960" y="7387238"/>
            <a:ext cx="619760" cy="4809970"/>
            <a:chOff x="4213860" y="7234838"/>
            <a:chExt cx="619760" cy="4809970"/>
          </a:xfrm>
        </xdr:grpSpPr>
        <xdr:sp macro="" textlink="">
          <xdr:nvSpPr>
            <xdr:cNvPr id="7" name="TextBox 6">
              <a:extLst>
                <a:ext uri="{FF2B5EF4-FFF2-40B4-BE49-F238E27FC236}">
                  <a16:creationId xmlns:a16="http://schemas.microsoft.com/office/drawing/2014/main" id="{5E6250EF-9AF8-E64F-8DF5-28876772A677}"/>
                </a:ext>
              </a:extLst>
            </xdr:cNvPr>
            <xdr:cNvSpPr txBox="1"/>
          </xdr:nvSpPr>
          <xdr:spPr>
            <a:xfrm>
              <a:off x="4234180" y="8137992"/>
              <a:ext cx="59944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200</a:t>
              </a:r>
            </a:p>
          </xdr:txBody>
        </xdr:sp>
        <xdr:sp macro="" textlink="">
          <xdr:nvSpPr>
            <xdr:cNvPr id="8" name="TextBox 7">
              <a:extLst>
                <a:ext uri="{FF2B5EF4-FFF2-40B4-BE49-F238E27FC236}">
                  <a16:creationId xmlns:a16="http://schemas.microsoft.com/office/drawing/2014/main" id="{E44B7591-7DA2-1044-A44C-9866BF118477}"/>
                </a:ext>
              </a:extLst>
            </xdr:cNvPr>
            <xdr:cNvSpPr txBox="1"/>
          </xdr:nvSpPr>
          <xdr:spPr>
            <a:xfrm>
              <a:off x="4640580" y="9944300"/>
              <a:ext cx="19304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0</a:t>
              </a:r>
            </a:p>
          </xdr:txBody>
        </xdr:sp>
        <xdr:sp macro="" textlink="">
          <xdr:nvSpPr>
            <xdr:cNvPr id="9" name="TextBox 8">
              <a:extLst>
                <a:ext uri="{FF2B5EF4-FFF2-40B4-BE49-F238E27FC236}">
                  <a16:creationId xmlns:a16="http://schemas.microsoft.com/office/drawing/2014/main" id="{2CBB4F27-BD27-8349-876E-08DF2E8B8925}"/>
                </a:ext>
              </a:extLst>
            </xdr:cNvPr>
            <xdr:cNvSpPr txBox="1"/>
          </xdr:nvSpPr>
          <xdr:spPr>
            <a:xfrm>
              <a:off x="4213860" y="7234838"/>
              <a:ext cx="61976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300</a:t>
              </a:r>
            </a:p>
          </xdr:txBody>
        </xdr:sp>
        <xdr:sp macro="" textlink="">
          <xdr:nvSpPr>
            <xdr:cNvPr id="11" name="TextBox 10">
              <a:extLst>
                <a:ext uri="{FF2B5EF4-FFF2-40B4-BE49-F238E27FC236}">
                  <a16:creationId xmlns:a16="http://schemas.microsoft.com/office/drawing/2014/main" id="{108A715E-5080-2742-A2B5-AB4D3361331D}"/>
                </a:ext>
              </a:extLst>
            </xdr:cNvPr>
            <xdr:cNvSpPr txBox="1"/>
          </xdr:nvSpPr>
          <xdr:spPr>
            <a:xfrm>
              <a:off x="4213860" y="9041146"/>
              <a:ext cx="61976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100</a:t>
              </a:r>
            </a:p>
          </xdr:txBody>
        </xdr:sp>
        <xdr:sp macro="" textlink="">
          <xdr:nvSpPr>
            <xdr:cNvPr id="13" name="TextBox 12">
              <a:extLst>
                <a:ext uri="{FF2B5EF4-FFF2-40B4-BE49-F238E27FC236}">
                  <a16:creationId xmlns:a16="http://schemas.microsoft.com/office/drawing/2014/main" id="{B4059DDB-6EE5-5B4A-9628-A91162758DAC}"/>
                </a:ext>
              </a:extLst>
            </xdr:cNvPr>
            <xdr:cNvSpPr txBox="1"/>
          </xdr:nvSpPr>
          <xdr:spPr>
            <a:xfrm>
              <a:off x="4213860" y="10847454"/>
              <a:ext cx="61976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-100</a:t>
              </a:r>
            </a:p>
          </xdr:txBody>
        </xdr:sp>
        <xdr:sp macro="" textlink="">
          <xdr:nvSpPr>
            <xdr:cNvPr id="14" name="TextBox 13">
              <a:extLst>
                <a:ext uri="{FF2B5EF4-FFF2-40B4-BE49-F238E27FC236}">
                  <a16:creationId xmlns:a16="http://schemas.microsoft.com/office/drawing/2014/main" id="{46C7FAA4-A1FD-BD45-BF3B-F3342A66EA70}"/>
                </a:ext>
              </a:extLst>
            </xdr:cNvPr>
            <xdr:cNvSpPr txBox="1"/>
          </xdr:nvSpPr>
          <xdr:spPr>
            <a:xfrm>
              <a:off x="4213860" y="11750610"/>
              <a:ext cx="61976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-200</a:t>
              </a:r>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38100</xdr:colOff>
      <xdr:row>27</xdr:row>
      <xdr:rowOff>38100</xdr:rowOff>
    </xdr:from>
    <xdr:to>
      <xdr:col>13</xdr:col>
      <xdr:colOff>86360</xdr:colOff>
      <xdr:row>54</xdr:row>
      <xdr:rowOff>20711</xdr:rowOff>
    </xdr:to>
    <xdr:grpSp>
      <xdr:nvGrpSpPr>
        <xdr:cNvPr id="15" name="Group 14">
          <a:extLst>
            <a:ext uri="{FF2B5EF4-FFF2-40B4-BE49-F238E27FC236}">
              <a16:creationId xmlns:a16="http://schemas.microsoft.com/office/drawing/2014/main" id="{8648E1C8-8EAB-1C4F-A158-991B93F029BB}"/>
            </a:ext>
          </a:extLst>
        </xdr:cNvPr>
        <xdr:cNvGrpSpPr/>
      </xdr:nvGrpSpPr>
      <xdr:grpSpPr>
        <a:xfrm>
          <a:off x="3276600" y="6756400"/>
          <a:ext cx="10525760" cy="6497711"/>
          <a:chOff x="3276600" y="6756400"/>
          <a:chExt cx="10525760" cy="6497711"/>
        </a:xfrm>
      </xdr:grpSpPr>
      <xdr:graphicFrame macro="">
        <xdr:nvGraphicFramePr>
          <xdr:cNvPr id="6" name="Chart 5">
            <a:extLst>
              <a:ext uri="{FF2B5EF4-FFF2-40B4-BE49-F238E27FC236}">
                <a16:creationId xmlns:a16="http://schemas.microsoft.com/office/drawing/2014/main" id="{3F248920-78E4-274F-9F7B-AB7FDCE992AB}"/>
              </a:ext>
            </a:extLst>
          </xdr:cNvPr>
          <xdr:cNvGraphicFramePr>
            <a:graphicFrameLocks/>
          </xdr:cNvGraphicFramePr>
        </xdr:nvGraphicFramePr>
        <xdr:xfrm>
          <a:off x="3276600" y="6756400"/>
          <a:ext cx="10525760" cy="6497711"/>
        </xdr:xfrm>
        <a:graphic>
          <a:graphicData uri="http://schemas.openxmlformats.org/drawingml/2006/chart">
            <c:chart xmlns:c="http://schemas.openxmlformats.org/drawingml/2006/chart" xmlns:r="http://schemas.openxmlformats.org/officeDocument/2006/relationships" r:id="rId1"/>
          </a:graphicData>
        </a:graphic>
      </xdr:graphicFrame>
      <xdr:grpSp>
        <xdr:nvGrpSpPr>
          <xdr:cNvPr id="14" name="Group 13">
            <a:extLst>
              <a:ext uri="{FF2B5EF4-FFF2-40B4-BE49-F238E27FC236}">
                <a16:creationId xmlns:a16="http://schemas.microsoft.com/office/drawing/2014/main" id="{89EBDC8A-0959-8D42-94A8-4BEE7FC12D24}"/>
              </a:ext>
            </a:extLst>
          </xdr:cNvPr>
          <xdr:cNvGrpSpPr/>
        </xdr:nvGrpSpPr>
        <xdr:grpSpPr>
          <a:xfrm>
            <a:off x="3987800" y="7780938"/>
            <a:ext cx="619760" cy="4460694"/>
            <a:chOff x="13182600" y="7641238"/>
            <a:chExt cx="619760" cy="4460694"/>
          </a:xfrm>
        </xdr:grpSpPr>
        <xdr:sp macro="" textlink="">
          <xdr:nvSpPr>
            <xdr:cNvPr id="8" name="TextBox 7">
              <a:extLst>
                <a:ext uri="{FF2B5EF4-FFF2-40B4-BE49-F238E27FC236}">
                  <a16:creationId xmlns:a16="http://schemas.microsoft.com/office/drawing/2014/main" id="{6F73CBCA-1EFC-7148-AF93-5CD01F232D6F}"/>
                </a:ext>
              </a:extLst>
            </xdr:cNvPr>
            <xdr:cNvSpPr txBox="1"/>
          </xdr:nvSpPr>
          <xdr:spPr>
            <a:xfrm>
              <a:off x="13202920" y="9307836"/>
              <a:ext cx="59944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100</a:t>
              </a:r>
            </a:p>
          </xdr:txBody>
        </xdr:sp>
        <xdr:sp macro="" textlink="">
          <xdr:nvSpPr>
            <xdr:cNvPr id="9" name="TextBox 8">
              <a:extLst>
                <a:ext uri="{FF2B5EF4-FFF2-40B4-BE49-F238E27FC236}">
                  <a16:creationId xmlns:a16="http://schemas.microsoft.com/office/drawing/2014/main" id="{5F8CE2A4-C10D-B34B-AAFA-DA9F1EBDCBE9}"/>
                </a:ext>
              </a:extLst>
            </xdr:cNvPr>
            <xdr:cNvSpPr txBox="1"/>
          </xdr:nvSpPr>
          <xdr:spPr>
            <a:xfrm>
              <a:off x="13609320" y="10141135"/>
              <a:ext cx="19304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0</a:t>
              </a:r>
            </a:p>
          </xdr:txBody>
        </xdr:sp>
        <xdr:sp macro="" textlink="">
          <xdr:nvSpPr>
            <xdr:cNvPr id="10" name="TextBox 9">
              <a:extLst>
                <a:ext uri="{FF2B5EF4-FFF2-40B4-BE49-F238E27FC236}">
                  <a16:creationId xmlns:a16="http://schemas.microsoft.com/office/drawing/2014/main" id="{C90BB155-5DA1-2B4B-86B2-2A2E4CC13C65}"/>
                </a:ext>
              </a:extLst>
            </xdr:cNvPr>
            <xdr:cNvSpPr txBox="1"/>
          </xdr:nvSpPr>
          <xdr:spPr>
            <a:xfrm>
              <a:off x="13182600" y="7641238"/>
              <a:ext cx="61976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300</a:t>
              </a:r>
            </a:p>
          </xdr:txBody>
        </xdr:sp>
        <xdr:sp macro="" textlink="">
          <xdr:nvSpPr>
            <xdr:cNvPr id="11" name="TextBox 10">
              <a:extLst>
                <a:ext uri="{FF2B5EF4-FFF2-40B4-BE49-F238E27FC236}">
                  <a16:creationId xmlns:a16="http://schemas.microsoft.com/office/drawing/2014/main" id="{9C1100C1-4828-9C4E-95F9-5872B02279CD}"/>
                </a:ext>
              </a:extLst>
            </xdr:cNvPr>
            <xdr:cNvSpPr txBox="1"/>
          </xdr:nvSpPr>
          <xdr:spPr>
            <a:xfrm>
              <a:off x="13182600" y="10974434"/>
              <a:ext cx="61976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-100</a:t>
              </a:r>
            </a:p>
          </xdr:txBody>
        </xdr:sp>
        <xdr:sp macro="" textlink="">
          <xdr:nvSpPr>
            <xdr:cNvPr id="12" name="TextBox 11">
              <a:extLst>
                <a:ext uri="{FF2B5EF4-FFF2-40B4-BE49-F238E27FC236}">
                  <a16:creationId xmlns:a16="http://schemas.microsoft.com/office/drawing/2014/main" id="{2830A38B-5F4B-C541-9714-A596B66D3CFF}"/>
                </a:ext>
              </a:extLst>
            </xdr:cNvPr>
            <xdr:cNvSpPr txBox="1"/>
          </xdr:nvSpPr>
          <xdr:spPr>
            <a:xfrm>
              <a:off x="13182600" y="8474537"/>
              <a:ext cx="61976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200</a:t>
              </a:r>
            </a:p>
          </xdr:txBody>
        </xdr:sp>
        <xdr:sp macro="" textlink="">
          <xdr:nvSpPr>
            <xdr:cNvPr id="13" name="TextBox 12">
              <a:extLst>
                <a:ext uri="{FF2B5EF4-FFF2-40B4-BE49-F238E27FC236}">
                  <a16:creationId xmlns:a16="http://schemas.microsoft.com/office/drawing/2014/main" id="{36FAC7C8-6EBD-2449-8E89-CA54165CA665}"/>
                </a:ext>
              </a:extLst>
            </xdr:cNvPr>
            <xdr:cNvSpPr txBox="1"/>
          </xdr:nvSpPr>
          <xdr:spPr>
            <a:xfrm>
              <a:off x="13182600" y="11807734"/>
              <a:ext cx="619760" cy="29419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45720" rIns="45720" bIns="45720" rtlCol="0" anchor="t"/>
            <a:lstStyle/>
            <a:p>
              <a:pPr algn="r"/>
              <a:r>
                <a:rPr lang="en-US" sz="1600">
                  <a:latin typeface="Arial" panose="020B0604020202020204" pitchFamily="34" charset="0"/>
                  <a:cs typeface="Arial" panose="020B0604020202020204" pitchFamily="34" charset="0"/>
                </a:rPr>
                <a:t>-200</a:t>
              </a:r>
            </a:p>
          </xdr:txBody>
        </xdr:sp>
      </xdr:grp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8596D-69C6-F045-81C6-7CBEB161ACEC}">
  <dimension ref="A1:P16"/>
  <sheetViews>
    <sheetView tabSelected="1" zoomScale="150" zoomScaleNormal="150" workbookViewId="0">
      <selection activeCell="B2" sqref="B2"/>
    </sheetView>
  </sheetViews>
  <sheetFormatPr baseColWidth="10" defaultRowHeight="16" x14ac:dyDescent="0.2"/>
  <cols>
    <col min="1" max="1" width="1.42578125" style="47" customWidth="1"/>
    <col min="2" max="2" width="15.28515625" style="47" customWidth="1"/>
    <col min="3" max="3" width="2.85546875" style="47" customWidth="1"/>
    <col min="4" max="16384" width="10.7109375" style="47"/>
  </cols>
  <sheetData>
    <row r="1" spans="1:16" ht="10" customHeight="1" x14ac:dyDescent="0.2">
      <c r="A1" s="46"/>
      <c r="B1" s="46"/>
      <c r="C1" s="46"/>
      <c r="D1" s="46"/>
      <c r="E1" s="46"/>
      <c r="F1" s="46"/>
      <c r="G1" s="46"/>
      <c r="H1" s="46"/>
      <c r="I1" s="46"/>
      <c r="J1" s="46"/>
      <c r="K1" s="46"/>
      <c r="L1" s="46"/>
      <c r="M1" s="46"/>
      <c r="N1" s="46"/>
      <c r="O1" s="46"/>
      <c r="P1" s="46"/>
    </row>
    <row r="2" spans="1:16" ht="25" customHeight="1" x14ac:dyDescent="0.3">
      <c r="A2" s="46"/>
      <c r="B2" s="83" t="s">
        <v>168</v>
      </c>
      <c r="C2" s="84"/>
      <c r="D2" s="84"/>
      <c r="E2" s="84"/>
      <c r="F2" s="84"/>
      <c r="G2" s="84"/>
      <c r="H2" s="84"/>
      <c r="I2" s="84"/>
      <c r="J2" s="84"/>
      <c r="K2" s="84"/>
      <c r="L2" s="84"/>
      <c r="M2" s="84"/>
      <c r="N2" s="84"/>
      <c r="O2" s="84"/>
      <c r="P2" s="84"/>
    </row>
    <row r="3" spans="1:16" x14ac:dyDescent="0.2">
      <c r="A3" s="46"/>
      <c r="B3" s="85" t="s">
        <v>80</v>
      </c>
      <c r="C3" s="86"/>
      <c r="D3" s="86"/>
      <c r="E3" s="86"/>
      <c r="F3" s="86"/>
      <c r="G3" s="86"/>
      <c r="H3" s="86"/>
      <c r="I3" s="86"/>
      <c r="J3" s="86"/>
      <c r="K3" s="86"/>
      <c r="L3" s="86"/>
      <c r="M3" s="86"/>
      <c r="N3" s="86"/>
      <c r="O3" s="86"/>
      <c r="P3" s="86"/>
    </row>
    <row r="4" spans="1:16" x14ac:dyDescent="0.2">
      <c r="A4" s="46"/>
      <c r="B4" s="85"/>
      <c r="C4" s="86"/>
      <c r="D4" s="86"/>
      <c r="E4" s="86"/>
      <c r="F4" s="86"/>
      <c r="G4" s="86"/>
      <c r="H4" s="86"/>
      <c r="I4" s="86"/>
      <c r="J4" s="86"/>
      <c r="K4" s="86"/>
      <c r="L4" s="86"/>
      <c r="M4" s="86"/>
      <c r="N4" s="86"/>
      <c r="O4" s="86"/>
      <c r="P4" s="86"/>
    </row>
    <row r="5" spans="1:16" x14ac:dyDescent="0.2">
      <c r="A5" s="46"/>
      <c r="B5" s="86" t="s">
        <v>164</v>
      </c>
      <c r="C5" s="86"/>
      <c r="D5" s="86"/>
      <c r="E5" s="86"/>
      <c r="F5" s="86"/>
      <c r="G5" s="86"/>
      <c r="H5" s="86"/>
      <c r="I5" s="86"/>
      <c r="J5" s="86"/>
      <c r="K5" s="86"/>
      <c r="L5" s="86"/>
      <c r="M5" s="86"/>
      <c r="N5" s="86"/>
      <c r="O5" s="86"/>
      <c r="P5" s="86"/>
    </row>
    <row r="6" spans="1:16" x14ac:dyDescent="0.2">
      <c r="A6" s="46"/>
      <c r="B6" s="86" t="s">
        <v>167</v>
      </c>
      <c r="C6" s="86"/>
      <c r="D6" s="86"/>
      <c r="E6" s="86"/>
      <c r="F6" s="86"/>
      <c r="G6" s="86"/>
      <c r="H6" s="86"/>
      <c r="I6" s="86"/>
      <c r="J6" s="86"/>
      <c r="K6" s="86"/>
      <c r="L6" s="86"/>
      <c r="M6" s="86"/>
      <c r="N6" s="86"/>
      <c r="O6" s="86"/>
      <c r="P6" s="86"/>
    </row>
    <row r="7" spans="1:16" x14ac:dyDescent="0.2">
      <c r="A7" s="46"/>
      <c r="B7" s="86" t="s">
        <v>166</v>
      </c>
      <c r="C7" s="86"/>
      <c r="D7" s="86"/>
      <c r="E7" s="86"/>
      <c r="F7" s="86"/>
      <c r="G7" s="86"/>
      <c r="H7" s="86"/>
      <c r="I7" s="86"/>
      <c r="J7" s="86"/>
      <c r="K7" s="86"/>
      <c r="L7" s="86"/>
      <c r="M7" s="86"/>
      <c r="N7" s="86"/>
      <c r="O7" s="86"/>
      <c r="P7" s="86"/>
    </row>
    <row r="8" spans="1:16" x14ac:dyDescent="0.2">
      <c r="A8" s="46"/>
      <c r="B8" s="85"/>
      <c r="C8" s="86"/>
      <c r="D8" s="86"/>
      <c r="E8" s="86"/>
      <c r="F8" s="86"/>
      <c r="G8" s="86"/>
      <c r="H8" s="86"/>
      <c r="I8" s="86"/>
      <c r="J8" s="86"/>
      <c r="K8" s="86"/>
      <c r="L8" s="86"/>
      <c r="M8" s="86"/>
      <c r="N8" s="86"/>
      <c r="O8" s="86"/>
      <c r="P8" s="86"/>
    </row>
    <row r="9" spans="1:16" ht="16" customHeight="1" x14ac:dyDescent="0.2">
      <c r="A9" s="46"/>
      <c r="B9" s="86" t="s">
        <v>75</v>
      </c>
      <c r="C9" s="86"/>
      <c r="D9" s="86" t="s">
        <v>76</v>
      </c>
      <c r="E9" s="86"/>
      <c r="F9" s="86"/>
      <c r="G9" s="87"/>
      <c r="H9" s="87"/>
      <c r="I9" s="87"/>
      <c r="J9" s="86"/>
      <c r="K9" s="86"/>
      <c r="L9" s="86"/>
      <c r="M9" s="86"/>
      <c r="N9" s="86"/>
      <c r="O9" s="86"/>
      <c r="P9" s="86"/>
    </row>
    <row r="10" spans="1:16" x14ac:dyDescent="0.2">
      <c r="A10" s="46"/>
      <c r="B10" s="86"/>
      <c r="C10" s="86"/>
      <c r="D10" s="86" t="s">
        <v>77</v>
      </c>
      <c r="E10" s="86"/>
      <c r="F10" s="86"/>
      <c r="G10" s="87"/>
      <c r="H10" s="87"/>
      <c r="I10" s="87"/>
      <c r="J10" s="86"/>
      <c r="K10" s="86"/>
      <c r="L10" s="86"/>
      <c r="M10" s="86"/>
      <c r="N10" s="86"/>
      <c r="O10" s="86"/>
      <c r="P10" s="86"/>
    </row>
    <row r="11" spans="1:16" x14ac:dyDescent="0.2">
      <c r="A11" s="46"/>
      <c r="B11" s="86"/>
      <c r="C11" s="86"/>
      <c r="D11" s="86" t="s">
        <v>78</v>
      </c>
      <c r="E11" s="86"/>
      <c r="F11" s="86"/>
      <c r="G11" s="87"/>
      <c r="H11" s="87"/>
      <c r="I11" s="87"/>
      <c r="J11" s="86"/>
      <c r="K11" s="86"/>
      <c r="L11" s="86"/>
      <c r="M11" s="86"/>
      <c r="N11" s="86"/>
      <c r="O11" s="86"/>
      <c r="P11" s="86"/>
    </row>
    <row r="12" spans="1:16" x14ac:dyDescent="0.2">
      <c r="A12" s="46"/>
      <c r="B12" s="86"/>
      <c r="C12" s="86"/>
      <c r="D12" s="86"/>
      <c r="E12" s="86"/>
      <c r="F12" s="86"/>
      <c r="G12" s="87"/>
      <c r="H12" s="87"/>
      <c r="I12" s="87"/>
      <c r="J12" s="86"/>
      <c r="K12" s="86"/>
      <c r="L12" s="86"/>
      <c r="M12" s="86"/>
      <c r="N12" s="86"/>
      <c r="O12" s="86"/>
      <c r="P12" s="86"/>
    </row>
    <row r="13" spans="1:16" x14ac:dyDescent="0.2">
      <c r="A13" s="46"/>
      <c r="B13" s="86" t="s">
        <v>79</v>
      </c>
      <c r="C13" s="86"/>
      <c r="D13" s="88" t="s">
        <v>162</v>
      </c>
      <c r="E13" s="86"/>
      <c r="F13" s="86"/>
      <c r="G13" s="87"/>
      <c r="H13" s="87"/>
      <c r="I13" s="87"/>
      <c r="J13" s="86"/>
      <c r="K13" s="86"/>
      <c r="L13" s="86"/>
      <c r="M13" s="86"/>
      <c r="N13" s="86"/>
      <c r="O13" s="86"/>
      <c r="P13" s="86"/>
    </row>
    <row r="14" spans="1:16" x14ac:dyDescent="0.2">
      <c r="A14" s="46"/>
      <c r="B14" s="86"/>
      <c r="C14" s="86"/>
      <c r="D14" s="86"/>
      <c r="E14" s="86"/>
      <c r="F14" s="86"/>
      <c r="G14" s="87"/>
      <c r="H14" s="87"/>
      <c r="I14" s="87"/>
      <c r="J14" s="86"/>
      <c r="K14" s="86"/>
      <c r="L14" s="86"/>
      <c r="M14" s="86"/>
      <c r="N14" s="86"/>
      <c r="O14" s="86"/>
      <c r="P14" s="86"/>
    </row>
    <row r="15" spans="1:16" x14ac:dyDescent="0.2">
      <c r="A15" s="46"/>
      <c r="B15" s="86"/>
      <c r="C15" s="86"/>
      <c r="D15" s="89"/>
      <c r="E15" s="86"/>
      <c r="F15" s="86"/>
      <c r="G15" s="86"/>
      <c r="H15" s="86"/>
      <c r="I15" s="86"/>
      <c r="J15" s="86"/>
      <c r="K15" s="86"/>
      <c r="L15" s="86"/>
      <c r="M15" s="86"/>
      <c r="N15" s="86"/>
      <c r="O15" s="86"/>
      <c r="P15" s="86"/>
    </row>
    <row r="16" spans="1:16" x14ac:dyDescent="0.2">
      <c r="A16" s="46"/>
      <c r="B16" s="46"/>
      <c r="C16" s="46"/>
      <c r="D16" s="46"/>
      <c r="E16" s="46"/>
      <c r="F16" s="46"/>
      <c r="G16" s="46"/>
      <c r="H16" s="46"/>
      <c r="I16" s="46"/>
      <c r="J16" s="46"/>
      <c r="K16" s="46"/>
      <c r="L16" s="46"/>
      <c r="M16" s="46"/>
      <c r="N16" s="46"/>
      <c r="O16" s="46"/>
      <c r="P16" s="46"/>
    </row>
  </sheetData>
  <pageMargins left="0.7" right="0.7" top="0.75" bottom="0.75" header="0.3" footer="0.3"/>
  <cellWatches>
    <cellWatch r="V4"/>
    <cellWatch r="W4"/>
    <cellWatch r="X4"/>
    <cellWatch r="Y4"/>
    <cellWatch r="V5"/>
    <cellWatch r="W5"/>
    <cellWatch r="X5"/>
    <cellWatch r="Y5"/>
    <cellWatch r="V7"/>
    <cellWatch r="W7"/>
    <cellWatch r="X7"/>
    <cellWatch r="Y7"/>
    <cellWatch r="V8"/>
    <cellWatch r="W8"/>
    <cellWatch r="X8"/>
    <cellWatch r="Y8"/>
    <cellWatch r="V9"/>
    <cellWatch r="W9"/>
    <cellWatch r="X9"/>
    <cellWatch r="Y9"/>
    <cellWatch r="V10"/>
    <cellWatch r="W10"/>
    <cellWatch r="X10"/>
    <cellWatch r="Y10"/>
    <cellWatch r="V11"/>
    <cellWatch r="W11"/>
    <cellWatch r="X11"/>
    <cellWatch r="Y11"/>
    <cellWatch r="V12"/>
    <cellWatch r="W12"/>
    <cellWatch r="X12"/>
    <cellWatch r="Y12"/>
  </cellWatch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395E3-11B3-904B-BDB6-07401E00A335}">
  <sheetPr>
    <tabColor theme="9" tint="-0.499984740745262"/>
  </sheetPr>
  <dimension ref="A1:S79"/>
  <sheetViews>
    <sheetView workbookViewId="0">
      <selection sqref="A1:S1"/>
    </sheetView>
  </sheetViews>
  <sheetFormatPr baseColWidth="10" defaultRowHeight="19" x14ac:dyDescent="0.25"/>
  <cols>
    <col min="1" max="1" width="18.7109375" customWidth="1"/>
  </cols>
  <sheetData>
    <row r="1" spans="1:19" ht="31" x14ac:dyDescent="0.35">
      <c r="A1" s="121" t="s">
        <v>81</v>
      </c>
      <c r="B1" s="121"/>
      <c r="C1" s="121"/>
      <c r="D1" s="121"/>
      <c r="E1" s="121"/>
      <c r="F1" s="121"/>
      <c r="G1" s="121"/>
      <c r="H1" s="121"/>
      <c r="I1" s="121"/>
      <c r="J1" s="121"/>
      <c r="K1" s="121"/>
      <c r="L1" s="121"/>
      <c r="M1" s="121"/>
      <c r="N1" s="121"/>
      <c r="O1" s="121"/>
      <c r="P1" s="121"/>
      <c r="Q1" s="121"/>
      <c r="R1" s="121"/>
      <c r="S1" s="121"/>
    </row>
    <row r="2" spans="1:19" x14ac:dyDescent="0.25">
      <c r="A2" s="79"/>
      <c r="B2" s="79"/>
      <c r="C2" s="79"/>
      <c r="D2" s="79"/>
      <c r="E2" s="79"/>
      <c r="F2" s="79"/>
      <c r="G2" s="79"/>
      <c r="H2" s="79"/>
      <c r="I2" s="79"/>
      <c r="J2" s="79"/>
      <c r="K2" s="79"/>
      <c r="L2" s="79"/>
      <c r="M2" s="79"/>
      <c r="N2" s="79"/>
      <c r="O2" s="79"/>
      <c r="P2" s="79"/>
      <c r="Q2" s="79"/>
      <c r="R2" s="79"/>
      <c r="S2" s="79"/>
    </row>
    <row r="3" spans="1:19" x14ac:dyDescent="0.25">
      <c r="A3" s="79" t="s">
        <v>82</v>
      </c>
      <c r="B3" s="79"/>
      <c r="C3" s="79"/>
      <c r="D3" s="79"/>
      <c r="E3" s="79"/>
      <c r="F3" s="79"/>
      <c r="G3" s="79"/>
      <c r="H3" s="79"/>
      <c r="I3" s="79"/>
      <c r="J3" s="79"/>
      <c r="K3" s="79"/>
      <c r="L3" s="79"/>
      <c r="M3" s="79"/>
      <c r="N3" s="79"/>
      <c r="O3" s="79"/>
      <c r="P3" s="79"/>
      <c r="Q3" s="79"/>
      <c r="R3" s="79"/>
      <c r="S3" s="79"/>
    </row>
    <row r="4" spans="1:19" x14ac:dyDescent="0.25">
      <c r="A4" s="10"/>
      <c r="B4" s="79"/>
      <c r="C4" s="79"/>
      <c r="D4" s="79"/>
      <c r="E4" s="79"/>
      <c r="F4" s="79"/>
      <c r="G4" s="79"/>
      <c r="H4" s="79"/>
      <c r="I4" s="79"/>
      <c r="J4" s="79"/>
      <c r="K4" s="79"/>
      <c r="L4" s="79"/>
      <c r="M4" s="79"/>
      <c r="N4" s="79"/>
      <c r="O4" s="79"/>
      <c r="P4" s="79"/>
      <c r="Q4" s="79"/>
      <c r="R4" s="79"/>
      <c r="S4" s="79"/>
    </row>
    <row r="5" spans="1:19" x14ac:dyDescent="0.25">
      <c r="A5" s="96" t="s">
        <v>105</v>
      </c>
      <c r="B5" s="100"/>
      <c r="C5" s="100"/>
      <c r="D5" s="100"/>
      <c r="E5" s="100"/>
      <c r="F5" s="100"/>
      <c r="G5" s="100"/>
      <c r="H5" s="100"/>
      <c r="I5" s="100"/>
      <c r="J5" s="100"/>
      <c r="K5" s="100"/>
      <c r="L5" s="100"/>
      <c r="M5" s="100"/>
      <c r="N5" s="100"/>
      <c r="O5" s="100"/>
      <c r="P5" s="100"/>
      <c r="Q5" s="100"/>
      <c r="R5" s="100"/>
      <c r="S5" s="100"/>
    </row>
    <row r="6" spans="1:19" x14ac:dyDescent="0.25">
      <c r="A6" s="79" t="s">
        <v>163</v>
      </c>
      <c r="B6" s="79"/>
      <c r="C6" s="79"/>
      <c r="D6" s="79"/>
      <c r="E6" s="79"/>
      <c r="F6" s="79"/>
      <c r="G6" s="79"/>
      <c r="H6" s="79"/>
      <c r="I6" s="79"/>
      <c r="J6" s="79"/>
      <c r="K6" s="79"/>
      <c r="L6" s="79"/>
      <c r="M6" s="79"/>
      <c r="N6" s="79"/>
      <c r="O6" s="79"/>
      <c r="P6" s="79"/>
      <c r="Q6" s="79"/>
      <c r="R6" s="79"/>
      <c r="S6" s="79"/>
    </row>
    <row r="7" spans="1:19" x14ac:dyDescent="0.25">
      <c r="A7" s="79" t="s">
        <v>111</v>
      </c>
      <c r="B7" s="79"/>
      <c r="C7" s="79"/>
      <c r="D7" s="79"/>
      <c r="E7" s="79"/>
      <c r="F7" s="79"/>
      <c r="G7" s="79"/>
      <c r="H7" s="79"/>
      <c r="I7" s="79"/>
      <c r="J7" s="79"/>
      <c r="K7" s="79"/>
      <c r="L7" s="79"/>
      <c r="M7" s="79"/>
      <c r="N7" s="79"/>
      <c r="O7" s="79"/>
      <c r="P7" s="79"/>
      <c r="Q7" s="79"/>
      <c r="R7" s="79"/>
      <c r="S7" s="79"/>
    </row>
    <row r="8" spans="1:19" x14ac:dyDescent="0.25">
      <c r="A8" s="112">
        <v>8.0000000000000002E-3</v>
      </c>
      <c r="B8" s="79" t="s">
        <v>112</v>
      </c>
      <c r="C8" s="79"/>
      <c r="D8" s="79"/>
      <c r="E8" s="79"/>
      <c r="F8" s="79"/>
      <c r="G8" s="79"/>
      <c r="H8" s="79"/>
      <c r="I8" s="79"/>
      <c r="J8" s="79"/>
      <c r="K8" s="79"/>
      <c r="L8" s="79"/>
      <c r="M8" s="79"/>
      <c r="N8" s="79"/>
      <c r="O8" s="79"/>
      <c r="P8" s="79"/>
      <c r="Q8" s="79"/>
      <c r="R8" s="79"/>
      <c r="S8" s="79"/>
    </row>
    <row r="9" spans="1:19" x14ac:dyDescent="0.25">
      <c r="A9" s="79"/>
      <c r="B9" s="79"/>
      <c r="C9" s="79"/>
      <c r="D9" s="79"/>
      <c r="E9" s="79"/>
      <c r="F9" s="79"/>
      <c r="G9" s="79"/>
      <c r="H9" s="79"/>
      <c r="I9" s="79"/>
      <c r="J9" s="79"/>
      <c r="K9" s="79"/>
      <c r="L9" s="79"/>
      <c r="M9" s="79"/>
      <c r="N9" s="79"/>
      <c r="O9" s="79"/>
      <c r="P9" s="79"/>
      <c r="Q9" s="79"/>
      <c r="R9" s="79"/>
      <c r="S9" s="79"/>
    </row>
    <row r="10" spans="1:19" x14ac:dyDescent="0.25">
      <c r="A10" s="12" t="s">
        <v>11</v>
      </c>
      <c r="B10" s="79"/>
      <c r="C10" s="79"/>
      <c r="D10" s="79"/>
      <c r="E10" s="79"/>
      <c r="F10" s="79"/>
      <c r="G10" s="79"/>
      <c r="H10" s="79"/>
      <c r="I10" s="79"/>
      <c r="J10" s="79"/>
      <c r="K10" s="79"/>
      <c r="L10" s="79"/>
      <c r="M10" s="79"/>
      <c r="N10" s="79"/>
      <c r="O10" s="79"/>
      <c r="P10" s="79"/>
      <c r="Q10" s="79"/>
      <c r="R10" s="79"/>
      <c r="S10" s="79"/>
    </row>
    <row r="11" spans="1:19" x14ac:dyDescent="0.25">
      <c r="A11" s="79" t="s">
        <v>29</v>
      </c>
      <c r="B11" s="79"/>
      <c r="C11" s="79"/>
      <c r="D11" s="79"/>
      <c r="E11" s="79"/>
      <c r="F11" s="79"/>
      <c r="G11" s="79"/>
      <c r="H11" s="79"/>
      <c r="I11" s="79"/>
      <c r="J11" s="79"/>
      <c r="K11" s="79"/>
      <c r="L11" s="79"/>
      <c r="M11" s="79"/>
      <c r="N11" s="79"/>
      <c r="O11" s="79"/>
      <c r="P11" s="79"/>
      <c r="Q11" s="79"/>
      <c r="R11" s="79"/>
      <c r="S11" s="79"/>
    </row>
    <row r="12" spans="1:19" ht="80" x14ac:dyDescent="0.25">
      <c r="A12" s="98" t="s">
        <v>83</v>
      </c>
      <c r="B12" s="99" t="s">
        <v>84</v>
      </c>
      <c r="C12" s="99" t="s">
        <v>85</v>
      </c>
      <c r="D12" s="99" t="s">
        <v>86</v>
      </c>
      <c r="E12" s="79"/>
      <c r="F12" s="79"/>
      <c r="G12" s="79"/>
      <c r="H12" s="79"/>
      <c r="I12" s="79"/>
      <c r="J12" s="79"/>
      <c r="K12" s="79"/>
      <c r="L12" s="79"/>
      <c r="M12" s="79"/>
      <c r="N12" s="79"/>
      <c r="O12" s="79"/>
      <c r="P12" s="79"/>
      <c r="Q12" s="79"/>
      <c r="R12" s="79"/>
      <c r="S12" s="79"/>
    </row>
    <row r="13" spans="1:19" x14ac:dyDescent="0.25">
      <c r="A13" s="97" t="s">
        <v>108</v>
      </c>
      <c r="B13" s="97">
        <v>1.8</v>
      </c>
      <c r="C13" s="110">
        <v>520.490394864</v>
      </c>
      <c r="D13" s="111">
        <v>3.4582770743931323E-3</v>
      </c>
      <c r="E13" s="79"/>
      <c r="F13" s="79"/>
      <c r="G13" s="79"/>
      <c r="H13" s="79"/>
      <c r="I13" s="79"/>
      <c r="J13" s="79"/>
      <c r="K13" s="79"/>
      <c r="L13" s="79"/>
      <c r="M13" s="79"/>
      <c r="N13" s="79"/>
      <c r="O13" s="79"/>
      <c r="P13" s="79"/>
      <c r="Q13" s="79"/>
      <c r="R13" s="79"/>
      <c r="S13" s="79"/>
    </row>
    <row r="14" spans="1:19" x14ac:dyDescent="0.25">
      <c r="A14" s="97" t="s">
        <v>106</v>
      </c>
      <c r="B14" s="97">
        <v>0.44</v>
      </c>
      <c r="C14" s="110">
        <v>520.490394864</v>
      </c>
      <c r="D14" s="111">
        <v>8.4535661818498781E-4</v>
      </c>
      <c r="E14" s="79"/>
      <c r="F14" s="79"/>
      <c r="G14" s="79"/>
      <c r="H14" s="79"/>
      <c r="I14" s="79"/>
      <c r="J14" s="79"/>
      <c r="K14" s="79"/>
      <c r="L14" s="79"/>
      <c r="M14" s="79"/>
      <c r="N14" s="79"/>
      <c r="O14" s="79"/>
      <c r="P14" s="79"/>
      <c r="Q14" s="79"/>
      <c r="R14" s="79"/>
      <c r="S14" s="79"/>
    </row>
    <row r="15" spans="1:19" x14ac:dyDescent="0.25">
      <c r="A15" s="27" t="s">
        <v>89</v>
      </c>
      <c r="B15" s="101"/>
      <c r="C15" s="102"/>
      <c r="D15" s="103"/>
      <c r="E15" s="79"/>
      <c r="F15" s="79"/>
      <c r="G15" s="79"/>
      <c r="H15" s="79"/>
      <c r="I15" s="79"/>
      <c r="J15" s="79"/>
      <c r="K15" s="79"/>
      <c r="L15" s="79"/>
      <c r="M15" s="79"/>
      <c r="N15" s="79"/>
      <c r="O15" s="79"/>
      <c r="P15" s="79"/>
      <c r="Q15" s="79"/>
      <c r="R15" s="79"/>
      <c r="S15" s="79"/>
    </row>
    <row r="16" spans="1:19" x14ac:dyDescent="0.25">
      <c r="A16" s="101"/>
      <c r="B16" s="101"/>
      <c r="C16" s="102"/>
      <c r="D16" s="103"/>
      <c r="E16" s="79"/>
      <c r="F16" s="79"/>
      <c r="G16" s="79"/>
      <c r="H16" s="79"/>
      <c r="I16" s="79"/>
      <c r="J16" s="79"/>
      <c r="K16" s="79"/>
      <c r="L16" s="79"/>
      <c r="M16" s="79"/>
      <c r="N16" s="79"/>
      <c r="O16" s="79"/>
      <c r="P16" s="79"/>
      <c r="Q16" s="79"/>
      <c r="R16" s="79"/>
      <c r="S16" s="79"/>
    </row>
    <row r="17" spans="1:19" x14ac:dyDescent="0.25">
      <c r="A17" s="12" t="s">
        <v>107</v>
      </c>
      <c r="B17" s="13"/>
      <c r="C17" s="13"/>
      <c r="D17" s="13"/>
      <c r="E17" s="79"/>
      <c r="F17" s="79"/>
      <c r="G17" s="79"/>
      <c r="H17" s="79"/>
      <c r="I17" s="79"/>
      <c r="J17" s="79"/>
      <c r="K17" s="79"/>
      <c r="L17" s="79"/>
      <c r="M17" s="79"/>
      <c r="N17" s="79"/>
      <c r="O17" s="79"/>
      <c r="P17" s="79"/>
      <c r="Q17" s="79"/>
      <c r="R17" s="79"/>
      <c r="S17" s="79"/>
    </row>
    <row r="18" spans="1:19" x14ac:dyDescent="0.25">
      <c r="A18" s="13"/>
      <c r="B18" s="79" t="s">
        <v>28</v>
      </c>
      <c r="C18" s="79" t="s">
        <v>109</v>
      </c>
      <c r="D18" s="79" t="s">
        <v>110</v>
      </c>
      <c r="E18" s="79"/>
      <c r="F18" s="79"/>
      <c r="G18" s="79"/>
      <c r="H18" s="79"/>
      <c r="I18" s="79"/>
      <c r="J18" s="79"/>
      <c r="K18" s="79"/>
      <c r="L18" s="79"/>
      <c r="M18" s="79"/>
      <c r="N18" s="79"/>
      <c r="O18" s="79"/>
      <c r="P18" s="79"/>
      <c r="Q18" s="79"/>
      <c r="R18" s="79"/>
      <c r="S18" s="79"/>
    </row>
    <row r="19" spans="1:19" x14ac:dyDescent="0.25">
      <c r="A19" s="79" t="s">
        <v>113</v>
      </c>
      <c r="B19" s="82">
        <v>1E-3</v>
      </c>
      <c r="C19" s="82">
        <v>2.5000000000000001E-3</v>
      </c>
      <c r="D19" s="82">
        <v>4.1999999999999997E-3</v>
      </c>
      <c r="E19" s="13" t="s">
        <v>115</v>
      </c>
      <c r="F19" s="13"/>
      <c r="G19" s="13"/>
      <c r="H19" s="13"/>
      <c r="I19" s="13"/>
      <c r="J19" s="79"/>
      <c r="K19" s="79"/>
      <c r="L19" s="79"/>
      <c r="M19" s="79"/>
      <c r="N19" s="79"/>
      <c r="O19" s="79"/>
      <c r="P19" s="79"/>
      <c r="Q19" s="79"/>
      <c r="R19" s="79"/>
      <c r="S19" s="79"/>
    </row>
    <row r="20" spans="1:19" x14ac:dyDescent="0.25">
      <c r="A20" s="79" t="s">
        <v>114</v>
      </c>
      <c r="B20" s="82">
        <v>4.0000000000000001E-3</v>
      </c>
      <c r="C20" s="82">
        <v>1.7399999999999999E-2</v>
      </c>
      <c r="D20" s="82">
        <v>3.2800000000000003E-2</v>
      </c>
      <c r="E20" t="s">
        <v>16</v>
      </c>
      <c r="F20" s="13"/>
      <c r="G20" s="13"/>
      <c r="H20" s="13"/>
      <c r="I20" s="13"/>
      <c r="J20" s="79"/>
      <c r="K20" s="79"/>
      <c r="L20" s="79"/>
      <c r="M20" s="79"/>
      <c r="N20" s="79"/>
      <c r="O20" s="79"/>
      <c r="P20" s="79"/>
      <c r="Q20" s="79"/>
      <c r="R20" s="79"/>
      <c r="S20" s="79"/>
    </row>
    <row r="21" spans="1:19" x14ac:dyDescent="0.25">
      <c r="A21" s="79"/>
      <c r="B21" s="79"/>
      <c r="C21" s="79"/>
      <c r="D21" s="79"/>
      <c r="E21" s="79"/>
      <c r="F21" s="79"/>
      <c r="G21" s="79"/>
      <c r="H21" s="79"/>
      <c r="I21" s="79"/>
      <c r="J21" s="79"/>
      <c r="K21" s="79"/>
      <c r="L21" s="79"/>
      <c r="M21" s="79"/>
      <c r="N21" s="79"/>
      <c r="O21" s="79"/>
      <c r="P21" s="79"/>
      <c r="Q21" s="79"/>
      <c r="R21" s="79"/>
      <c r="S21" s="79"/>
    </row>
    <row r="22" spans="1:19" ht="19" customHeight="1" x14ac:dyDescent="0.25">
      <c r="A22" s="48" t="s">
        <v>72</v>
      </c>
      <c r="B22" s="104"/>
      <c r="C22" s="104"/>
      <c r="D22" s="104"/>
      <c r="E22" s="104"/>
      <c r="F22" s="104"/>
      <c r="G22" s="104"/>
      <c r="H22" s="104"/>
      <c r="I22" s="104"/>
      <c r="J22" s="104"/>
      <c r="K22" s="104"/>
      <c r="L22" s="104"/>
      <c r="M22" s="104"/>
      <c r="N22" s="104"/>
      <c r="O22" s="104"/>
      <c r="P22" s="104"/>
      <c r="Q22" s="104"/>
      <c r="R22" s="104"/>
      <c r="S22" s="104"/>
    </row>
    <row r="23" spans="1:19" x14ac:dyDescent="0.25">
      <c r="A23" s="12" t="s">
        <v>10</v>
      </c>
      <c r="B23" s="79"/>
      <c r="C23" s="79"/>
      <c r="D23" s="79"/>
      <c r="E23" s="79"/>
      <c r="F23" s="79"/>
      <c r="G23" s="79"/>
      <c r="H23" s="79"/>
      <c r="I23" s="105"/>
      <c r="J23" s="105"/>
      <c r="K23" s="105"/>
      <c r="L23" s="105"/>
      <c r="M23" s="79"/>
      <c r="N23" s="79"/>
      <c r="O23" s="79"/>
      <c r="P23" s="79"/>
      <c r="Q23" s="79"/>
      <c r="R23" s="79"/>
      <c r="S23" s="79"/>
    </row>
    <row r="24" spans="1:19" x14ac:dyDescent="0.25">
      <c r="A24" s="79" t="s">
        <v>73</v>
      </c>
      <c r="B24" s="79"/>
      <c r="C24" s="79"/>
      <c r="D24" s="79"/>
      <c r="E24" s="79"/>
      <c r="F24" s="79"/>
      <c r="G24" s="79"/>
      <c r="H24" s="79"/>
      <c r="I24" s="79"/>
      <c r="J24" s="79"/>
      <c r="K24" s="79"/>
      <c r="L24" s="79"/>
      <c r="M24" s="79"/>
      <c r="N24" s="79"/>
      <c r="O24" s="79"/>
      <c r="P24" s="79"/>
      <c r="Q24" s="79"/>
      <c r="R24" s="79"/>
      <c r="S24" s="79"/>
    </row>
    <row r="25" spans="1:19" x14ac:dyDescent="0.25">
      <c r="A25" s="79" t="s">
        <v>15</v>
      </c>
      <c r="B25" s="79"/>
      <c r="C25" s="79"/>
      <c r="D25" s="79"/>
      <c r="E25" s="79"/>
      <c r="F25" s="79"/>
      <c r="G25" s="79"/>
      <c r="H25" s="79"/>
      <c r="I25" s="79"/>
      <c r="J25" s="79"/>
      <c r="K25" s="79"/>
      <c r="L25" s="79"/>
      <c r="M25" s="79"/>
      <c r="N25" s="79"/>
      <c r="O25" s="79"/>
      <c r="P25" s="79"/>
      <c r="Q25" s="79"/>
      <c r="R25" s="79"/>
      <c r="S25" s="79"/>
    </row>
    <row r="26" spans="1:19" ht="40" x14ac:dyDescent="0.25">
      <c r="A26" s="80" t="s">
        <v>14</v>
      </c>
      <c r="B26" s="81" t="s">
        <v>12</v>
      </c>
      <c r="C26" s="81" t="s">
        <v>13</v>
      </c>
      <c r="D26" s="79"/>
      <c r="E26" s="79"/>
      <c r="F26" s="79"/>
      <c r="G26" s="79"/>
      <c r="H26" s="79"/>
      <c r="I26" s="79"/>
      <c r="J26" s="79"/>
      <c r="K26" s="79"/>
      <c r="L26" s="79"/>
      <c r="M26" s="79"/>
      <c r="N26" s="79"/>
      <c r="O26" s="79"/>
      <c r="P26" s="79"/>
      <c r="Q26" s="79"/>
      <c r="R26" s="79"/>
      <c r="S26" s="79"/>
    </row>
    <row r="27" spans="1:19" x14ac:dyDescent="0.25">
      <c r="A27" s="79" t="s">
        <v>5</v>
      </c>
      <c r="B27" s="106">
        <v>4.0000000000000001E-3</v>
      </c>
      <c r="C27" s="79">
        <v>1</v>
      </c>
      <c r="D27" s="79"/>
      <c r="E27" s="79"/>
      <c r="F27" s="79"/>
      <c r="G27" s="79"/>
      <c r="H27" s="79"/>
      <c r="I27" s="79"/>
      <c r="J27" s="79"/>
      <c r="K27" s="79"/>
      <c r="L27" s="79"/>
      <c r="M27" s="79"/>
      <c r="N27" s="79"/>
      <c r="O27" s="79"/>
      <c r="P27" s="79"/>
      <c r="Q27" s="79"/>
      <c r="R27" s="79"/>
      <c r="S27" s="79"/>
    </row>
    <row r="28" spans="1:19" x14ac:dyDescent="0.25">
      <c r="A28" s="79" t="s">
        <v>9</v>
      </c>
      <c r="B28" s="106">
        <v>2.4E-2</v>
      </c>
      <c r="C28" s="79">
        <v>13</v>
      </c>
      <c r="D28" s="79"/>
      <c r="E28" s="79"/>
      <c r="F28" s="79"/>
      <c r="G28" s="79"/>
      <c r="H28" s="79"/>
      <c r="I28" s="79"/>
      <c r="J28" s="79"/>
      <c r="K28" s="79"/>
      <c r="L28" s="79"/>
      <c r="M28" s="79"/>
      <c r="N28" s="79"/>
      <c r="O28" s="79"/>
      <c r="P28" s="79"/>
      <c r="Q28" s="79"/>
      <c r="R28" s="79"/>
      <c r="S28" s="79"/>
    </row>
    <row r="29" spans="1:19" x14ac:dyDescent="0.25">
      <c r="A29" s="79" t="s">
        <v>7</v>
      </c>
      <c r="B29" s="106">
        <v>4.5999999999999999E-2</v>
      </c>
      <c r="C29" s="79">
        <v>23</v>
      </c>
      <c r="D29" s="79"/>
      <c r="E29" s="79"/>
      <c r="F29" s="79"/>
      <c r="G29" s="79"/>
      <c r="H29" s="79"/>
      <c r="I29" s="79"/>
      <c r="J29" s="79"/>
      <c r="K29" s="79"/>
      <c r="L29" s="79"/>
      <c r="M29" s="79"/>
      <c r="N29" s="79"/>
      <c r="O29" s="79"/>
      <c r="P29" s="79"/>
      <c r="Q29" s="79"/>
      <c r="R29" s="79"/>
      <c r="S29" s="79"/>
    </row>
    <row r="30" spans="1:19" x14ac:dyDescent="0.25">
      <c r="A30" s="79" t="s">
        <v>8</v>
      </c>
      <c r="B30" s="106">
        <v>7.4999999999999997E-2</v>
      </c>
      <c r="C30" s="79">
        <v>10</v>
      </c>
      <c r="D30" s="79"/>
      <c r="E30" s="79"/>
      <c r="F30" s="79"/>
      <c r="G30" s="79"/>
      <c r="H30" s="79"/>
      <c r="I30" s="79"/>
      <c r="J30" s="79"/>
      <c r="K30" s="79"/>
      <c r="L30" s="79"/>
      <c r="M30" s="79"/>
      <c r="N30" s="79"/>
      <c r="O30" s="79"/>
      <c r="P30" s="79"/>
      <c r="Q30" s="79"/>
      <c r="R30" s="79"/>
      <c r="S30" s="79"/>
    </row>
    <row r="31" spans="1:19" x14ac:dyDescent="0.25">
      <c r="A31" s="79" t="s">
        <v>6</v>
      </c>
      <c r="B31" s="106">
        <v>0.14899999999999999</v>
      </c>
      <c r="C31" s="79">
        <v>1</v>
      </c>
      <c r="D31" s="79"/>
      <c r="E31" s="79"/>
      <c r="F31" s="79"/>
      <c r="G31" s="79"/>
      <c r="H31" s="79"/>
      <c r="I31" s="79"/>
      <c r="J31" s="79"/>
      <c r="K31" s="79"/>
      <c r="L31" s="79"/>
      <c r="M31" s="79"/>
      <c r="N31" s="79"/>
      <c r="O31" s="79"/>
      <c r="P31" s="79"/>
      <c r="Q31" s="79"/>
      <c r="R31" s="79"/>
      <c r="S31" s="79"/>
    </row>
    <row r="32" spans="1:19" x14ac:dyDescent="0.25">
      <c r="A32" s="79"/>
      <c r="B32" s="106"/>
      <c r="C32" s="79"/>
      <c r="D32" s="79"/>
      <c r="E32" s="79"/>
      <c r="F32" s="79"/>
      <c r="G32" s="79"/>
      <c r="H32" s="79"/>
      <c r="I32" s="79"/>
      <c r="J32" s="79"/>
      <c r="K32" s="79"/>
      <c r="L32" s="79"/>
      <c r="M32" s="79"/>
      <c r="N32" s="79"/>
      <c r="O32" s="79"/>
      <c r="P32" s="79"/>
      <c r="Q32" s="79"/>
      <c r="R32" s="79"/>
      <c r="S32" s="79"/>
    </row>
    <row r="33" spans="1:19" x14ac:dyDescent="0.25">
      <c r="A33" s="79" t="s">
        <v>74</v>
      </c>
      <c r="B33" s="79"/>
      <c r="C33" s="79"/>
      <c r="D33" s="79"/>
      <c r="E33" s="79"/>
      <c r="F33" s="79"/>
      <c r="G33" s="79"/>
      <c r="H33" s="79"/>
      <c r="I33" s="79"/>
      <c r="J33" s="79"/>
      <c r="K33" s="79"/>
      <c r="L33" s="79"/>
      <c r="M33" s="79"/>
      <c r="N33" s="79"/>
      <c r="O33" s="79"/>
      <c r="P33" s="79"/>
      <c r="Q33" s="79"/>
      <c r="R33" s="79"/>
      <c r="S33" s="79"/>
    </row>
    <row r="34" spans="1:19" x14ac:dyDescent="0.25">
      <c r="A34" s="12" t="s">
        <v>123</v>
      </c>
      <c r="B34" s="79"/>
      <c r="C34" s="79"/>
      <c r="D34" s="79"/>
      <c r="E34" s="79"/>
      <c r="F34" s="12" t="s">
        <v>124</v>
      </c>
      <c r="G34" s="79"/>
      <c r="H34" s="79"/>
      <c r="I34" s="79"/>
      <c r="J34" s="79"/>
      <c r="K34" s="79"/>
      <c r="L34" s="79"/>
      <c r="M34" s="79"/>
      <c r="N34" s="79"/>
      <c r="O34" s="79"/>
      <c r="P34" s="79"/>
      <c r="Q34" s="79"/>
      <c r="R34" s="79"/>
      <c r="S34" s="79"/>
    </row>
    <row r="35" spans="1:19" ht="140" x14ac:dyDescent="0.25">
      <c r="A35" s="81" t="s">
        <v>34</v>
      </c>
      <c r="B35" s="12" t="s">
        <v>36</v>
      </c>
      <c r="C35" s="81" t="s">
        <v>35</v>
      </c>
      <c r="D35" s="81" t="s">
        <v>39</v>
      </c>
      <c r="E35" s="79"/>
      <c r="F35" s="81" t="s">
        <v>34</v>
      </c>
      <c r="G35" s="12" t="s">
        <v>36</v>
      </c>
      <c r="H35" s="81" t="s">
        <v>35</v>
      </c>
      <c r="I35" s="81" t="s">
        <v>127</v>
      </c>
      <c r="J35" s="81" t="s">
        <v>125</v>
      </c>
      <c r="K35" s="81" t="s">
        <v>126</v>
      </c>
      <c r="L35" s="79"/>
      <c r="M35" s="79"/>
      <c r="N35" s="79"/>
      <c r="O35" s="79"/>
      <c r="P35" s="79"/>
      <c r="Q35" s="79"/>
      <c r="R35" s="79"/>
      <c r="S35" s="79"/>
    </row>
    <row r="36" spans="1:19" x14ac:dyDescent="0.25">
      <c r="A36" s="79">
        <v>1</v>
      </c>
      <c r="B36" s="79" t="s">
        <v>37</v>
      </c>
      <c r="C36" s="79">
        <v>1469</v>
      </c>
      <c r="D36" s="106">
        <v>4.0000000000000001E-3</v>
      </c>
      <c r="E36" s="79"/>
      <c r="F36" s="79">
        <v>3</v>
      </c>
      <c r="G36" s="79" t="s">
        <v>37</v>
      </c>
      <c r="H36" s="79">
        <v>888</v>
      </c>
      <c r="I36" s="106">
        <f>IF(J36="yes",K36,K36+$C$20)</f>
        <v>4.3399999999999994E-2</v>
      </c>
      <c r="J36" s="79" t="s">
        <v>128</v>
      </c>
      <c r="K36" s="106">
        <v>2.5999999999999999E-2</v>
      </c>
      <c r="L36" s="79"/>
      <c r="M36" s="79"/>
      <c r="N36" s="79"/>
      <c r="O36" s="79"/>
      <c r="P36" s="79"/>
      <c r="Q36" s="79"/>
      <c r="R36" s="79"/>
      <c r="S36" s="79"/>
    </row>
    <row r="37" spans="1:19" x14ac:dyDescent="0.25">
      <c r="A37" s="79">
        <v>2</v>
      </c>
      <c r="B37" s="79" t="s">
        <v>37</v>
      </c>
      <c r="C37" s="79">
        <v>1083</v>
      </c>
      <c r="D37" s="106">
        <v>1.7999999999999999E-2</v>
      </c>
      <c r="E37" s="79"/>
      <c r="F37" s="79">
        <v>4</v>
      </c>
      <c r="G37" s="79" t="s">
        <v>37</v>
      </c>
      <c r="H37" s="79">
        <v>858</v>
      </c>
      <c r="I37" s="106">
        <f t="shared" ref="I37:I46" si="0">IF(J37="yes",K37,K37+$C$20)</f>
        <v>2.4399999999999998E-2</v>
      </c>
      <c r="J37" s="79" t="s">
        <v>128</v>
      </c>
      <c r="K37" s="106">
        <v>7.0000000000000001E-3</v>
      </c>
      <c r="L37" s="79"/>
      <c r="M37" s="79"/>
      <c r="N37" s="79"/>
      <c r="O37" s="79"/>
      <c r="P37" s="79"/>
      <c r="Q37" s="79"/>
      <c r="R37" s="79"/>
      <c r="S37" s="79"/>
    </row>
    <row r="38" spans="1:19" x14ac:dyDescent="0.25">
      <c r="A38" s="79">
        <v>6</v>
      </c>
      <c r="B38" s="79" t="s">
        <v>37</v>
      </c>
      <c r="C38" s="79">
        <v>411</v>
      </c>
      <c r="D38" s="106">
        <v>2.5999999999999999E-2</v>
      </c>
      <c r="E38" s="79"/>
      <c r="F38" s="79">
        <v>7</v>
      </c>
      <c r="G38" s="79" t="s">
        <v>37</v>
      </c>
      <c r="H38" s="79">
        <v>404</v>
      </c>
      <c r="I38" s="106">
        <f t="shared" si="0"/>
        <v>3.3399999999999999E-2</v>
      </c>
      <c r="J38" s="79" t="s">
        <v>128</v>
      </c>
      <c r="K38" s="106">
        <v>1.6E-2</v>
      </c>
      <c r="L38" s="79"/>
      <c r="M38" s="79"/>
      <c r="N38" s="79"/>
      <c r="O38" s="79"/>
      <c r="P38" s="79"/>
      <c r="Q38" s="79"/>
      <c r="R38" s="79"/>
      <c r="S38" s="79"/>
    </row>
    <row r="39" spans="1:19" x14ac:dyDescent="0.25">
      <c r="A39" s="79">
        <v>13</v>
      </c>
      <c r="B39" s="79" t="s">
        <v>37</v>
      </c>
      <c r="C39" s="79">
        <v>815</v>
      </c>
      <c r="D39" s="106">
        <v>2.5999999999999999E-2</v>
      </c>
      <c r="E39" s="79"/>
      <c r="F39" s="79">
        <v>9</v>
      </c>
      <c r="G39" s="79" t="s">
        <v>37</v>
      </c>
      <c r="H39" s="79">
        <v>333</v>
      </c>
      <c r="I39" s="106">
        <f t="shared" si="0"/>
        <v>4.4999999999999998E-2</v>
      </c>
      <c r="J39" s="79" t="s">
        <v>129</v>
      </c>
      <c r="K39" s="106">
        <v>4.4999999999999998E-2</v>
      </c>
      <c r="L39" s="79"/>
      <c r="M39" s="79"/>
      <c r="N39" s="79"/>
      <c r="O39" s="79"/>
      <c r="P39" s="79"/>
      <c r="Q39" s="79"/>
      <c r="R39" s="79"/>
      <c r="S39" s="79"/>
    </row>
    <row r="40" spans="1:19" x14ac:dyDescent="0.25">
      <c r="A40" s="79">
        <v>17</v>
      </c>
      <c r="B40" s="79" t="s">
        <v>38</v>
      </c>
      <c r="C40" s="79">
        <v>96</v>
      </c>
      <c r="D40" s="106">
        <v>0.128</v>
      </c>
      <c r="E40" s="79"/>
      <c r="F40" s="79">
        <v>10</v>
      </c>
      <c r="G40" s="79" t="s">
        <v>37</v>
      </c>
      <c r="H40" s="79">
        <v>234</v>
      </c>
      <c r="I40" s="106">
        <f t="shared" si="0"/>
        <v>2.5999999999999999E-2</v>
      </c>
      <c r="J40" s="79" t="s">
        <v>129</v>
      </c>
      <c r="K40" s="106">
        <v>2.5999999999999999E-2</v>
      </c>
      <c r="L40" s="79"/>
      <c r="M40" s="79"/>
      <c r="N40" s="79"/>
      <c r="O40" s="79"/>
      <c r="P40" s="79"/>
      <c r="Q40" s="79"/>
      <c r="R40" s="79"/>
      <c r="S40" s="79"/>
    </row>
    <row r="41" spans="1:19" x14ac:dyDescent="0.25">
      <c r="A41" s="79">
        <v>22</v>
      </c>
      <c r="B41" s="79" t="s">
        <v>38</v>
      </c>
      <c r="C41" s="79">
        <v>83</v>
      </c>
      <c r="D41" s="106">
        <v>0.12</v>
      </c>
      <c r="E41" s="79"/>
      <c r="F41" s="79">
        <v>12</v>
      </c>
      <c r="G41" s="79" t="s">
        <v>37</v>
      </c>
      <c r="H41" s="79">
        <v>127</v>
      </c>
      <c r="I41" s="106">
        <f t="shared" si="0"/>
        <v>3.8400000000000004E-2</v>
      </c>
      <c r="J41" s="79" t="s">
        <v>128</v>
      </c>
      <c r="K41" s="106">
        <v>2.1000000000000001E-2</v>
      </c>
      <c r="L41" s="79"/>
      <c r="M41" s="79"/>
      <c r="N41" s="79"/>
      <c r="O41" s="79"/>
      <c r="P41" s="79"/>
      <c r="Q41" s="79"/>
      <c r="R41" s="79"/>
      <c r="S41" s="79"/>
    </row>
    <row r="42" spans="1:19" x14ac:dyDescent="0.25">
      <c r="A42" s="79">
        <v>23</v>
      </c>
      <c r="B42" s="79" t="s">
        <v>38</v>
      </c>
      <c r="C42" s="79">
        <v>58</v>
      </c>
      <c r="D42" s="106">
        <v>0.14899999999999999</v>
      </c>
      <c r="E42" s="79"/>
      <c r="F42" s="79">
        <v>15</v>
      </c>
      <c r="G42" s="79" t="s">
        <v>38</v>
      </c>
      <c r="H42" s="79">
        <v>162</v>
      </c>
      <c r="I42" s="106">
        <f t="shared" si="0"/>
        <v>8.3000000000000004E-2</v>
      </c>
      <c r="J42" s="79" t="s">
        <v>129</v>
      </c>
      <c r="K42" s="106">
        <v>8.3000000000000004E-2</v>
      </c>
      <c r="L42" s="79"/>
      <c r="M42" s="79"/>
      <c r="N42" s="79"/>
      <c r="O42" s="79"/>
      <c r="P42" s="79"/>
      <c r="Q42" s="79"/>
      <c r="R42" s="79"/>
      <c r="S42" s="79"/>
    </row>
    <row r="43" spans="1:19" x14ac:dyDescent="0.25">
      <c r="A43" s="79"/>
      <c r="B43" s="79"/>
      <c r="C43" s="79"/>
      <c r="D43" s="106"/>
      <c r="E43" s="79"/>
      <c r="F43" s="79">
        <v>16</v>
      </c>
      <c r="G43" s="79" t="s">
        <v>38</v>
      </c>
      <c r="H43" s="79">
        <v>100</v>
      </c>
      <c r="I43" s="106">
        <f t="shared" si="0"/>
        <v>2.5999999999999999E-2</v>
      </c>
      <c r="J43" s="79" t="s">
        <v>129</v>
      </c>
      <c r="K43" s="106">
        <v>2.5999999999999999E-2</v>
      </c>
      <c r="L43" s="79"/>
      <c r="M43" s="79"/>
      <c r="N43" s="79"/>
      <c r="O43" s="79"/>
      <c r="P43" s="79"/>
      <c r="Q43" s="79"/>
      <c r="R43" s="79"/>
      <c r="S43" s="79"/>
    </row>
    <row r="44" spans="1:19" x14ac:dyDescent="0.25">
      <c r="A44" s="79"/>
      <c r="B44" s="79"/>
      <c r="C44" s="79"/>
      <c r="D44" s="106"/>
      <c r="E44" s="79"/>
      <c r="F44" s="79">
        <v>18</v>
      </c>
      <c r="G44" s="79" t="s">
        <v>38</v>
      </c>
      <c r="H44" s="79">
        <v>88</v>
      </c>
      <c r="I44" s="106">
        <f t="shared" si="0"/>
        <v>9.0999999999999998E-2</v>
      </c>
      <c r="J44" s="79" t="s">
        <v>129</v>
      </c>
      <c r="K44" s="106">
        <v>9.0999999999999998E-2</v>
      </c>
      <c r="L44" s="79"/>
      <c r="M44" s="79"/>
      <c r="N44" s="79"/>
      <c r="O44" s="79"/>
      <c r="P44" s="79"/>
      <c r="Q44" s="79"/>
      <c r="R44" s="79"/>
      <c r="S44" s="79"/>
    </row>
    <row r="45" spans="1:19" x14ac:dyDescent="0.25">
      <c r="A45" s="79"/>
      <c r="B45" s="79"/>
      <c r="C45" s="79"/>
      <c r="D45" s="106"/>
      <c r="E45" s="79"/>
      <c r="F45" s="79">
        <v>19</v>
      </c>
      <c r="G45" s="79" t="s">
        <v>38</v>
      </c>
      <c r="H45" s="79">
        <v>85</v>
      </c>
      <c r="I45" s="106">
        <f t="shared" si="0"/>
        <v>0.03</v>
      </c>
      <c r="J45" s="79" t="s">
        <v>129</v>
      </c>
      <c r="K45" s="106">
        <v>0.03</v>
      </c>
      <c r="L45" s="79"/>
      <c r="M45" s="79"/>
      <c r="N45" s="79"/>
      <c r="O45" s="79"/>
      <c r="P45" s="79"/>
      <c r="Q45" s="79"/>
      <c r="R45" s="79"/>
      <c r="S45" s="79"/>
    </row>
    <row r="46" spans="1:19" x14ac:dyDescent="0.25">
      <c r="A46" s="79"/>
      <c r="B46" s="79"/>
      <c r="C46" s="79"/>
      <c r="D46" s="106"/>
      <c r="E46" s="79"/>
      <c r="F46" s="79">
        <v>20</v>
      </c>
      <c r="G46" s="79" t="s">
        <v>38</v>
      </c>
      <c r="H46" s="79">
        <v>262</v>
      </c>
      <c r="I46" s="106">
        <f t="shared" si="0"/>
        <v>3.7999999999999999E-2</v>
      </c>
      <c r="J46" s="79" t="s">
        <v>129</v>
      </c>
      <c r="K46" s="106">
        <v>3.7999999999999999E-2</v>
      </c>
      <c r="L46" s="79"/>
      <c r="M46" s="79"/>
      <c r="N46" s="79"/>
      <c r="O46" s="79"/>
      <c r="P46" s="79"/>
      <c r="Q46" s="79"/>
      <c r="R46" s="79"/>
      <c r="S46" s="79"/>
    </row>
    <row r="47" spans="1:19" x14ac:dyDescent="0.25">
      <c r="A47" s="79"/>
      <c r="B47" s="79"/>
      <c r="C47" s="79"/>
      <c r="D47" s="79"/>
      <c r="E47" s="79"/>
      <c r="F47" s="79"/>
      <c r="G47" s="79"/>
      <c r="H47" s="79"/>
      <c r="I47" s="79"/>
      <c r="J47" s="79"/>
      <c r="K47" s="79"/>
      <c r="L47" s="79"/>
      <c r="M47" s="79"/>
      <c r="N47" s="79"/>
      <c r="O47" s="79"/>
      <c r="P47" s="79"/>
      <c r="Q47" s="79"/>
      <c r="R47" s="79"/>
      <c r="S47" s="79"/>
    </row>
    <row r="48" spans="1:19" x14ac:dyDescent="0.25">
      <c r="A48" s="107">
        <f>SUMPRODUCT(C36:C42,D36:D42)/SUM(C36:C42)</f>
        <v>2.1951681195516808E-2</v>
      </c>
      <c r="B48" s="79" t="s">
        <v>40</v>
      </c>
      <c r="C48" s="79"/>
      <c r="D48" s="79"/>
      <c r="E48" s="79"/>
      <c r="F48" s="107">
        <f>SUMPRODUCT(H36:H46,I36:I46)/SUM(H36:H46)</f>
        <v>3.8258627506354136E-2</v>
      </c>
      <c r="G48" s="79" t="s">
        <v>40</v>
      </c>
      <c r="H48" s="79"/>
      <c r="I48" s="79"/>
      <c r="J48" s="79"/>
      <c r="K48" s="79"/>
      <c r="L48" s="79"/>
      <c r="M48" s="79"/>
      <c r="N48" s="79"/>
      <c r="O48" s="79"/>
      <c r="P48" s="79"/>
      <c r="Q48" s="79"/>
      <c r="R48" s="79"/>
      <c r="S48" s="79"/>
    </row>
    <row r="49" spans="1:19" x14ac:dyDescent="0.25">
      <c r="A49" s="107">
        <f>SUMPRODUCT(C36:C39,D36:D39)/SUM(C36:C39)</f>
        <v>1.515246161990471E-2</v>
      </c>
      <c r="B49" s="79" t="s">
        <v>41</v>
      </c>
      <c r="C49" s="79"/>
      <c r="D49" s="79"/>
      <c r="E49" s="79"/>
      <c r="F49" s="107">
        <f>SUMPRODUCT(H36:H41,I36:I41)/SUM(H36:H41)</f>
        <v>3.4779817158931081E-2</v>
      </c>
      <c r="G49" s="79" t="s">
        <v>41</v>
      </c>
      <c r="H49" s="79"/>
      <c r="I49" s="79"/>
      <c r="J49" s="79"/>
      <c r="K49" s="79"/>
      <c r="L49" s="79"/>
      <c r="M49" s="79"/>
      <c r="N49" s="79"/>
      <c r="O49" s="79"/>
      <c r="P49" s="79"/>
      <c r="Q49" s="79"/>
      <c r="R49" s="79"/>
      <c r="S49" s="79"/>
    </row>
    <row r="50" spans="1:19" x14ac:dyDescent="0.25">
      <c r="A50" s="108">
        <f>SUMPRODUCT(C40:C42,D40:D42)/SUM(C40:C42)</f>
        <v>0.13033755274261602</v>
      </c>
      <c r="B50" s="79" t="s">
        <v>42</v>
      </c>
      <c r="C50" s="79"/>
      <c r="D50" s="79"/>
      <c r="E50" s="79"/>
      <c r="F50" s="108">
        <f>SUMPRODUCT(H42:H46,I42:I46)/SUM(H42:H46)</f>
        <v>5.2453371592539461E-2</v>
      </c>
      <c r="G50" s="79" t="s">
        <v>42</v>
      </c>
      <c r="H50" s="79"/>
      <c r="I50" s="79"/>
      <c r="J50" s="79"/>
      <c r="K50" s="79"/>
      <c r="L50" s="79"/>
      <c r="M50" s="79"/>
      <c r="N50" s="79"/>
      <c r="O50" s="79"/>
      <c r="P50" s="79"/>
      <c r="Q50" s="79"/>
      <c r="R50" s="79"/>
      <c r="S50" s="79"/>
    </row>
    <row r="51" spans="1:19" x14ac:dyDescent="0.25">
      <c r="A51" s="79"/>
      <c r="B51" s="106"/>
      <c r="C51" s="79"/>
      <c r="D51" s="79"/>
      <c r="E51" s="79"/>
      <c r="F51" s="79"/>
      <c r="G51" s="79"/>
      <c r="H51" s="79"/>
      <c r="I51" s="79"/>
      <c r="J51" s="79"/>
      <c r="K51" s="79"/>
      <c r="L51" s="79"/>
      <c r="M51" s="79"/>
      <c r="N51" s="79"/>
      <c r="O51" s="79"/>
      <c r="P51" s="79"/>
      <c r="Q51" s="79"/>
      <c r="R51" s="79"/>
      <c r="S51" s="79"/>
    </row>
    <row r="52" spans="1:19" x14ac:dyDescent="0.25">
      <c r="A52" s="49" t="s">
        <v>27</v>
      </c>
      <c r="B52" s="50"/>
      <c r="C52" s="51"/>
      <c r="D52" s="51"/>
      <c r="E52" s="51"/>
      <c r="F52" s="51"/>
      <c r="G52" s="51"/>
      <c r="H52" s="51"/>
      <c r="I52" s="51"/>
      <c r="J52" s="51"/>
      <c r="K52" s="51"/>
      <c r="L52" s="51"/>
      <c r="M52" s="51"/>
      <c r="N52" s="51"/>
      <c r="O52" s="51"/>
      <c r="P52" s="51"/>
      <c r="Q52" s="51"/>
      <c r="R52" s="51"/>
      <c r="S52" s="51"/>
    </row>
    <row r="53" spans="1:19" x14ac:dyDescent="0.25">
      <c r="A53" s="12" t="s">
        <v>10</v>
      </c>
      <c r="B53" s="106"/>
      <c r="C53" s="79"/>
      <c r="D53" s="79"/>
      <c r="E53" s="79"/>
      <c r="F53" s="79"/>
      <c r="G53" s="79"/>
      <c r="H53" s="79"/>
      <c r="I53" s="79"/>
      <c r="J53" s="79"/>
      <c r="K53" s="79"/>
      <c r="L53" s="79"/>
      <c r="M53" s="79"/>
      <c r="N53" s="79"/>
      <c r="O53" s="79"/>
      <c r="P53" s="79"/>
      <c r="Q53" s="79"/>
      <c r="R53" s="79"/>
      <c r="S53" s="79"/>
    </row>
    <row r="54" spans="1:19" x14ac:dyDescent="0.25">
      <c r="A54" s="79" t="s">
        <v>29</v>
      </c>
      <c r="B54" s="109"/>
      <c r="C54" s="79"/>
      <c r="D54" s="79"/>
      <c r="E54" s="79"/>
      <c r="F54" s="79"/>
      <c r="G54" s="79"/>
      <c r="H54" s="79"/>
      <c r="I54" s="79"/>
      <c r="J54" s="79"/>
      <c r="K54" s="79"/>
      <c r="L54" s="79"/>
      <c r="M54" s="79"/>
      <c r="N54" s="79"/>
      <c r="O54" s="79"/>
      <c r="P54" s="79"/>
      <c r="Q54" s="79"/>
      <c r="R54" s="79"/>
      <c r="S54" s="79"/>
    </row>
    <row r="55" spans="1:19" ht="80" x14ac:dyDescent="0.25">
      <c r="A55" s="98" t="s">
        <v>83</v>
      </c>
      <c r="B55" s="99" t="s">
        <v>84</v>
      </c>
      <c r="C55" s="99" t="s">
        <v>85</v>
      </c>
      <c r="D55" s="99" t="s">
        <v>86</v>
      </c>
      <c r="E55" s="79"/>
      <c r="F55" s="79"/>
      <c r="G55" s="79"/>
      <c r="H55" s="79"/>
      <c r="I55" s="79"/>
      <c r="J55" s="79"/>
      <c r="K55" s="79"/>
      <c r="L55" s="79"/>
      <c r="M55" s="79"/>
      <c r="N55" s="79"/>
      <c r="O55" s="79"/>
      <c r="P55" s="79"/>
      <c r="Q55" s="79"/>
      <c r="R55" s="79"/>
      <c r="S55" s="79"/>
    </row>
    <row r="56" spans="1:19" x14ac:dyDescent="0.25">
      <c r="A56" s="97" t="s">
        <v>87</v>
      </c>
      <c r="B56" s="97">
        <v>10.199999999999999</v>
      </c>
      <c r="C56" s="110">
        <v>520.490394864</v>
      </c>
      <c r="D56" s="111">
        <v>1.959690342156108E-2</v>
      </c>
      <c r="E56" s="79"/>
      <c r="F56" s="79"/>
      <c r="G56" s="79"/>
      <c r="H56" s="79"/>
      <c r="I56" s="79"/>
      <c r="J56" s="79"/>
      <c r="K56" s="79"/>
      <c r="L56" s="79"/>
      <c r="M56" s="79"/>
      <c r="N56" s="79"/>
      <c r="O56" s="79"/>
      <c r="P56" s="79"/>
      <c r="Q56" s="79"/>
      <c r="R56" s="79"/>
      <c r="S56" s="79"/>
    </row>
    <row r="57" spans="1:19" x14ac:dyDescent="0.25">
      <c r="A57" s="97" t="s">
        <v>88</v>
      </c>
      <c r="B57" s="97">
        <v>0.72</v>
      </c>
      <c r="C57" s="110">
        <v>520.490394864</v>
      </c>
      <c r="D57" s="111">
        <v>1.3833108297572527E-3</v>
      </c>
      <c r="E57" s="79"/>
      <c r="F57" s="79"/>
      <c r="G57" s="79"/>
      <c r="H57" s="79"/>
      <c r="I57" s="79"/>
      <c r="J57" s="79"/>
      <c r="K57" s="79"/>
      <c r="L57" s="79"/>
      <c r="M57" s="79"/>
      <c r="N57" s="79"/>
      <c r="O57" s="79"/>
      <c r="P57" s="79"/>
      <c r="Q57" s="79"/>
      <c r="R57" s="79"/>
      <c r="S57" s="79"/>
    </row>
    <row r="58" spans="1:19" x14ac:dyDescent="0.25">
      <c r="A58" s="27" t="s">
        <v>89</v>
      </c>
      <c r="B58" s="79"/>
      <c r="C58" s="79"/>
      <c r="D58" s="79"/>
      <c r="E58" s="79"/>
      <c r="F58" s="79"/>
      <c r="G58" s="79"/>
      <c r="H58" s="79"/>
      <c r="I58" s="79"/>
      <c r="J58" s="79"/>
      <c r="K58" s="79"/>
      <c r="L58" s="79"/>
      <c r="M58" s="79"/>
      <c r="N58" s="79"/>
      <c r="O58" s="79"/>
      <c r="P58" s="79"/>
      <c r="Q58" s="79"/>
      <c r="R58" s="79"/>
      <c r="S58" s="79"/>
    </row>
    <row r="59" spans="1:19" x14ac:dyDescent="0.25">
      <c r="A59" s="79"/>
      <c r="B59" s="79"/>
      <c r="C59" s="79"/>
      <c r="D59" s="79"/>
      <c r="E59" s="79"/>
      <c r="F59" s="79"/>
      <c r="G59" s="79"/>
      <c r="H59" s="79"/>
      <c r="I59" s="79"/>
      <c r="J59" s="79"/>
      <c r="K59" s="79"/>
      <c r="L59" s="79"/>
      <c r="M59" s="79"/>
      <c r="N59" s="79"/>
      <c r="O59" s="79"/>
      <c r="P59" s="79"/>
      <c r="Q59" s="79"/>
      <c r="R59" s="79"/>
      <c r="S59" s="79"/>
    </row>
    <row r="61" spans="1:19" x14ac:dyDescent="0.25">
      <c r="A61" s="1"/>
    </row>
    <row r="64" spans="1:19" x14ac:dyDescent="0.25">
      <c r="B64" s="9"/>
    </row>
    <row r="65" spans="1:5" x14ac:dyDescent="0.25">
      <c r="B65" s="9"/>
    </row>
    <row r="66" spans="1:5" x14ac:dyDescent="0.25">
      <c r="B66" s="9"/>
    </row>
    <row r="76" spans="1:5" x14ac:dyDescent="0.25">
      <c r="A76" s="21"/>
      <c r="B76" s="21"/>
      <c r="C76" s="21"/>
      <c r="D76" s="21"/>
      <c r="E76" s="21"/>
    </row>
    <row r="77" spans="1:5" x14ac:dyDescent="0.25">
      <c r="A77" s="21"/>
      <c r="B77" s="21"/>
      <c r="C77" s="21"/>
      <c r="D77" s="21"/>
      <c r="E77" s="21"/>
    </row>
    <row r="78" spans="1:5" x14ac:dyDescent="0.25">
      <c r="A78" s="21"/>
      <c r="B78" s="21"/>
      <c r="C78" s="21"/>
      <c r="D78" s="21"/>
      <c r="E78" s="21"/>
    </row>
    <row r="79" spans="1:5" x14ac:dyDescent="0.25">
      <c r="A79" s="21"/>
      <c r="B79" s="21"/>
      <c r="C79" s="21"/>
      <c r="D79" s="21"/>
      <c r="E79" s="21"/>
    </row>
  </sheetData>
  <mergeCells count="1">
    <mergeCell ref="A1:S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BAA38-3BEE-CC49-B0D2-042D9E8A4366}">
  <sheetPr>
    <tabColor theme="3"/>
  </sheetPr>
  <dimension ref="A1:R38"/>
  <sheetViews>
    <sheetView workbookViewId="0">
      <selection sqref="A1:R1"/>
    </sheetView>
  </sheetViews>
  <sheetFormatPr baseColWidth="10" defaultRowHeight="19" x14ac:dyDescent="0.25"/>
  <cols>
    <col min="1" max="1" width="42.85546875" customWidth="1"/>
  </cols>
  <sheetData>
    <row r="1" spans="1:18" ht="31" customHeight="1" x14ac:dyDescent="0.35">
      <c r="A1" s="121" t="s">
        <v>90</v>
      </c>
      <c r="B1" s="121"/>
      <c r="C1" s="121"/>
      <c r="D1" s="121"/>
      <c r="E1" s="121"/>
      <c r="F1" s="121"/>
      <c r="G1" s="121"/>
      <c r="H1" s="121"/>
      <c r="I1" s="121"/>
      <c r="J1" s="121"/>
      <c r="K1" s="121"/>
      <c r="L1" s="121"/>
      <c r="M1" s="121"/>
      <c r="N1" s="121"/>
      <c r="O1" s="121"/>
      <c r="P1" s="121"/>
      <c r="Q1" s="121"/>
      <c r="R1" s="121"/>
    </row>
    <row r="2" spans="1:18" s="13" customFormat="1" ht="20" customHeight="1" x14ac:dyDescent="0.35">
      <c r="A2" s="52"/>
      <c r="B2" s="52"/>
      <c r="C2" s="52"/>
      <c r="D2" s="52"/>
      <c r="E2" s="52"/>
      <c r="F2" s="52"/>
      <c r="G2" s="52"/>
      <c r="H2" s="52"/>
      <c r="I2" s="52"/>
      <c r="J2" s="52"/>
      <c r="K2" s="52"/>
      <c r="L2" s="52"/>
      <c r="M2" s="52"/>
      <c r="N2" s="52"/>
      <c r="O2" s="52"/>
      <c r="P2" s="52"/>
      <c r="Q2" s="52"/>
      <c r="R2" s="52"/>
    </row>
    <row r="3" spans="1:18" ht="20" thickBot="1" x14ac:dyDescent="0.3">
      <c r="A3" s="12" t="s">
        <v>50</v>
      </c>
      <c r="B3" s="13"/>
      <c r="C3" s="13"/>
      <c r="D3" s="13"/>
      <c r="E3" s="13"/>
      <c r="F3" s="13"/>
      <c r="G3" s="13"/>
      <c r="H3" s="13"/>
      <c r="I3" s="13"/>
      <c r="J3" s="13"/>
      <c r="K3" s="13"/>
      <c r="L3" s="13"/>
      <c r="M3" s="13"/>
      <c r="N3" s="13"/>
      <c r="O3" s="13"/>
      <c r="P3" s="13"/>
      <c r="Q3" s="13"/>
      <c r="R3" s="13"/>
    </row>
    <row r="4" spans="1:18" ht="21" thickBot="1" x14ac:dyDescent="0.3">
      <c r="A4" s="53" t="s">
        <v>118</v>
      </c>
      <c r="B4" s="15">
        <v>0</v>
      </c>
      <c r="C4" s="16">
        <f t="shared" ref="C4:H4" si="0">B4+0.025</f>
        <v>2.5000000000000001E-2</v>
      </c>
      <c r="D4" s="16">
        <f t="shared" si="0"/>
        <v>0.05</v>
      </c>
      <c r="E4" s="16">
        <f t="shared" si="0"/>
        <v>7.5000000000000011E-2</v>
      </c>
      <c r="F4" s="16">
        <f t="shared" si="0"/>
        <v>0.1</v>
      </c>
      <c r="G4" s="16">
        <f t="shared" si="0"/>
        <v>0.125</v>
      </c>
      <c r="H4" s="17">
        <f t="shared" si="0"/>
        <v>0.15</v>
      </c>
      <c r="I4" s="18">
        <f>B4</f>
        <v>0</v>
      </c>
      <c r="J4" s="19">
        <f t="shared" ref="J4:O4" si="1">C4</f>
        <v>2.5000000000000001E-2</v>
      </c>
      <c r="K4" s="19">
        <f t="shared" si="1"/>
        <v>0.05</v>
      </c>
      <c r="L4" s="19">
        <f t="shared" si="1"/>
        <v>7.5000000000000011E-2</v>
      </c>
      <c r="M4" s="19">
        <f t="shared" si="1"/>
        <v>0.1</v>
      </c>
      <c r="N4" s="19">
        <f t="shared" si="1"/>
        <v>0.125</v>
      </c>
      <c r="O4" s="20">
        <f t="shared" si="1"/>
        <v>0.15</v>
      </c>
      <c r="P4" s="13"/>
      <c r="Q4" s="13"/>
      <c r="R4" s="13"/>
    </row>
    <row r="5" spans="1:18" ht="20" thickBot="1" x14ac:dyDescent="0.3">
      <c r="A5" s="13"/>
      <c r="B5" s="122" t="s">
        <v>119</v>
      </c>
      <c r="C5" s="123"/>
      <c r="D5" s="123"/>
      <c r="E5" s="123"/>
      <c r="F5" s="123"/>
      <c r="G5" s="123"/>
      <c r="H5" s="124"/>
      <c r="I5" s="122" t="s">
        <v>120</v>
      </c>
      <c r="J5" s="123"/>
      <c r="K5" s="123"/>
      <c r="L5" s="123"/>
      <c r="M5" s="123"/>
      <c r="N5" s="123"/>
      <c r="O5" s="124"/>
      <c r="P5" s="13"/>
      <c r="Q5" s="13"/>
      <c r="R5" s="13"/>
    </row>
    <row r="6" spans="1:18" x14ac:dyDescent="0.25">
      <c r="A6" s="13" t="s">
        <v>49</v>
      </c>
      <c r="B6" s="93">
        <f>($B$17/(1-B$4))*$B$24*B$4</f>
        <v>0</v>
      </c>
      <c r="C6" s="94">
        <f t="shared" ref="C6:H6" si="2">($B$17/(1-C$4))*$B$24*C$4</f>
        <v>17.435897435897438</v>
      </c>
      <c r="D6" s="94">
        <f t="shared" si="2"/>
        <v>35.789473684210535</v>
      </c>
      <c r="E6" s="94">
        <f t="shared" si="2"/>
        <v>55.135135135135144</v>
      </c>
      <c r="F6" s="94">
        <f t="shared" si="2"/>
        <v>75.555555555555557</v>
      </c>
      <c r="G6" s="94">
        <f t="shared" si="2"/>
        <v>97.142857142857139</v>
      </c>
      <c r="H6" s="95">
        <f t="shared" si="2"/>
        <v>120</v>
      </c>
      <c r="I6" s="93">
        <f t="shared" ref="I6:O6" si="3">($B$17/(1-I$4))*$B$25*I$4</f>
        <v>0</v>
      </c>
      <c r="J6" s="94">
        <f t="shared" si="3"/>
        <v>44.102564102564109</v>
      </c>
      <c r="K6" s="94">
        <f t="shared" si="3"/>
        <v>90.526315789473699</v>
      </c>
      <c r="L6" s="94">
        <f t="shared" si="3"/>
        <v>139.45945945945948</v>
      </c>
      <c r="M6" s="94">
        <f t="shared" si="3"/>
        <v>191.11111111111111</v>
      </c>
      <c r="N6" s="94">
        <f t="shared" si="3"/>
        <v>245.71428571428572</v>
      </c>
      <c r="O6" s="95">
        <f t="shared" si="3"/>
        <v>303.52941176470591</v>
      </c>
      <c r="P6" s="13"/>
      <c r="Q6" s="13"/>
      <c r="R6" s="13"/>
    </row>
    <row r="7" spans="1:18" x14ac:dyDescent="0.25">
      <c r="A7" s="13" t="s">
        <v>44</v>
      </c>
      <c r="B7" s="58">
        <f t="shared" ref="B7:H7" si="4">($B$17/(1-B$4))*$B$24*(B$4-$B$26)</f>
        <v>-6.800000000000006</v>
      </c>
      <c r="C7" s="59">
        <f t="shared" si="4"/>
        <v>10.461538461538456</v>
      </c>
      <c r="D7" s="59">
        <f t="shared" si="4"/>
        <v>28.631578947368421</v>
      </c>
      <c r="E7" s="59">
        <f t="shared" si="4"/>
        <v>47.783783783783782</v>
      </c>
      <c r="F7" s="59">
        <f t="shared" si="4"/>
        <v>68</v>
      </c>
      <c r="G7" s="59">
        <f t="shared" si="4"/>
        <v>89.371428571428567</v>
      </c>
      <c r="H7" s="60">
        <f t="shared" si="4"/>
        <v>111.99999999999999</v>
      </c>
      <c r="I7" s="58">
        <f t="shared" ref="I7:O7" si="5">($B$17/(1-I$4))*$B$25*(I$4-$B$26)</f>
        <v>-17.200000000000017</v>
      </c>
      <c r="J7" s="59">
        <f t="shared" si="5"/>
        <v>26.461538461538449</v>
      </c>
      <c r="K7" s="59">
        <f t="shared" si="5"/>
        <v>72.421052631578945</v>
      </c>
      <c r="L7" s="59">
        <f t="shared" si="5"/>
        <v>120.86486486486486</v>
      </c>
      <c r="M7" s="59">
        <f t="shared" si="5"/>
        <v>172</v>
      </c>
      <c r="N7" s="59">
        <f t="shared" si="5"/>
        <v>226.05714285714285</v>
      </c>
      <c r="O7" s="60">
        <f t="shared" si="5"/>
        <v>283.29411764705884</v>
      </c>
      <c r="P7" s="13"/>
      <c r="Q7" s="13"/>
      <c r="R7" s="13"/>
    </row>
    <row r="8" spans="1:18" x14ac:dyDescent="0.25">
      <c r="A8" s="13" t="s">
        <v>45</v>
      </c>
      <c r="B8" s="58">
        <f t="shared" ref="B8:H8" si="6">($B$17/(1-B$4))*$B$24*(B$4-$B$27)</f>
        <v>-95.2</v>
      </c>
      <c r="C8" s="59">
        <f t="shared" si="6"/>
        <v>-80.205128205128219</v>
      </c>
      <c r="D8" s="59">
        <f t="shared" si="6"/>
        <v>-64.421052631578959</v>
      </c>
      <c r="E8" s="59">
        <f t="shared" si="6"/>
        <v>-47.783783783783782</v>
      </c>
      <c r="F8" s="59">
        <f t="shared" si="6"/>
        <v>-30.222222222222229</v>
      </c>
      <c r="G8" s="59">
        <f t="shared" si="6"/>
        <v>-11.657142857142867</v>
      </c>
      <c r="H8" s="60">
        <f t="shared" si="6"/>
        <v>7.9999999999999849</v>
      </c>
      <c r="I8" s="58">
        <f t="shared" ref="I8:O8" si="7">($B$17/(1-I$4))*$B$25*(I$4-$B$27)</f>
        <v>-240.8</v>
      </c>
      <c r="J8" s="59">
        <f t="shared" si="7"/>
        <v>-202.87179487179492</v>
      </c>
      <c r="K8" s="59">
        <f t="shared" si="7"/>
        <v>-162.94736842105266</v>
      </c>
      <c r="L8" s="59">
        <f t="shared" si="7"/>
        <v>-120.86486486486486</v>
      </c>
      <c r="M8" s="59">
        <f t="shared" si="7"/>
        <v>-76.444444444444457</v>
      </c>
      <c r="N8" s="59">
        <f t="shared" si="7"/>
        <v>-29.485714285714312</v>
      </c>
      <c r="O8" s="60">
        <f t="shared" si="7"/>
        <v>20.235294117647022</v>
      </c>
      <c r="P8" s="13"/>
      <c r="Q8" s="13"/>
      <c r="R8" s="13"/>
    </row>
    <row r="9" spans="1:18" ht="20" thickBot="1" x14ac:dyDescent="0.3">
      <c r="A9" s="13" t="s">
        <v>43</v>
      </c>
      <c r="B9" s="61">
        <f t="shared" ref="B9:H9" si="8">($B$17/(1-B$4))*$B$24*(B$4-1)</f>
        <v>-680</v>
      </c>
      <c r="C9" s="62">
        <f t="shared" si="8"/>
        <v>-680</v>
      </c>
      <c r="D9" s="62">
        <f t="shared" si="8"/>
        <v>-680.00000000000011</v>
      </c>
      <c r="E9" s="62">
        <f t="shared" si="8"/>
        <v>-680</v>
      </c>
      <c r="F9" s="62">
        <f t="shared" si="8"/>
        <v>-680</v>
      </c>
      <c r="G9" s="62">
        <f t="shared" si="8"/>
        <v>-680</v>
      </c>
      <c r="H9" s="63">
        <f t="shared" si="8"/>
        <v>-680</v>
      </c>
      <c r="I9" s="61">
        <f t="shared" ref="I9:O9" si="9">($B$17/(1-I$4))*$B$25*(I$4-1)</f>
        <v>-1720</v>
      </c>
      <c r="J9" s="62">
        <f t="shared" si="9"/>
        <v>-1720</v>
      </c>
      <c r="K9" s="62">
        <f t="shared" si="9"/>
        <v>-1720</v>
      </c>
      <c r="L9" s="62">
        <f t="shared" si="9"/>
        <v>-1720</v>
      </c>
      <c r="M9" s="62">
        <f t="shared" si="9"/>
        <v>-1720</v>
      </c>
      <c r="N9" s="62">
        <f t="shared" si="9"/>
        <v>-1720</v>
      </c>
      <c r="O9" s="63">
        <f t="shared" si="9"/>
        <v>-1720.0000000000002</v>
      </c>
      <c r="P9" s="13"/>
      <c r="Q9" s="13"/>
      <c r="R9" s="13"/>
    </row>
    <row r="10" spans="1:18" x14ac:dyDescent="0.25">
      <c r="A10" s="13"/>
      <c r="B10" s="13"/>
      <c r="C10" s="13"/>
      <c r="D10" s="13"/>
      <c r="E10" s="13"/>
      <c r="F10" s="13"/>
      <c r="G10" s="13"/>
      <c r="H10" s="13"/>
      <c r="I10" s="13"/>
      <c r="J10" s="13"/>
      <c r="K10" s="13"/>
      <c r="L10" s="13"/>
      <c r="M10" s="13"/>
      <c r="N10" s="13"/>
      <c r="O10" s="13"/>
      <c r="P10" s="13"/>
      <c r="Q10" s="13"/>
      <c r="R10" s="13"/>
    </row>
    <row r="11" spans="1:18" x14ac:dyDescent="0.25">
      <c r="A11" s="12" t="s">
        <v>116</v>
      </c>
      <c r="B11" s="13"/>
      <c r="C11" s="13"/>
      <c r="D11" s="13"/>
      <c r="E11" s="13"/>
      <c r="F11" s="13"/>
      <c r="G11" s="13"/>
      <c r="H11" s="13"/>
      <c r="I11" s="13"/>
      <c r="J11" s="13"/>
      <c r="K11" s="13"/>
      <c r="L11" s="13"/>
      <c r="M11" s="13"/>
      <c r="N11" s="13"/>
      <c r="O11" s="13"/>
      <c r="P11" s="13"/>
      <c r="Q11" s="13"/>
      <c r="R11" s="13"/>
    </row>
    <row r="12" spans="1:18" ht="20" x14ac:dyDescent="0.25">
      <c r="A12" s="53" t="s">
        <v>117</v>
      </c>
      <c r="B12" s="24">
        <f>'Methane leakage assumptions'!$D$56+'Methane leakage assumptions'!$D$57+'Methane leakage assumptions'!$A$8</f>
        <v>2.8980214251318331E-2</v>
      </c>
      <c r="C12" s="13"/>
      <c r="D12" s="13"/>
      <c r="E12" s="13"/>
      <c r="F12" s="13"/>
      <c r="G12" s="13"/>
      <c r="H12" s="13"/>
      <c r="I12" s="13"/>
      <c r="J12" s="13"/>
      <c r="K12" s="13"/>
      <c r="L12" s="13"/>
      <c r="M12" s="13"/>
      <c r="N12" s="13"/>
      <c r="O12" s="13"/>
      <c r="P12" s="13"/>
      <c r="Q12" s="13"/>
      <c r="R12" s="13"/>
    </row>
    <row r="13" spans="1:18" x14ac:dyDescent="0.25">
      <c r="A13" s="13" t="s">
        <v>60</v>
      </c>
      <c r="B13" s="22">
        <f>($B$17*$E$34)+(($B$17/(1-$B$12))*B$12*$B$22)</f>
        <v>76.363807184115785</v>
      </c>
      <c r="C13" s="13"/>
      <c r="D13" s="13"/>
      <c r="E13" s="13"/>
      <c r="F13" s="13"/>
      <c r="G13" s="13"/>
      <c r="H13" s="13"/>
      <c r="I13" s="13"/>
      <c r="J13" s="13"/>
      <c r="K13" s="13"/>
      <c r="L13" s="13"/>
      <c r="M13" s="13"/>
      <c r="N13" s="13"/>
      <c r="O13" s="13"/>
      <c r="P13" s="13"/>
      <c r="Q13" s="13"/>
      <c r="R13" s="13"/>
    </row>
    <row r="14" spans="1:18" x14ac:dyDescent="0.25">
      <c r="A14" s="13" t="s">
        <v>61</v>
      </c>
      <c r="B14" s="22">
        <f>($B$17*$F$34)+(($B$17/(1-$B$12))*B$12*$B$23)</f>
        <v>106.80584242395727</v>
      </c>
      <c r="C14" s="13"/>
      <c r="D14" s="13"/>
      <c r="E14" s="13"/>
      <c r="F14" s="13"/>
      <c r="G14" s="13"/>
      <c r="H14" s="13"/>
      <c r="I14" s="13"/>
      <c r="J14" s="13"/>
      <c r="K14" s="13"/>
      <c r="L14" s="13"/>
      <c r="M14" s="13"/>
      <c r="N14" s="13"/>
      <c r="O14" s="13"/>
      <c r="P14" s="13"/>
      <c r="Q14" s="13"/>
      <c r="R14" s="13"/>
    </row>
    <row r="15" spans="1:18" x14ac:dyDescent="0.25">
      <c r="A15" s="13"/>
      <c r="B15" s="13"/>
      <c r="C15" s="13"/>
      <c r="D15" s="13"/>
      <c r="E15" s="13"/>
      <c r="F15" s="13"/>
      <c r="G15" s="13"/>
      <c r="H15" s="13"/>
      <c r="I15" s="13"/>
      <c r="J15" s="13"/>
      <c r="K15" s="13"/>
      <c r="L15" s="13"/>
      <c r="M15" s="13"/>
      <c r="N15" s="13"/>
      <c r="O15" s="13"/>
      <c r="P15" s="13"/>
      <c r="Q15" s="13"/>
      <c r="R15" s="13"/>
    </row>
    <row r="16" spans="1:18" x14ac:dyDescent="0.25">
      <c r="A16" s="12" t="s">
        <v>59</v>
      </c>
      <c r="B16" s="13"/>
      <c r="C16" s="13"/>
      <c r="D16" s="13"/>
      <c r="E16" s="13"/>
      <c r="F16" s="13"/>
      <c r="G16" s="13"/>
      <c r="H16" s="13"/>
      <c r="I16" s="13"/>
      <c r="J16" s="13"/>
      <c r="K16" s="13"/>
      <c r="L16" s="13"/>
      <c r="M16" s="13"/>
      <c r="N16" s="13"/>
      <c r="O16" s="13"/>
      <c r="P16" s="13"/>
      <c r="Q16" s="13"/>
      <c r="R16" s="13"/>
    </row>
    <row r="17" spans="1:18" x14ac:dyDescent="0.25">
      <c r="A17" s="54" t="s">
        <v>46</v>
      </c>
      <c r="B17" s="4">
        <f>1/(50/1000)</f>
        <v>20</v>
      </c>
      <c r="C17" s="13"/>
      <c r="D17" s="13"/>
      <c r="E17" s="13"/>
      <c r="F17" s="13"/>
      <c r="G17" s="13"/>
      <c r="H17" s="13"/>
      <c r="I17" s="13"/>
      <c r="J17" s="13"/>
      <c r="K17" s="13"/>
      <c r="L17" s="13"/>
      <c r="M17" s="13"/>
      <c r="N17" s="13"/>
      <c r="O17" s="13"/>
      <c r="P17" s="13"/>
      <c r="Q17" s="13"/>
      <c r="R17" s="13"/>
    </row>
    <row r="18" spans="1:18" x14ac:dyDescent="0.25">
      <c r="A18" s="13" t="s">
        <v>57</v>
      </c>
      <c r="B18" s="3">
        <v>16.04</v>
      </c>
      <c r="C18" s="13" t="s">
        <v>20</v>
      </c>
      <c r="D18" s="13"/>
      <c r="E18" s="13"/>
      <c r="F18" s="13"/>
      <c r="G18" s="13"/>
      <c r="H18" s="13"/>
      <c r="I18" s="13"/>
      <c r="J18" s="13"/>
      <c r="K18" s="13"/>
      <c r="L18" s="13"/>
      <c r="M18" s="13"/>
      <c r="N18" s="13"/>
      <c r="O18" s="13"/>
      <c r="P18" s="13"/>
      <c r="Q18" s="13"/>
      <c r="R18" s="13"/>
    </row>
    <row r="19" spans="1:18" x14ac:dyDescent="0.25">
      <c r="A19" s="13" t="s">
        <v>58</v>
      </c>
      <c r="B19" s="3">
        <v>44.01</v>
      </c>
      <c r="C19" s="13" t="s">
        <v>20</v>
      </c>
      <c r="D19" s="13"/>
      <c r="E19" s="13"/>
      <c r="F19" s="13"/>
      <c r="G19" s="13"/>
      <c r="H19" s="13"/>
      <c r="I19" s="13"/>
      <c r="J19" s="13"/>
      <c r="K19" s="13"/>
      <c r="L19" s="13"/>
      <c r="M19" s="13"/>
      <c r="N19" s="13"/>
      <c r="O19" s="13"/>
      <c r="P19" s="13"/>
      <c r="Q19" s="13"/>
      <c r="R19" s="13"/>
    </row>
    <row r="20" spans="1:18" x14ac:dyDescent="0.25">
      <c r="A20" s="54" t="s">
        <v>55</v>
      </c>
      <c r="B20" s="3">
        <v>1</v>
      </c>
      <c r="C20" s="13"/>
      <c r="D20" s="13"/>
      <c r="E20" s="13"/>
      <c r="F20" s="13"/>
      <c r="G20" s="13"/>
      <c r="H20" s="13"/>
      <c r="I20" s="13"/>
      <c r="J20" s="13"/>
      <c r="K20" s="13"/>
      <c r="L20" s="13"/>
      <c r="M20" s="13"/>
      <c r="N20" s="13"/>
      <c r="O20" s="13"/>
      <c r="P20" s="13"/>
      <c r="Q20" s="13"/>
      <c r="R20" s="13"/>
    </row>
    <row r="21" spans="1:18" x14ac:dyDescent="0.25">
      <c r="A21" s="54" t="s">
        <v>56</v>
      </c>
      <c r="B21" s="3">
        <v>1</v>
      </c>
      <c r="C21" s="13"/>
      <c r="D21" s="13"/>
      <c r="E21" s="13"/>
      <c r="F21" s="13"/>
      <c r="G21" s="13"/>
      <c r="H21" s="13"/>
      <c r="I21" s="13"/>
      <c r="J21" s="13"/>
      <c r="K21" s="13"/>
      <c r="L21" s="13"/>
      <c r="M21" s="13"/>
      <c r="N21" s="13"/>
      <c r="O21" s="13"/>
      <c r="P21" s="13"/>
      <c r="Q21" s="13"/>
      <c r="R21" s="13"/>
    </row>
    <row r="22" spans="1:18" x14ac:dyDescent="0.25">
      <c r="A22" s="13" t="s">
        <v>53</v>
      </c>
      <c r="B22" s="3">
        <v>36</v>
      </c>
      <c r="C22" s="14" t="s">
        <v>94</v>
      </c>
      <c r="D22" s="13"/>
      <c r="E22" s="13"/>
      <c r="F22" s="13"/>
      <c r="G22" s="13"/>
      <c r="H22" s="13"/>
      <c r="I22" s="13"/>
      <c r="J22" s="13"/>
      <c r="K22" s="13"/>
      <c r="L22" s="13"/>
      <c r="M22" s="13"/>
      <c r="N22" s="13"/>
      <c r="O22" s="13"/>
      <c r="P22" s="13"/>
      <c r="Q22" s="13"/>
      <c r="R22" s="13"/>
    </row>
    <row r="23" spans="1:18" x14ac:dyDescent="0.25">
      <c r="A23" s="13" t="s">
        <v>54</v>
      </c>
      <c r="B23" s="3">
        <v>87</v>
      </c>
      <c r="C23" s="14" t="s">
        <v>94</v>
      </c>
      <c r="D23" s="13"/>
      <c r="E23" s="13"/>
      <c r="F23" s="13"/>
      <c r="G23" s="13"/>
      <c r="H23" s="13"/>
      <c r="I23" s="13"/>
      <c r="J23" s="13"/>
      <c r="K23" s="13"/>
      <c r="L23" s="13"/>
      <c r="M23" s="13"/>
      <c r="N23" s="13"/>
      <c r="O23" s="13"/>
      <c r="P23" s="13"/>
      <c r="Q23" s="13"/>
      <c r="R23" s="13"/>
    </row>
    <row r="24" spans="1:18" x14ac:dyDescent="0.25">
      <c r="A24" s="13" t="s">
        <v>51</v>
      </c>
      <c r="B24" s="4">
        <v>34</v>
      </c>
      <c r="C24" s="14" t="s">
        <v>93</v>
      </c>
      <c r="F24" s="13"/>
      <c r="G24" s="13"/>
      <c r="H24" s="13"/>
      <c r="I24" s="13"/>
      <c r="J24" s="13"/>
      <c r="K24" s="13"/>
      <c r="L24" s="13"/>
      <c r="M24" s="13"/>
      <c r="N24" s="13"/>
      <c r="O24" s="13"/>
      <c r="P24" s="13"/>
      <c r="Q24" s="13"/>
      <c r="R24" s="13"/>
    </row>
    <row r="25" spans="1:18" x14ac:dyDescent="0.25">
      <c r="A25" s="13" t="s">
        <v>52</v>
      </c>
      <c r="B25" s="4">
        <v>86</v>
      </c>
      <c r="C25" s="14" t="s">
        <v>93</v>
      </c>
      <c r="F25" s="13"/>
      <c r="G25" s="13"/>
      <c r="H25" s="13"/>
      <c r="I25" s="13"/>
      <c r="J25" s="13"/>
      <c r="K25" s="13"/>
      <c r="L25" s="13"/>
      <c r="M25" s="13"/>
      <c r="N25" s="13"/>
      <c r="O25" s="13"/>
      <c r="P25" s="13"/>
      <c r="Q25" s="13"/>
      <c r="R25" s="13"/>
    </row>
    <row r="26" spans="1:18" x14ac:dyDescent="0.25">
      <c r="A26" s="13" t="s">
        <v>48</v>
      </c>
      <c r="B26" s="3">
        <f>1-0.99</f>
        <v>1.0000000000000009E-2</v>
      </c>
      <c r="C26" s="13"/>
      <c r="D26" s="13"/>
      <c r="E26" s="13"/>
      <c r="F26" s="13"/>
      <c r="G26" s="13"/>
      <c r="H26" s="13"/>
      <c r="I26" s="13"/>
      <c r="J26" s="13"/>
      <c r="K26" s="13"/>
      <c r="L26" s="13"/>
      <c r="M26" s="13"/>
      <c r="N26" s="13"/>
      <c r="O26" s="13"/>
      <c r="P26" s="13"/>
      <c r="Q26" s="13"/>
      <c r="R26" s="13"/>
    </row>
    <row r="27" spans="1:18" x14ac:dyDescent="0.25">
      <c r="A27" s="13" t="s">
        <v>47</v>
      </c>
      <c r="B27" s="3">
        <f>1-0.86</f>
        <v>0.14000000000000001</v>
      </c>
      <c r="C27" s="13"/>
      <c r="D27" s="13"/>
      <c r="E27" s="13"/>
      <c r="F27" s="13"/>
      <c r="G27" s="13"/>
      <c r="H27" s="13"/>
      <c r="I27" s="13"/>
      <c r="J27" s="13"/>
      <c r="K27" s="13"/>
      <c r="L27" s="13"/>
      <c r="M27" s="13"/>
      <c r="N27" s="13"/>
      <c r="O27" s="13"/>
      <c r="P27" s="13"/>
      <c r="Q27" s="13"/>
      <c r="R27" s="13"/>
    </row>
    <row r="28" spans="1:18" x14ac:dyDescent="0.25">
      <c r="A28" s="13"/>
      <c r="B28" s="13"/>
      <c r="C28" s="13"/>
      <c r="D28" s="13"/>
      <c r="E28" s="13"/>
      <c r="F28" s="13"/>
      <c r="G28" s="13"/>
      <c r="H28" s="13"/>
      <c r="I28" s="13"/>
      <c r="J28" s="13"/>
      <c r="K28" s="13"/>
      <c r="L28" s="13"/>
      <c r="M28" s="13"/>
      <c r="N28" s="13"/>
      <c r="O28" s="13"/>
      <c r="P28" s="13"/>
      <c r="Q28" s="13"/>
      <c r="R28" s="13"/>
    </row>
    <row r="29" spans="1:18" x14ac:dyDescent="0.25">
      <c r="A29" s="13"/>
      <c r="B29" s="13"/>
      <c r="C29" s="13"/>
      <c r="D29" s="13"/>
      <c r="E29" s="13"/>
      <c r="F29" s="13"/>
      <c r="G29" s="13"/>
      <c r="H29" s="13"/>
      <c r="I29" s="13"/>
      <c r="J29" s="13"/>
      <c r="K29" s="13"/>
      <c r="L29" s="13"/>
      <c r="M29" s="13"/>
      <c r="N29" s="13"/>
      <c r="O29" s="13"/>
      <c r="P29" s="13"/>
      <c r="Q29" s="13"/>
      <c r="R29" s="13"/>
    </row>
    <row r="30" spans="1:18" x14ac:dyDescent="0.25">
      <c r="A30" s="13"/>
      <c r="C30" s="13"/>
      <c r="D30" s="13"/>
      <c r="E30" s="13"/>
      <c r="F30" s="13"/>
      <c r="G30" s="13"/>
      <c r="H30" s="13"/>
      <c r="I30" s="13"/>
      <c r="J30" s="13"/>
      <c r="K30" s="13"/>
      <c r="L30" s="13"/>
      <c r="M30" s="13"/>
      <c r="N30" s="13"/>
      <c r="O30" s="13"/>
      <c r="P30" s="13"/>
      <c r="Q30" s="13"/>
      <c r="R30" s="13"/>
    </row>
    <row r="31" spans="1:18" x14ac:dyDescent="0.25">
      <c r="A31" s="12" t="s">
        <v>18</v>
      </c>
      <c r="B31" s="11"/>
      <c r="C31" s="13"/>
      <c r="D31" s="13"/>
      <c r="E31" s="13"/>
      <c r="F31" s="13"/>
      <c r="G31" s="13"/>
      <c r="H31" s="13"/>
      <c r="I31" s="13"/>
      <c r="J31" s="13"/>
      <c r="K31" s="13"/>
      <c r="L31" s="13"/>
      <c r="M31" s="13"/>
      <c r="N31" s="13"/>
      <c r="O31" s="13"/>
      <c r="P31" s="13"/>
      <c r="Q31" s="13"/>
      <c r="R31" s="13"/>
    </row>
    <row r="32" spans="1:18" ht="140" x14ac:dyDescent="0.25">
      <c r="A32" s="53" t="s">
        <v>19</v>
      </c>
      <c r="B32" s="13"/>
      <c r="C32" s="64" t="s">
        <v>24</v>
      </c>
      <c r="D32" s="64" t="s">
        <v>23</v>
      </c>
      <c r="E32" s="64" t="s">
        <v>25</v>
      </c>
      <c r="F32" s="64" t="s">
        <v>26</v>
      </c>
      <c r="G32" s="13"/>
      <c r="H32" s="13"/>
      <c r="I32" s="13"/>
      <c r="J32" s="13"/>
      <c r="K32" s="13"/>
      <c r="L32" s="13"/>
      <c r="M32" s="13"/>
      <c r="N32" s="13"/>
      <c r="O32" s="13"/>
      <c r="P32" s="13"/>
      <c r="Q32" s="13"/>
      <c r="R32" s="13"/>
    </row>
    <row r="33" spans="1:18" x14ac:dyDescent="0.25">
      <c r="A33" s="55">
        <v>-1</v>
      </c>
      <c r="B33" s="13" t="s">
        <v>21</v>
      </c>
      <c r="C33" s="23">
        <f>$A33*$B18/1000*B22</f>
        <v>-0.57743999999999995</v>
      </c>
      <c r="D33" s="23">
        <f>$A33*$B18/1000*B23</f>
        <v>-1.3954799999999998</v>
      </c>
      <c r="E33" s="37">
        <f>C33*(1/$B$18)*1000</f>
        <v>-36</v>
      </c>
      <c r="F33" s="37">
        <f>D33*(1/$B$18)*1000</f>
        <v>-87</v>
      </c>
      <c r="G33" s="13"/>
      <c r="H33" s="13"/>
      <c r="I33" s="13"/>
      <c r="J33" s="13"/>
      <c r="K33" s="13"/>
      <c r="L33" s="13"/>
      <c r="M33" s="13"/>
      <c r="N33" s="13"/>
      <c r="O33" s="13"/>
      <c r="P33" s="13"/>
      <c r="Q33" s="13"/>
      <c r="R33" s="13"/>
    </row>
    <row r="34" spans="1:18" x14ac:dyDescent="0.25">
      <c r="A34" s="55">
        <v>1</v>
      </c>
      <c r="B34" s="13" t="s">
        <v>22</v>
      </c>
      <c r="C34" s="23">
        <f>$A34*$B19/1000*B20</f>
        <v>4.4010000000000001E-2</v>
      </c>
      <c r="D34" s="23">
        <f>$A34*$B19/1000*B21</f>
        <v>4.4010000000000001E-2</v>
      </c>
      <c r="E34" s="23">
        <f>C34*(1/$B$18)*1000</f>
        <v>2.7437655860349128</v>
      </c>
      <c r="F34" s="23">
        <f>D34*(1/$B$18)*1000</f>
        <v>2.7437655860349128</v>
      </c>
      <c r="G34" s="13"/>
      <c r="H34" s="13"/>
      <c r="I34" s="13"/>
      <c r="J34" s="13"/>
      <c r="K34" s="13"/>
      <c r="L34" s="13"/>
      <c r="M34" s="13"/>
      <c r="N34" s="13"/>
      <c r="O34" s="13"/>
      <c r="P34" s="13"/>
      <c r="Q34" s="13"/>
      <c r="R34" s="13"/>
    </row>
    <row r="35" spans="1:18" x14ac:dyDescent="0.25">
      <c r="A35" s="13"/>
      <c r="B35" s="13"/>
      <c r="C35" s="13"/>
      <c r="D35" s="13"/>
      <c r="E35" s="13"/>
      <c r="F35" s="13"/>
      <c r="G35" s="13"/>
      <c r="H35" s="13"/>
      <c r="I35" s="13"/>
      <c r="J35" s="13"/>
      <c r="K35" s="13"/>
      <c r="L35" s="13"/>
      <c r="M35" s="13"/>
      <c r="N35" s="13"/>
      <c r="O35" s="13"/>
      <c r="P35" s="13"/>
      <c r="Q35" s="13"/>
      <c r="R35" s="13"/>
    </row>
    <row r="36" spans="1:18" x14ac:dyDescent="0.25">
      <c r="B36" s="13"/>
      <c r="C36" s="13"/>
      <c r="D36" s="13"/>
      <c r="E36" s="13"/>
      <c r="F36" s="13"/>
      <c r="G36" s="13"/>
      <c r="H36" s="13"/>
      <c r="I36" s="13"/>
      <c r="J36" s="13"/>
      <c r="K36" s="13"/>
      <c r="L36" s="13"/>
      <c r="M36" s="13"/>
      <c r="N36" s="13"/>
      <c r="O36" s="13"/>
      <c r="P36" s="13"/>
      <c r="Q36" s="13"/>
      <c r="R36" s="13"/>
    </row>
    <row r="37" spans="1:18" x14ac:dyDescent="0.25">
      <c r="A37" s="12"/>
      <c r="B37" s="12"/>
      <c r="C37" s="13"/>
      <c r="D37" s="13"/>
      <c r="E37" s="13"/>
      <c r="F37" s="13"/>
      <c r="G37" s="13"/>
      <c r="H37" s="13"/>
      <c r="I37" s="13"/>
      <c r="J37" s="13"/>
      <c r="K37" s="13"/>
      <c r="L37" s="13"/>
      <c r="M37" s="13"/>
      <c r="N37" s="13"/>
      <c r="O37" s="13"/>
      <c r="P37" s="13"/>
      <c r="Q37" s="13"/>
      <c r="R37" s="13"/>
    </row>
    <row r="38" spans="1:18" x14ac:dyDescent="0.25">
      <c r="C38" s="13"/>
      <c r="D38" s="13"/>
      <c r="E38" s="13"/>
      <c r="F38" s="13"/>
      <c r="G38" s="13"/>
      <c r="H38" s="13"/>
      <c r="I38" s="13"/>
      <c r="J38" s="13"/>
      <c r="K38" s="13"/>
      <c r="L38" s="13"/>
      <c r="M38" s="13"/>
      <c r="N38" s="13"/>
      <c r="O38" s="13"/>
      <c r="P38" s="13"/>
      <c r="Q38" s="13"/>
      <c r="R38" s="13"/>
    </row>
  </sheetData>
  <mergeCells count="3">
    <mergeCell ref="B5:H5"/>
    <mergeCell ref="I5:O5"/>
    <mergeCell ref="A1:R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142DD-0B27-D04A-9665-8A3B69683D1D}">
  <dimension ref="A1"/>
  <sheetViews>
    <sheetView workbookViewId="0"/>
  </sheetViews>
  <sheetFormatPr baseColWidth="10" defaultRowHeight="19"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A872E-66F4-F546-B239-A044B15781F6}">
  <sheetPr>
    <tabColor theme="5" tint="0.39997558519241921"/>
  </sheetPr>
  <dimension ref="A1:R41"/>
  <sheetViews>
    <sheetView workbookViewId="0">
      <selection activeCell="H13" sqref="H13"/>
    </sheetView>
  </sheetViews>
  <sheetFormatPr baseColWidth="10" defaultRowHeight="19" x14ac:dyDescent="0.25"/>
  <cols>
    <col min="1" max="1" width="29.42578125" customWidth="1"/>
  </cols>
  <sheetData>
    <row r="1" spans="1:18" ht="31" customHeight="1" x14ac:dyDescent="0.35">
      <c r="A1" s="121" t="s">
        <v>121</v>
      </c>
      <c r="B1" s="121"/>
      <c r="C1" s="121"/>
      <c r="D1" s="121"/>
      <c r="E1" s="121"/>
      <c r="F1" s="121"/>
      <c r="G1" s="121"/>
      <c r="H1" s="121"/>
      <c r="I1" s="121"/>
      <c r="J1" s="121"/>
      <c r="K1" s="121"/>
      <c r="L1" s="121"/>
      <c r="M1" s="121"/>
      <c r="N1" s="121"/>
      <c r="O1" s="121"/>
      <c r="P1" s="121"/>
      <c r="Q1" s="121"/>
      <c r="R1" s="121"/>
    </row>
    <row r="2" spans="1:18" x14ac:dyDescent="0.25">
      <c r="A2" s="13"/>
      <c r="B2" s="13"/>
      <c r="C2" s="13"/>
      <c r="D2" s="13"/>
      <c r="E2" s="13"/>
      <c r="F2" s="13"/>
      <c r="G2" s="13"/>
      <c r="H2" s="13"/>
      <c r="I2" s="13"/>
      <c r="J2" s="13"/>
      <c r="K2" s="13"/>
      <c r="L2" s="13"/>
      <c r="M2" s="13"/>
      <c r="N2" s="13"/>
      <c r="O2" s="13"/>
      <c r="P2" s="13"/>
      <c r="Q2" s="13"/>
      <c r="R2" s="13"/>
    </row>
    <row r="3" spans="1:18" ht="20" thickBot="1" x14ac:dyDescent="0.3">
      <c r="A3" s="12" t="s">
        <v>71</v>
      </c>
      <c r="B3" s="13"/>
      <c r="C3" s="13"/>
      <c r="D3" s="13"/>
      <c r="E3" s="13"/>
      <c r="F3" s="13"/>
      <c r="G3" s="13"/>
      <c r="H3" s="13"/>
      <c r="I3" s="13"/>
      <c r="J3" s="13"/>
      <c r="K3" s="13"/>
      <c r="L3" s="13"/>
      <c r="M3" s="13"/>
      <c r="N3" s="13"/>
      <c r="O3" s="13"/>
      <c r="P3" s="13"/>
      <c r="Q3" s="13"/>
      <c r="R3" s="13"/>
    </row>
    <row r="4" spans="1:18" ht="20" thickBot="1" x14ac:dyDescent="0.3">
      <c r="A4" s="13" t="s">
        <v>62</v>
      </c>
      <c r="B4" s="68">
        <f>'GWP of methane by scenario'!B4</f>
        <v>0</v>
      </c>
      <c r="C4" s="69">
        <f>'GWP of methane by scenario'!C4</f>
        <v>2.5000000000000001E-2</v>
      </c>
      <c r="D4" s="69">
        <f>'GWP of methane by scenario'!D4</f>
        <v>0.05</v>
      </c>
      <c r="E4" s="69">
        <f>'GWP of methane by scenario'!E4</f>
        <v>7.5000000000000011E-2</v>
      </c>
      <c r="F4" s="69">
        <f>'GWP of methane by scenario'!F4</f>
        <v>0.1</v>
      </c>
      <c r="G4" s="69">
        <f>'GWP of methane by scenario'!G4</f>
        <v>0.125</v>
      </c>
      <c r="H4" s="70">
        <f>'GWP of methane by scenario'!H4</f>
        <v>0.15</v>
      </c>
      <c r="I4" s="13"/>
      <c r="J4" s="13"/>
      <c r="K4" s="13"/>
      <c r="L4" s="13"/>
      <c r="M4" s="13"/>
      <c r="N4" s="13"/>
      <c r="O4" s="13"/>
      <c r="P4" s="13"/>
      <c r="Q4" s="13"/>
      <c r="R4" s="13"/>
    </row>
    <row r="5" spans="1:18" ht="20" thickBot="1" x14ac:dyDescent="0.3">
      <c r="A5" s="13" t="s">
        <v>69</v>
      </c>
      <c r="B5" s="78">
        <f>'GWP of methane by scenario'!B6</f>
        <v>0</v>
      </c>
      <c r="C5" s="78">
        <f>'GWP of methane by scenario'!C6</f>
        <v>17.435897435897438</v>
      </c>
      <c r="D5" s="78">
        <f>'GWP of methane by scenario'!D6</f>
        <v>35.789473684210535</v>
      </c>
      <c r="E5" s="78">
        <f>'GWP of methane by scenario'!E6</f>
        <v>55.135135135135144</v>
      </c>
      <c r="F5" s="78">
        <f>'GWP of methane by scenario'!F6</f>
        <v>75.555555555555557</v>
      </c>
      <c r="G5" s="78">
        <f>'GWP of methane by scenario'!G6</f>
        <v>97.142857142857139</v>
      </c>
      <c r="H5" s="78">
        <f>'GWP of methane by scenario'!H6</f>
        <v>120</v>
      </c>
      <c r="I5" s="13"/>
      <c r="J5" s="13"/>
      <c r="K5" s="13"/>
      <c r="L5" s="13"/>
      <c r="M5" s="13"/>
      <c r="N5" s="13"/>
      <c r="O5" s="13"/>
      <c r="P5" s="13"/>
      <c r="Q5" s="13"/>
      <c r="R5" s="13"/>
    </row>
    <row r="6" spans="1:18" ht="21" thickTop="1" thickBot="1" x14ac:dyDescent="0.3">
      <c r="A6" s="13" t="s">
        <v>68</v>
      </c>
      <c r="B6" s="78">
        <f>'GWP of methane by scenario'!I6</f>
        <v>0</v>
      </c>
      <c r="C6" s="78">
        <f>'GWP of methane by scenario'!J6</f>
        <v>44.102564102564109</v>
      </c>
      <c r="D6" s="78">
        <f>'GWP of methane by scenario'!K6</f>
        <v>90.526315789473699</v>
      </c>
      <c r="E6" s="78">
        <f>'GWP of methane by scenario'!L6</f>
        <v>139.45945945945948</v>
      </c>
      <c r="F6" s="78">
        <f>'GWP of methane by scenario'!M6</f>
        <v>191.11111111111111</v>
      </c>
      <c r="G6" s="78">
        <f>'GWP of methane by scenario'!N6</f>
        <v>245.71428571428572</v>
      </c>
      <c r="H6" s="78">
        <f>'GWP of methane by scenario'!O6</f>
        <v>303.52941176470591</v>
      </c>
      <c r="I6" s="13"/>
      <c r="J6" s="13"/>
      <c r="K6" s="13"/>
      <c r="L6" s="13"/>
      <c r="M6" s="13"/>
      <c r="N6" s="13"/>
      <c r="O6" s="13"/>
      <c r="P6" s="13"/>
      <c r="Q6" s="13"/>
      <c r="R6" s="13"/>
    </row>
    <row r="7" spans="1:18" ht="21" thickTop="1" thickBot="1" x14ac:dyDescent="0.3">
      <c r="A7" s="13" t="s">
        <v>67</v>
      </c>
      <c r="B7" s="78">
        <f>'GWP of methane by scenario'!$B$13</f>
        <v>76.363807184115785</v>
      </c>
      <c r="C7" s="78">
        <f>'GWP of methane by scenario'!$B$13</f>
        <v>76.363807184115785</v>
      </c>
      <c r="D7" s="78">
        <f>'GWP of methane by scenario'!$B$13</f>
        <v>76.363807184115785</v>
      </c>
      <c r="E7" s="78">
        <f>'GWP of methane by scenario'!$B$13</f>
        <v>76.363807184115785</v>
      </c>
      <c r="F7" s="78">
        <f>'GWP of methane by scenario'!$B$13</f>
        <v>76.363807184115785</v>
      </c>
      <c r="G7" s="78">
        <f>'GWP of methane by scenario'!$B$13</f>
        <v>76.363807184115785</v>
      </c>
      <c r="H7" s="78">
        <f>'GWP of methane by scenario'!$B$13</f>
        <v>76.363807184115785</v>
      </c>
      <c r="I7" s="13"/>
      <c r="J7" s="13"/>
      <c r="K7" s="13"/>
      <c r="L7" s="13"/>
      <c r="M7" s="13"/>
      <c r="N7" s="13"/>
      <c r="O7" s="13"/>
      <c r="P7" s="13"/>
      <c r="Q7" s="13"/>
      <c r="R7" s="13"/>
    </row>
    <row r="8" spans="1:18" ht="21" thickTop="1" thickBot="1" x14ac:dyDescent="0.3">
      <c r="A8" s="13" t="s">
        <v>66</v>
      </c>
      <c r="B8" s="78">
        <f>'GWP of methane by scenario'!$B$14</f>
        <v>106.80584242395727</v>
      </c>
      <c r="C8" s="78">
        <f>'GWP of methane by scenario'!$B$14</f>
        <v>106.80584242395727</v>
      </c>
      <c r="D8" s="78">
        <f>'GWP of methane by scenario'!$B$14</f>
        <v>106.80584242395727</v>
      </c>
      <c r="E8" s="78">
        <f>'GWP of methane by scenario'!$B$14</f>
        <v>106.80584242395727</v>
      </c>
      <c r="F8" s="78">
        <f>'GWP of methane by scenario'!$B$14</f>
        <v>106.80584242395727</v>
      </c>
      <c r="G8" s="78">
        <f>'GWP of methane by scenario'!$B$14</f>
        <v>106.80584242395727</v>
      </c>
      <c r="H8" s="78">
        <f>'GWP of methane by scenario'!$B$14</f>
        <v>106.80584242395727</v>
      </c>
      <c r="I8" s="13"/>
      <c r="J8" s="13"/>
      <c r="K8" s="13"/>
      <c r="L8" s="13"/>
      <c r="M8" s="13"/>
      <c r="N8" s="13"/>
      <c r="O8" s="13"/>
      <c r="P8" s="13"/>
      <c r="Q8" s="13"/>
      <c r="R8" s="13"/>
    </row>
    <row r="9" spans="1:18" ht="21" thickTop="1" thickBot="1" x14ac:dyDescent="0.3">
      <c r="A9" s="13" t="s">
        <v>165</v>
      </c>
      <c r="B9" s="78">
        <f>$A$32/$A$31</f>
        <v>1.8640620057012409</v>
      </c>
      <c r="C9" s="78">
        <f t="shared" ref="C9:H9" si="0">$A$32/$A$31</f>
        <v>1.8640620057012409</v>
      </c>
      <c r="D9" s="78">
        <f t="shared" si="0"/>
        <v>1.8640620057012409</v>
      </c>
      <c r="E9" s="78">
        <f t="shared" si="0"/>
        <v>1.8640620057012409</v>
      </c>
      <c r="F9" s="78">
        <f t="shared" si="0"/>
        <v>1.8640620057012409</v>
      </c>
      <c r="G9" s="78">
        <f t="shared" si="0"/>
        <v>1.8640620057012409</v>
      </c>
      <c r="H9" s="78">
        <f t="shared" si="0"/>
        <v>1.8640620057012409</v>
      </c>
      <c r="I9" s="13"/>
      <c r="J9" s="13"/>
      <c r="K9" s="13"/>
      <c r="L9" s="13"/>
      <c r="M9" s="13"/>
      <c r="N9" s="13"/>
      <c r="O9" s="13"/>
      <c r="P9" s="13"/>
      <c r="Q9" s="13"/>
      <c r="R9" s="13"/>
    </row>
    <row r="10" spans="1:18" ht="20" thickTop="1" x14ac:dyDescent="0.25">
      <c r="A10" s="13" t="s">
        <v>154</v>
      </c>
      <c r="B10" s="4">
        <v>0</v>
      </c>
      <c r="C10" s="4">
        <v>0</v>
      </c>
      <c r="D10" s="4">
        <v>0</v>
      </c>
      <c r="E10" s="4">
        <v>0</v>
      </c>
      <c r="F10" s="4">
        <v>0</v>
      </c>
      <c r="G10" s="4">
        <v>0</v>
      </c>
      <c r="H10" s="4">
        <v>0</v>
      </c>
      <c r="I10" s="13"/>
      <c r="J10" s="13"/>
      <c r="K10" s="13"/>
      <c r="L10" s="13"/>
      <c r="M10" s="13"/>
      <c r="N10" s="13"/>
      <c r="O10" s="13"/>
      <c r="P10" s="13"/>
      <c r="Q10" s="13"/>
      <c r="R10" s="13"/>
    </row>
    <row r="11" spans="1:18" x14ac:dyDescent="0.25">
      <c r="A11" s="13"/>
      <c r="B11" s="13"/>
      <c r="C11" s="13"/>
      <c r="D11" s="13"/>
      <c r="E11" s="13"/>
      <c r="F11" s="13"/>
      <c r="G11" s="13"/>
      <c r="H11" s="13"/>
      <c r="I11" s="13"/>
      <c r="J11" s="13"/>
      <c r="K11" s="13"/>
      <c r="L11" s="13"/>
      <c r="M11" s="13"/>
      <c r="N11" s="13"/>
      <c r="O11" s="13"/>
      <c r="P11" s="13"/>
      <c r="Q11" s="13"/>
      <c r="R11" s="13"/>
    </row>
    <row r="12" spans="1:18" x14ac:dyDescent="0.25">
      <c r="A12" s="12" t="s">
        <v>70</v>
      </c>
      <c r="B12" s="13"/>
      <c r="C12" s="13"/>
      <c r="D12" s="13"/>
      <c r="E12" s="13"/>
      <c r="F12" s="13"/>
      <c r="G12" s="13"/>
      <c r="H12" s="13"/>
      <c r="I12" s="13"/>
      <c r="J12" s="13"/>
      <c r="K12" s="13"/>
      <c r="L12" s="13"/>
      <c r="M12" s="13"/>
      <c r="N12" s="13"/>
      <c r="O12" s="13"/>
      <c r="P12" s="13"/>
      <c r="Q12" s="13"/>
      <c r="R12" s="13"/>
    </row>
    <row r="13" spans="1:18" ht="41" thickBot="1" x14ac:dyDescent="0.3">
      <c r="A13" s="13"/>
      <c r="B13" s="64" t="s">
        <v>33</v>
      </c>
      <c r="C13" s="64" t="s">
        <v>149</v>
      </c>
      <c r="D13" s="13"/>
      <c r="E13" s="13"/>
      <c r="F13" s="13"/>
      <c r="G13" s="13"/>
      <c r="H13" s="13"/>
      <c r="I13" s="13"/>
      <c r="J13" s="13"/>
      <c r="K13" s="13"/>
      <c r="L13" s="13"/>
      <c r="M13" s="13"/>
      <c r="N13" s="13"/>
      <c r="O13" s="13"/>
      <c r="P13" s="13"/>
      <c r="Q13" s="13"/>
      <c r="R13" s="13"/>
    </row>
    <row r="14" spans="1:18" ht="21" thickTop="1" thickBot="1" x14ac:dyDescent="0.3">
      <c r="A14" s="13" t="s">
        <v>1</v>
      </c>
      <c r="B14" s="90">
        <v>0.10096161149313258</v>
      </c>
      <c r="C14" s="22">
        <f>('GWP of methane by scenario'!$B$17/(1-$B14))*'GWP of methane by scenario'!$B24*$B14</f>
        <v>76.363697805330958</v>
      </c>
      <c r="D14" s="13"/>
      <c r="E14" s="13"/>
      <c r="F14" s="13"/>
      <c r="G14" s="13"/>
      <c r="H14" s="13"/>
      <c r="I14" s="13"/>
      <c r="J14" s="13"/>
      <c r="K14" s="13"/>
      <c r="L14" s="13"/>
      <c r="M14" s="13"/>
      <c r="N14" s="13"/>
      <c r="O14" s="13"/>
      <c r="P14" s="13"/>
      <c r="Q14" s="13"/>
      <c r="R14" s="13"/>
    </row>
    <row r="15" spans="1:18" ht="21" thickTop="1" thickBot="1" x14ac:dyDescent="0.3">
      <c r="A15" s="13" t="s">
        <v>0</v>
      </c>
      <c r="B15" s="90">
        <v>5.8465945855858091E-2</v>
      </c>
      <c r="C15" s="22">
        <f>('GWP of methane by scenario'!$B$17/(1-$B15))*'GWP of methane by scenario'!$B25*$B15</f>
        <v>106.805937001914</v>
      </c>
      <c r="D15" s="13"/>
      <c r="E15" s="13"/>
      <c r="F15" s="13"/>
      <c r="G15" s="13"/>
      <c r="H15" s="13"/>
      <c r="I15" s="13"/>
      <c r="J15" s="13"/>
      <c r="K15" s="13"/>
      <c r="L15" s="13"/>
      <c r="M15" s="13"/>
      <c r="N15" s="13"/>
      <c r="O15" s="13"/>
      <c r="P15" s="13"/>
      <c r="Q15" s="13"/>
      <c r="R15" s="13"/>
    </row>
    <row r="16" spans="1:18" ht="20" thickTop="1" x14ac:dyDescent="0.25">
      <c r="A16" s="13" t="s">
        <v>99</v>
      </c>
      <c r="B16" s="13"/>
      <c r="C16" s="13"/>
      <c r="D16" s="13"/>
      <c r="E16" s="13"/>
      <c r="F16" s="13"/>
      <c r="G16" s="13"/>
      <c r="H16" s="13"/>
      <c r="I16" s="13"/>
      <c r="J16" s="13"/>
      <c r="K16" s="13"/>
      <c r="L16" s="13"/>
      <c r="M16" s="13"/>
      <c r="N16" s="13"/>
      <c r="O16" s="13"/>
      <c r="P16" s="13"/>
      <c r="Q16" s="13"/>
      <c r="R16" s="13"/>
    </row>
    <row r="17" spans="1:18" x14ac:dyDescent="0.25">
      <c r="A17" s="13"/>
      <c r="B17" s="13"/>
      <c r="C17" s="13"/>
      <c r="D17" s="13"/>
      <c r="E17" s="13"/>
      <c r="F17" s="13"/>
      <c r="G17" s="13"/>
      <c r="H17" s="13"/>
      <c r="I17" s="13"/>
      <c r="J17" s="13"/>
      <c r="K17" s="13"/>
      <c r="L17" s="13"/>
      <c r="M17" s="13"/>
      <c r="N17" s="13"/>
      <c r="O17" s="13"/>
      <c r="P17" s="13"/>
      <c r="Q17" s="13"/>
      <c r="R17" s="13"/>
    </row>
    <row r="18" spans="1:18" x14ac:dyDescent="0.25">
      <c r="A18" s="27" t="s">
        <v>104</v>
      </c>
      <c r="B18" s="13"/>
      <c r="C18" s="13"/>
      <c r="D18" s="13"/>
      <c r="E18" s="13"/>
      <c r="F18" s="13"/>
      <c r="G18" s="13"/>
      <c r="H18" s="13"/>
      <c r="I18" s="13"/>
      <c r="J18" s="13"/>
      <c r="K18" s="13"/>
      <c r="L18" s="13"/>
      <c r="M18" s="13"/>
      <c r="N18" s="13"/>
      <c r="O18" s="13"/>
      <c r="P18" s="13"/>
      <c r="Q18" s="13"/>
      <c r="R18" s="13"/>
    </row>
    <row r="19" spans="1:18" x14ac:dyDescent="0.25">
      <c r="A19" s="12" t="s">
        <v>103</v>
      </c>
      <c r="B19" s="13"/>
      <c r="C19" s="13"/>
      <c r="D19" s="13"/>
      <c r="E19" s="13"/>
      <c r="F19" s="13"/>
      <c r="G19" s="13"/>
      <c r="H19" s="13"/>
      <c r="I19" s="13"/>
      <c r="J19" s="13"/>
      <c r="K19" s="13"/>
      <c r="L19" s="13"/>
      <c r="M19" s="13"/>
      <c r="N19" s="13"/>
      <c r="O19" s="13"/>
      <c r="P19" s="13"/>
      <c r="Q19" s="13"/>
      <c r="R19" s="13"/>
    </row>
    <row r="20" spans="1:18" x14ac:dyDescent="0.25">
      <c r="B20" s="13" t="s">
        <v>96</v>
      </c>
      <c r="C20" s="13" t="s">
        <v>97</v>
      </c>
      <c r="D20" s="13" t="s">
        <v>98</v>
      </c>
      <c r="E20" s="13"/>
      <c r="F20" s="13"/>
      <c r="G20" s="13"/>
      <c r="H20" s="13"/>
      <c r="I20" s="13"/>
      <c r="J20" s="13"/>
      <c r="K20" s="13"/>
      <c r="L20" s="13"/>
      <c r="M20" s="13"/>
      <c r="N20" s="13"/>
      <c r="O20" s="13"/>
      <c r="P20" s="13"/>
      <c r="Q20" s="13"/>
      <c r="R20" s="13"/>
    </row>
    <row r="21" spans="1:18" x14ac:dyDescent="0.25">
      <c r="A21" s="13" t="s">
        <v>1</v>
      </c>
      <c r="B21" s="45">
        <v>9.0628126083425825E-2</v>
      </c>
      <c r="C21" s="45">
        <v>0.10096161149313258</v>
      </c>
      <c r="D21" s="45">
        <v>0.11106346806082124</v>
      </c>
      <c r="E21" s="13"/>
      <c r="F21" s="13"/>
      <c r="G21" s="13"/>
      <c r="H21" s="13"/>
      <c r="I21" s="13"/>
      <c r="J21" s="13"/>
      <c r="K21" s="13"/>
      <c r="L21" s="13"/>
      <c r="M21" s="13"/>
      <c r="N21" s="13"/>
      <c r="O21" s="13"/>
      <c r="P21" s="13"/>
      <c r="Q21" s="13"/>
      <c r="R21" s="13"/>
    </row>
    <row r="22" spans="1:18" x14ac:dyDescent="0.25">
      <c r="A22" s="13" t="s">
        <v>0</v>
      </c>
      <c r="B22" s="45">
        <v>5.0367536452013729E-2</v>
      </c>
      <c r="C22" s="45">
        <v>5.8465945855858091E-2</v>
      </c>
      <c r="D22" s="45">
        <v>6.6427481539658037E-2</v>
      </c>
      <c r="E22" s="13"/>
      <c r="F22" s="13"/>
      <c r="G22" s="13"/>
      <c r="H22" s="13"/>
      <c r="I22" s="13"/>
      <c r="J22" s="13"/>
      <c r="K22" s="13"/>
      <c r="L22" s="13"/>
      <c r="M22" s="13"/>
      <c r="N22" s="13"/>
      <c r="O22" s="13"/>
      <c r="P22" s="13"/>
      <c r="Q22" s="13"/>
      <c r="R22" s="13"/>
    </row>
    <row r="23" spans="1:18" x14ac:dyDescent="0.25">
      <c r="B23" s="13"/>
      <c r="C23" s="13"/>
      <c r="D23" s="13"/>
      <c r="E23" s="13"/>
      <c r="F23" s="13"/>
      <c r="G23" s="13"/>
      <c r="H23" s="13"/>
      <c r="I23" s="13"/>
      <c r="J23" s="13"/>
      <c r="K23" s="13"/>
      <c r="L23" s="13"/>
      <c r="M23" s="13"/>
      <c r="N23" s="13"/>
      <c r="O23" s="13"/>
      <c r="P23" s="13"/>
      <c r="Q23" s="13"/>
      <c r="R23" s="13"/>
    </row>
    <row r="24" spans="1:18" x14ac:dyDescent="0.25">
      <c r="A24" s="13"/>
      <c r="B24" s="13"/>
      <c r="C24" s="13"/>
      <c r="D24" s="13"/>
      <c r="E24" s="13"/>
      <c r="F24" s="13"/>
      <c r="G24" s="13"/>
      <c r="H24" s="13"/>
      <c r="I24" s="13"/>
      <c r="J24" s="13"/>
      <c r="K24" s="13"/>
      <c r="L24" s="13"/>
      <c r="M24" s="13"/>
      <c r="N24" s="13"/>
      <c r="O24" s="13"/>
      <c r="P24" s="13"/>
      <c r="Q24" s="13"/>
      <c r="R24" s="13"/>
    </row>
    <row r="25" spans="1:18" ht="60" x14ac:dyDescent="0.25">
      <c r="A25" s="13" t="s">
        <v>95</v>
      </c>
      <c r="B25" s="64" t="s">
        <v>100</v>
      </c>
      <c r="C25" s="64" t="s">
        <v>101</v>
      </c>
      <c r="D25" s="64" t="s">
        <v>102</v>
      </c>
      <c r="E25" s="13"/>
      <c r="F25" s="13"/>
      <c r="G25" s="13"/>
      <c r="H25" s="13"/>
      <c r="I25" s="13"/>
      <c r="J25" s="13"/>
      <c r="K25" s="13"/>
      <c r="L25" s="13"/>
      <c r="M25" s="13"/>
      <c r="N25" s="13"/>
      <c r="O25" s="13"/>
      <c r="P25" s="13"/>
      <c r="Q25" s="13"/>
      <c r="R25" s="13"/>
    </row>
    <row r="26" spans="1:18" ht="20" thickBot="1" x14ac:dyDescent="0.3">
      <c r="A26" s="13" t="s">
        <v>1</v>
      </c>
      <c r="B26" s="91">
        <f>0.6*'GWP of methane by scenario'!B22</f>
        <v>21.599999999999998</v>
      </c>
      <c r="C26" s="30">
        <f>'GWP of methane by scenario'!B22</f>
        <v>36</v>
      </c>
      <c r="D26" s="91">
        <f>1.4*'GWP of methane by scenario'!B22</f>
        <v>50.4</v>
      </c>
      <c r="E26" s="13"/>
      <c r="F26" s="13"/>
      <c r="G26" s="13"/>
      <c r="H26" s="13"/>
      <c r="I26" s="13"/>
      <c r="J26" s="13"/>
      <c r="K26" s="13"/>
      <c r="L26" s="13"/>
      <c r="M26" s="13"/>
      <c r="N26" s="13"/>
      <c r="O26" s="13"/>
      <c r="P26" s="13"/>
      <c r="Q26" s="13"/>
      <c r="R26" s="13"/>
    </row>
    <row r="27" spans="1:18" ht="21" thickTop="1" thickBot="1" x14ac:dyDescent="0.3">
      <c r="A27" s="13" t="s">
        <v>0</v>
      </c>
      <c r="B27" s="91">
        <f>0.7*'GWP of methane by scenario'!B23</f>
        <v>60.9</v>
      </c>
      <c r="C27" s="30">
        <f>'GWP of methane by scenario'!B23</f>
        <v>87</v>
      </c>
      <c r="D27" s="91">
        <f>1.3*'GWP of methane by scenario'!B23</f>
        <v>113.10000000000001</v>
      </c>
      <c r="E27" s="13"/>
      <c r="F27" s="13"/>
      <c r="G27" s="13"/>
      <c r="H27" s="13"/>
      <c r="I27" s="13"/>
      <c r="J27" s="13"/>
      <c r="K27" s="13"/>
      <c r="L27" s="13"/>
      <c r="M27" s="13"/>
      <c r="N27" s="13"/>
      <c r="O27" s="13"/>
      <c r="P27" s="13"/>
      <c r="Q27" s="13"/>
      <c r="R27" s="13"/>
    </row>
    <row r="28" spans="1:18" ht="20" thickTop="1" x14ac:dyDescent="0.25">
      <c r="A28" s="13"/>
      <c r="B28" s="13"/>
      <c r="C28" s="13"/>
      <c r="D28" s="13"/>
      <c r="E28" s="13"/>
      <c r="F28" s="13"/>
      <c r="G28" s="13"/>
      <c r="H28" s="13"/>
      <c r="I28" s="13"/>
      <c r="J28" s="13"/>
      <c r="K28" s="13"/>
      <c r="L28" s="13"/>
      <c r="M28" s="13"/>
      <c r="N28" s="13"/>
      <c r="O28" s="13"/>
      <c r="P28" s="13"/>
      <c r="Q28" s="13"/>
      <c r="R28" s="13"/>
    </row>
    <row r="29" spans="1:18" x14ac:dyDescent="0.25">
      <c r="A29" s="12" t="s">
        <v>161</v>
      </c>
      <c r="B29" s="13"/>
      <c r="C29" s="13"/>
      <c r="D29" s="13"/>
      <c r="E29" s="13"/>
      <c r="F29" s="13"/>
      <c r="G29" s="13"/>
      <c r="H29" s="13"/>
      <c r="I29" s="13"/>
      <c r="J29" s="13"/>
      <c r="K29" s="13"/>
      <c r="L29" s="13"/>
      <c r="M29" s="13"/>
      <c r="N29" s="13"/>
      <c r="O29" s="13"/>
      <c r="P29" s="13"/>
      <c r="Q29" s="13"/>
      <c r="R29" s="13"/>
    </row>
    <row r="30" spans="1:18" x14ac:dyDescent="0.25">
      <c r="A30" s="3">
        <v>7627</v>
      </c>
      <c r="B30" s="13" t="s">
        <v>155</v>
      </c>
      <c r="C30" s="13" t="s">
        <v>160</v>
      </c>
      <c r="D30" s="13"/>
      <c r="E30" s="13"/>
      <c r="F30" s="13"/>
      <c r="G30" s="13"/>
      <c r="H30" s="13"/>
      <c r="I30" s="13"/>
      <c r="J30" s="13"/>
      <c r="K30" s="13"/>
      <c r="L30" s="13"/>
      <c r="M30" s="13"/>
      <c r="N30" s="13"/>
      <c r="O30" s="13"/>
      <c r="P30" s="13"/>
      <c r="Q30" s="13"/>
      <c r="R30" s="13"/>
    </row>
    <row r="31" spans="1:18" x14ac:dyDescent="0.25">
      <c r="A31" s="23">
        <f>A30*0.00000105506*1000</f>
        <v>8.0469426200000012</v>
      </c>
      <c r="B31" s="13" t="s">
        <v>156</v>
      </c>
      <c r="C31" s="13"/>
      <c r="D31" s="13"/>
      <c r="E31" s="13"/>
      <c r="F31" s="13"/>
      <c r="G31" s="13"/>
      <c r="H31" s="13"/>
      <c r="I31" s="13"/>
      <c r="J31" s="13"/>
      <c r="K31" s="13"/>
      <c r="L31" s="13"/>
      <c r="M31" s="13"/>
      <c r="N31" s="13"/>
      <c r="O31" s="13"/>
      <c r="P31" s="13"/>
      <c r="Q31" s="13"/>
      <c r="R31" s="13"/>
    </row>
    <row r="32" spans="1:18" x14ac:dyDescent="0.25">
      <c r="A32" s="3">
        <v>15</v>
      </c>
      <c r="B32" s="13" t="s">
        <v>157</v>
      </c>
      <c r="C32" s="13" t="s">
        <v>158</v>
      </c>
      <c r="D32" s="13"/>
      <c r="E32" s="13"/>
      <c r="F32" s="13"/>
      <c r="G32" s="13"/>
      <c r="H32" s="13"/>
      <c r="I32" s="13"/>
      <c r="J32" s="13"/>
      <c r="K32" s="13"/>
      <c r="L32" s="13"/>
      <c r="M32" s="13"/>
      <c r="N32" s="13"/>
      <c r="O32" s="13"/>
      <c r="P32" s="13"/>
      <c r="Q32" s="13"/>
      <c r="R32" s="13"/>
    </row>
    <row r="33" spans="1:18" ht="20" thickBot="1" x14ac:dyDescent="0.3">
      <c r="A33" s="23">
        <f>$A$31*(('GWP of methane by scenario'!$B$17/(1-$A$34))*'GWP of methane by scenario'!$B$24*$A$34)</f>
        <v>14.999201498554648</v>
      </c>
      <c r="B33" s="13" t="s">
        <v>157</v>
      </c>
      <c r="D33" s="13"/>
      <c r="E33" s="13"/>
      <c r="F33" s="13"/>
      <c r="G33" s="13"/>
      <c r="H33" s="13"/>
      <c r="I33" s="13"/>
      <c r="J33" s="13"/>
      <c r="K33" s="13"/>
      <c r="L33" s="13"/>
      <c r="M33" s="13"/>
      <c r="N33" s="13"/>
      <c r="O33" s="13"/>
      <c r="P33" s="13"/>
      <c r="Q33" s="13"/>
      <c r="R33" s="13"/>
    </row>
    <row r="34" spans="1:18" ht="21" thickTop="1" thickBot="1" x14ac:dyDescent="0.3">
      <c r="A34" s="120">
        <v>2.733628519831019E-3</v>
      </c>
      <c r="B34" s="13" t="s">
        <v>159</v>
      </c>
      <c r="D34" s="13"/>
      <c r="E34" s="13"/>
      <c r="F34" s="13"/>
      <c r="G34" s="13"/>
      <c r="H34" s="13"/>
      <c r="I34" s="13"/>
      <c r="J34" s="13"/>
      <c r="K34" s="13"/>
      <c r="L34" s="13"/>
      <c r="M34" s="13"/>
      <c r="N34" s="13"/>
      <c r="O34" s="13"/>
      <c r="P34" s="13"/>
      <c r="Q34" s="13"/>
      <c r="R34" s="13"/>
    </row>
    <row r="35" spans="1:18" ht="20" thickTop="1" x14ac:dyDescent="0.25">
      <c r="A35" s="13"/>
      <c r="B35" s="13"/>
      <c r="C35" s="13"/>
      <c r="D35" s="13"/>
      <c r="E35" s="13"/>
      <c r="F35" s="13"/>
      <c r="G35" s="13"/>
      <c r="H35" s="13"/>
      <c r="I35" s="13"/>
      <c r="J35" s="13"/>
      <c r="K35" s="13"/>
      <c r="L35" s="13"/>
      <c r="M35" s="13"/>
      <c r="N35" s="13"/>
      <c r="O35" s="13"/>
      <c r="P35" s="13"/>
      <c r="Q35" s="13"/>
      <c r="R35" s="13"/>
    </row>
    <row r="36" spans="1:18" x14ac:dyDescent="0.25">
      <c r="A36" s="13"/>
      <c r="B36" s="13"/>
      <c r="C36" s="13"/>
      <c r="D36" s="13"/>
      <c r="E36" s="13"/>
      <c r="F36" s="13"/>
      <c r="G36" s="13"/>
      <c r="H36" s="13"/>
      <c r="I36" s="13"/>
      <c r="J36" s="13"/>
      <c r="K36" s="13"/>
      <c r="L36" s="13"/>
      <c r="M36" s="13"/>
      <c r="N36" s="13"/>
      <c r="O36" s="13"/>
      <c r="P36" s="13"/>
      <c r="Q36" s="13"/>
      <c r="R36" s="13"/>
    </row>
    <row r="37" spans="1:18" x14ac:dyDescent="0.25">
      <c r="A37" s="13"/>
      <c r="B37" s="13"/>
      <c r="C37" s="13"/>
      <c r="D37" s="13"/>
      <c r="E37" s="13"/>
      <c r="F37" s="13"/>
      <c r="G37" s="13"/>
      <c r="H37" s="13"/>
      <c r="I37" s="13"/>
      <c r="J37" s="13"/>
      <c r="K37" s="13"/>
      <c r="L37" s="13"/>
      <c r="M37" s="13"/>
      <c r="N37" s="13"/>
      <c r="O37" s="13"/>
      <c r="P37" s="13"/>
      <c r="Q37" s="13"/>
      <c r="R37" s="13"/>
    </row>
    <row r="38" spans="1:18" x14ac:dyDescent="0.25">
      <c r="A38" s="13"/>
      <c r="B38" s="13"/>
      <c r="C38" s="13"/>
      <c r="D38" s="13"/>
      <c r="E38" s="13"/>
      <c r="F38" s="13"/>
      <c r="G38" s="13"/>
      <c r="H38" s="13"/>
      <c r="I38" s="13"/>
      <c r="J38" s="13"/>
      <c r="K38" s="13"/>
      <c r="L38" s="13"/>
      <c r="M38" s="13"/>
      <c r="N38" s="13"/>
      <c r="O38" s="13"/>
      <c r="P38" s="13"/>
      <c r="Q38" s="13"/>
      <c r="R38" s="13"/>
    </row>
    <row r="39" spans="1:18" x14ac:dyDescent="0.25">
      <c r="A39" s="13"/>
      <c r="B39" s="13"/>
      <c r="C39" s="13"/>
      <c r="D39" s="13"/>
      <c r="E39" s="13"/>
      <c r="F39" s="13"/>
      <c r="G39" s="13"/>
      <c r="H39" s="13"/>
      <c r="I39" s="13"/>
      <c r="J39" s="13"/>
      <c r="K39" s="13"/>
      <c r="L39" s="13"/>
      <c r="M39" s="13"/>
      <c r="N39" s="13"/>
      <c r="O39" s="13"/>
      <c r="P39" s="13"/>
      <c r="Q39" s="13"/>
      <c r="R39" s="13"/>
    </row>
    <row r="40" spans="1:18" x14ac:dyDescent="0.25">
      <c r="A40" s="13"/>
      <c r="B40" s="13"/>
      <c r="C40" s="13"/>
      <c r="D40" s="13"/>
      <c r="E40" s="13"/>
      <c r="F40" s="13"/>
      <c r="G40" s="13"/>
      <c r="H40" s="13"/>
      <c r="I40" s="13"/>
      <c r="J40" s="13"/>
      <c r="K40" s="13"/>
      <c r="L40" s="13"/>
      <c r="M40" s="13"/>
      <c r="N40" s="13"/>
      <c r="O40" s="13"/>
      <c r="P40" s="13"/>
      <c r="Q40" s="13"/>
      <c r="R40" s="13"/>
    </row>
    <row r="41" spans="1:18" x14ac:dyDescent="0.25">
      <c r="A41" s="13"/>
      <c r="B41" s="13"/>
      <c r="C41" s="13"/>
      <c r="D41" s="13"/>
      <c r="E41" s="13"/>
      <c r="F41" s="13"/>
      <c r="G41" s="13"/>
      <c r="H41" s="13"/>
      <c r="I41" s="13"/>
      <c r="J41" s="13"/>
      <c r="K41" s="13"/>
      <c r="L41" s="13"/>
      <c r="M41" s="13"/>
      <c r="N41" s="13"/>
      <c r="O41" s="13"/>
      <c r="P41" s="13"/>
      <c r="Q41" s="13"/>
      <c r="R41" s="13"/>
    </row>
  </sheetData>
  <mergeCells count="1">
    <mergeCell ref="A1:R1"/>
  </mergeCells>
  <pageMargins left="0.7" right="0.7" top="0.75" bottom="0.75" header="0.3" footer="0.3"/>
  <cellWatches>
    <cellWatch r="V4"/>
    <cellWatch r="W4"/>
    <cellWatch r="X4"/>
    <cellWatch r="Y4"/>
    <cellWatch r="V5"/>
    <cellWatch r="W5"/>
    <cellWatch r="X5"/>
    <cellWatch r="Y5"/>
    <cellWatch r="V6"/>
    <cellWatch r="W6"/>
    <cellWatch r="X6"/>
    <cellWatch r="Y6"/>
    <cellWatch r="V7"/>
    <cellWatch r="W7"/>
    <cellWatch r="X7"/>
    <cellWatch r="Y7"/>
    <cellWatch r="V8"/>
    <cellWatch r="W8"/>
    <cellWatch r="X8"/>
    <cellWatch r="Y8"/>
    <cellWatch r="V9"/>
    <cellWatch r="W9"/>
    <cellWatch r="X9"/>
    <cellWatch r="Y9"/>
    <cellWatch r="V10"/>
    <cellWatch r="W10"/>
    <cellWatch r="X10"/>
    <cellWatch r="Y10"/>
    <cellWatch r="V11"/>
    <cellWatch r="W11"/>
    <cellWatch r="X11"/>
    <cellWatch r="Y11"/>
  </cellWatche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D66FD-D646-7D49-8301-C46E5DCE2C49}">
  <sheetPr>
    <tabColor theme="5" tint="0.39997558519241921"/>
  </sheetPr>
  <dimension ref="A1:S82"/>
  <sheetViews>
    <sheetView topLeftCell="A17" workbookViewId="0">
      <selection sqref="A1:R1"/>
    </sheetView>
  </sheetViews>
  <sheetFormatPr baseColWidth="10" defaultRowHeight="19" x14ac:dyDescent="0.25"/>
  <cols>
    <col min="1" max="1" width="25.7109375" customWidth="1"/>
    <col min="6" max="6" width="10.7109375" customWidth="1"/>
    <col min="9" max="9" width="10.7109375" customWidth="1"/>
    <col min="17" max="17" width="10.7109375" customWidth="1"/>
    <col min="25" max="25" width="10.7109375" customWidth="1"/>
  </cols>
  <sheetData>
    <row r="1" spans="1:19" ht="31" customHeight="1" x14ac:dyDescent="0.35">
      <c r="A1" s="121" t="s">
        <v>122</v>
      </c>
      <c r="B1" s="121"/>
      <c r="C1" s="121"/>
      <c r="D1" s="121"/>
      <c r="E1" s="121"/>
      <c r="F1" s="121"/>
      <c r="G1" s="121"/>
      <c r="H1" s="121"/>
      <c r="I1" s="121"/>
      <c r="J1" s="121"/>
      <c r="K1" s="121"/>
      <c r="L1" s="121"/>
      <c r="M1" s="121"/>
      <c r="N1" s="121"/>
      <c r="O1" s="121"/>
      <c r="P1" s="121"/>
      <c r="Q1" s="121"/>
      <c r="R1" s="121"/>
    </row>
    <row r="2" spans="1:19" x14ac:dyDescent="0.25">
      <c r="A2" s="77" t="s">
        <v>92</v>
      </c>
      <c r="B2" s="13"/>
      <c r="C2" s="13"/>
      <c r="D2" s="13"/>
      <c r="E2" s="13"/>
      <c r="F2" s="13"/>
      <c r="G2" s="13"/>
      <c r="H2" s="13"/>
      <c r="I2" s="13"/>
      <c r="J2" s="13"/>
      <c r="K2" s="13"/>
      <c r="L2" s="13"/>
      <c r="M2" s="13"/>
      <c r="N2" s="13"/>
      <c r="O2" s="13"/>
      <c r="P2" s="13"/>
      <c r="Q2" s="13"/>
      <c r="R2" s="13"/>
    </row>
    <row r="3" spans="1:19" ht="20" thickBot="1" x14ac:dyDescent="0.3">
      <c r="A3" s="76" t="s">
        <v>91</v>
      </c>
      <c r="B3" s="13"/>
      <c r="C3" s="13"/>
      <c r="D3" s="13"/>
      <c r="E3" s="13"/>
      <c r="F3" s="13"/>
      <c r="G3" s="13"/>
      <c r="H3" s="13"/>
      <c r="I3" s="13"/>
      <c r="J3" s="13"/>
      <c r="K3" s="13"/>
      <c r="L3" s="13"/>
      <c r="M3" s="13"/>
      <c r="N3" s="13"/>
      <c r="O3" s="13"/>
      <c r="P3" s="13"/>
      <c r="Q3" s="13"/>
      <c r="R3" s="13"/>
    </row>
    <row r="4" spans="1:19" ht="20" thickBot="1" x14ac:dyDescent="0.3">
      <c r="A4" s="13" t="s">
        <v>4</v>
      </c>
      <c r="B4" s="18">
        <f>'GWP of methane by scenario'!B4</f>
        <v>0</v>
      </c>
      <c r="C4" s="19">
        <f>'GWP of methane by scenario'!C4</f>
        <v>2.5000000000000001E-2</v>
      </c>
      <c r="D4" s="19">
        <f>'GWP of methane by scenario'!D4</f>
        <v>0.05</v>
      </c>
      <c r="E4" s="19">
        <f>'GWP of methane by scenario'!E4</f>
        <v>7.5000000000000011E-2</v>
      </c>
      <c r="F4" s="19">
        <f>'GWP of methane by scenario'!F4</f>
        <v>0.1</v>
      </c>
      <c r="G4" s="19">
        <f>'GWP of methane by scenario'!G4</f>
        <v>0.125</v>
      </c>
      <c r="H4" s="20">
        <f>'GWP of methane by scenario'!H4</f>
        <v>0.15</v>
      </c>
      <c r="I4" s="18">
        <f>'GWP of methane by scenario'!B4</f>
        <v>0</v>
      </c>
      <c r="J4" s="19">
        <f>'GWP of methane by scenario'!C4</f>
        <v>2.5000000000000001E-2</v>
      </c>
      <c r="K4" s="19">
        <f>'GWP of methane by scenario'!D4</f>
        <v>0.05</v>
      </c>
      <c r="L4" s="19">
        <f>'GWP of methane by scenario'!E4</f>
        <v>7.5000000000000011E-2</v>
      </c>
      <c r="M4" s="19">
        <f>'GWP of methane by scenario'!F4</f>
        <v>0.1</v>
      </c>
      <c r="N4" s="19">
        <f>'GWP of methane by scenario'!G4</f>
        <v>0.125</v>
      </c>
      <c r="O4" s="20">
        <f>'GWP of methane by scenario'!H4</f>
        <v>0.15</v>
      </c>
      <c r="P4" s="13"/>
      <c r="Q4" s="71"/>
      <c r="R4" s="13"/>
      <c r="S4" s="2"/>
    </row>
    <row r="5" spans="1:19" ht="20" thickBot="1" x14ac:dyDescent="0.3">
      <c r="A5" s="13" t="s">
        <v>17</v>
      </c>
      <c r="B5" s="125" t="s">
        <v>3</v>
      </c>
      <c r="C5" s="126"/>
      <c r="D5" s="126"/>
      <c r="E5" s="126"/>
      <c r="F5" s="126"/>
      <c r="G5" s="126"/>
      <c r="H5" s="127"/>
      <c r="I5" s="125" t="s">
        <v>2</v>
      </c>
      <c r="J5" s="126"/>
      <c r="K5" s="126"/>
      <c r="L5" s="126"/>
      <c r="M5" s="126"/>
      <c r="N5" s="126"/>
      <c r="O5" s="127"/>
      <c r="P5" s="13"/>
      <c r="Q5" s="13"/>
      <c r="R5" s="13"/>
    </row>
    <row r="6" spans="1:19" x14ac:dyDescent="0.25">
      <c r="A6" s="72">
        <v>1</v>
      </c>
      <c r="B6" s="5">
        <f>$A6*'GWP of methane by scenario'!B$6+(1-$A6)*'GWP of methane by scenario'!B$9</f>
        <v>0</v>
      </c>
      <c r="C6" s="6">
        <f>$A6*'GWP of methane by scenario'!C$6+(1-$A6)*'GWP of methane by scenario'!C$9</f>
        <v>17.435897435897438</v>
      </c>
      <c r="D6" s="6">
        <f>$A6*'GWP of methane by scenario'!D$6+(1-$A6)*'GWP of methane by scenario'!D$9</f>
        <v>35.789473684210535</v>
      </c>
      <c r="E6" s="6">
        <f>$A6*'GWP of methane by scenario'!E$6+(1-$A6)*'GWP of methane by scenario'!E$9</f>
        <v>55.135135135135144</v>
      </c>
      <c r="F6" s="44">
        <f>$A6*'GWP of methane by scenario'!F$6+(1-$A6)*'GWP of methane by scenario'!F$9</f>
        <v>75.555555555555557</v>
      </c>
      <c r="G6" s="31">
        <f>$A6*'GWP of methane by scenario'!G$6+(1-$A6)*'GWP of methane by scenario'!G$9</f>
        <v>97.142857142857139</v>
      </c>
      <c r="H6" s="33">
        <f>$A6*'GWP of methane by scenario'!H$6+(1-$A6)*'GWP of methane by scenario'!H$9</f>
        <v>120</v>
      </c>
      <c r="I6" s="5">
        <f>$A6*'GWP of methane by scenario'!I$6+(1-$A6)*'GWP of methane by scenario'!I$9</f>
        <v>0</v>
      </c>
      <c r="J6" s="6">
        <f>$A6*'GWP of methane by scenario'!J$6+(1-$A6)*'GWP of methane by scenario'!J$9</f>
        <v>44.102564102564109</v>
      </c>
      <c r="K6" s="6">
        <f>$A6*'GWP of methane by scenario'!K$6+(1-$A6)*'GWP of methane by scenario'!K$9</f>
        <v>90.526315789473699</v>
      </c>
      <c r="L6" s="31">
        <f>$A6*'GWP of methane by scenario'!L$6+(1-$A6)*'GWP of methane by scenario'!L$9</f>
        <v>139.45945945945948</v>
      </c>
      <c r="M6" s="31">
        <f>$A6*'GWP of methane by scenario'!M$6+(1-$A6)*'GWP of methane by scenario'!M$9</f>
        <v>191.11111111111111</v>
      </c>
      <c r="N6" s="31">
        <f>$A6*'GWP of methane by scenario'!N$6+(1-$A6)*'GWP of methane by scenario'!N$9</f>
        <v>245.71428571428572</v>
      </c>
      <c r="O6" s="33">
        <f>$A6*'GWP of methane by scenario'!O$6+(1-$A6)*'GWP of methane by scenario'!O$9</f>
        <v>303.52941176470591</v>
      </c>
      <c r="P6" s="65"/>
      <c r="Q6" s="65"/>
      <c r="R6" s="71"/>
      <c r="S6" s="2"/>
    </row>
    <row r="7" spans="1:19" x14ac:dyDescent="0.25">
      <c r="A7" s="72">
        <f>A6-0.05</f>
        <v>0.95</v>
      </c>
      <c r="B7" s="38">
        <f>$A7*'GWP of methane by scenario'!B$6+(1-$A7)*'GWP of methane by scenario'!B$9</f>
        <v>-34.000000000000028</v>
      </c>
      <c r="C7" s="40">
        <f>$A7*'GWP of methane by scenario'!C$6+(1-$A7)*'GWP of methane by scenario'!C$9</f>
        <v>-17.435897435897463</v>
      </c>
      <c r="D7" s="7">
        <f>$A7*'GWP of methane by scenario'!D$6+(1-$A7)*'GWP of methane by scenario'!D$9</f>
        <v>0</v>
      </c>
      <c r="E7" s="7">
        <f>$A7*'GWP of methane by scenario'!E$6+(1-$A7)*'GWP of methane by scenario'!E$9</f>
        <v>18.378378378378358</v>
      </c>
      <c r="F7" s="7">
        <f>$A7*'GWP of methane by scenario'!F$6+(1-$A7)*'GWP of methane by scenario'!F$9</f>
        <v>37.777777777777743</v>
      </c>
      <c r="G7" s="7">
        <f>$A7*'GWP of methane by scenario'!G$6+(1-$A7)*'GWP of methane by scenario'!G$9</f>
        <v>58.285714285714249</v>
      </c>
      <c r="H7" s="34">
        <f>$A7*'GWP of methane by scenario'!H$6+(1-$A7)*'GWP of methane by scenario'!H$9</f>
        <v>79.999999999999972</v>
      </c>
      <c r="I7" s="38">
        <f>$A7*'GWP of methane by scenario'!I$6+(1-$A7)*'GWP of methane by scenario'!I$9</f>
        <v>-86.000000000000071</v>
      </c>
      <c r="J7" s="40">
        <f>$A7*'GWP of methane by scenario'!J$6+(1-$A7)*'GWP of methane by scenario'!J$9</f>
        <v>-44.102564102564166</v>
      </c>
      <c r="K7" s="7">
        <f>$A7*'GWP of methane by scenario'!K$6+(1-$A7)*'GWP of methane by scenario'!K$9</f>
        <v>0</v>
      </c>
      <c r="L7" s="7">
        <f>$A7*'GWP of methane by scenario'!L$6+(1-$A7)*'GWP of methane by scenario'!L$9</f>
        <v>46.486486486486442</v>
      </c>
      <c r="M7" s="56">
        <f>$A7*'GWP of methane by scenario'!M$6+(1-$A7)*'GWP of methane by scenario'!M$9</f>
        <v>95.555555555555472</v>
      </c>
      <c r="N7" s="32">
        <f>$A7*'GWP of methane by scenario'!N$6+(1-$A7)*'GWP of methane by scenario'!N$9</f>
        <v>147.42857142857133</v>
      </c>
      <c r="O7" s="34">
        <f>$A7*'GWP of methane by scenario'!O$6+(1-$A7)*'GWP of methane by scenario'!O$9</f>
        <v>202.35294117647052</v>
      </c>
      <c r="P7" s="65"/>
      <c r="Q7" s="65"/>
      <c r="R7" s="71"/>
      <c r="S7" s="2"/>
    </row>
    <row r="8" spans="1:19" x14ac:dyDescent="0.25">
      <c r="A8" s="72">
        <f t="shared" ref="A8:A26" si="0">A7-0.05</f>
        <v>0.89999999999999991</v>
      </c>
      <c r="B8" s="38">
        <f>$A8*'GWP of methane by scenario'!B$6+(1-$A8)*'GWP of methane by scenario'!B$9</f>
        <v>-68.000000000000057</v>
      </c>
      <c r="C8" s="40">
        <f>$A8*'GWP of methane by scenario'!C$6+(1-$A8)*'GWP of methane by scenario'!C$9</f>
        <v>-52.307692307692363</v>
      </c>
      <c r="D8" s="40">
        <f>$A8*'GWP of methane by scenario'!D$6+(1-$A8)*'GWP of methane by scenario'!D$9</f>
        <v>-35.789473684210591</v>
      </c>
      <c r="E8" s="40">
        <f>$A8*'GWP of methane by scenario'!E$6+(1-$A8)*'GWP of methane by scenario'!E$9</f>
        <v>-18.378378378378429</v>
      </c>
      <c r="F8" s="7">
        <f>$A8*'GWP of methane by scenario'!F$6+(1-$A8)*'GWP of methane by scenario'!F$9</f>
        <v>0</v>
      </c>
      <c r="G8" s="7">
        <f>$A8*'GWP of methane by scenario'!G$6+(1-$A8)*'GWP of methane by scenario'!G$9</f>
        <v>19.42857142857136</v>
      </c>
      <c r="H8" s="8">
        <f>$A8*'GWP of methane by scenario'!H$6+(1-$A8)*'GWP of methane by scenario'!H$9</f>
        <v>39.999999999999929</v>
      </c>
      <c r="I8" s="38">
        <f>$A8*'GWP of methane by scenario'!I$6+(1-$A8)*'GWP of methane by scenario'!I$9</f>
        <v>-172.00000000000014</v>
      </c>
      <c r="J8" s="40">
        <f>$A8*'GWP of methane by scenario'!J$6+(1-$A8)*'GWP of methane by scenario'!J$9</f>
        <v>-132.30769230769243</v>
      </c>
      <c r="K8" s="40">
        <f>$A8*'GWP of methane by scenario'!K$6+(1-$A8)*'GWP of methane by scenario'!K$9</f>
        <v>-90.526315789473827</v>
      </c>
      <c r="L8" s="40">
        <f>$A8*'GWP of methane by scenario'!L$6+(1-$A8)*'GWP of methane by scenario'!L$9</f>
        <v>-46.486486486486626</v>
      </c>
      <c r="M8" s="7">
        <f>$A8*'GWP of methane by scenario'!M$6+(1-$A8)*'GWP of methane by scenario'!M$9</f>
        <v>0</v>
      </c>
      <c r="N8" s="7">
        <f>$A8*'GWP of methane by scenario'!N$6+(1-$A8)*'GWP of methane by scenario'!N$9</f>
        <v>49.142857142856997</v>
      </c>
      <c r="O8" s="57">
        <f>$A8*'GWP of methane by scenario'!O$6+(1-$A8)*'GWP of methane by scenario'!O$9</f>
        <v>101.17647058823513</v>
      </c>
      <c r="P8" s="65"/>
      <c r="Q8" s="65"/>
      <c r="R8" s="71"/>
      <c r="S8" s="2"/>
    </row>
    <row r="9" spans="1:19" x14ac:dyDescent="0.25">
      <c r="A9" s="72">
        <f t="shared" si="0"/>
        <v>0.84999999999999987</v>
      </c>
      <c r="B9" s="38">
        <f>$A9*'GWP of methane by scenario'!B$6+(1-$A9)*'GWP of methane by scenario'!B$9</f>
        <v>-102.00000000000009</v>
      </c>
      <c r="C9" s="40">
        <f>$A9*'GWP of methane by scenario'!C$6+(1-$A9)*'GWP of methane by scenario'!C$9</f>
        <v>-87.179487179487268</v>
      </c>
      <c r="D9" s="40">
        <f>$A9*'GWP of methane by scenario'!D$6+(1-$A9)*'GWP of methane by scenario'!D$9</f>
        <v>-71.578947368421169</v>
      </c>
      <c r="E9" s="40">
        <f>$A9*'GWP of methane by scenario'!E$6+(1-$A9)*'GWP of methane by scenario'!E$9</f>
        <v>-55.135135135135222</v>
      </c>
      <c r="F9" s="40">
        <f>$A9*'GWP of methane by scenario'!F$6+(1-$A9)*'GWP of methane by scenario'!F$9</f>
        <v>-37.777777777777871</v>
      </c>
      <c r="G9" s="40">
        <f>$A9*'GWP of methane by scenario'!G$6+(1-$A9)*'GWP of methane by scenario'!G$9</f>
        <v>-19.42857142857153</v>
      </c>
      <c r="H9" s="8">
        <f>$A9*'GWP of methane by scenario'!H$6+(1-$A9)*'GWP of methane by scenario'!H$9</f>
        <v>0</v>
      </c>
      <c r="I9" s="38">
        <f>$A9*'GWP of methane by scenario'!I$6+(1-$A9)*'GWP of methane by scenario'!I$9</f>
        <v>-258.00000000000023</v>
      </c>
      <c r="J9" s="40">
        <f>$A9*'GWP of methane by scenario'!J$6+(1-$A9)*'GWP of methane by scenario'!J$9</f>
        <v>-220.51282051282072</v>
      </c>
      <c r="K9" s="40">
        <f>$A9*'GWP of methane by scenario'!K$6+(1-$A9)*'GWP of methane by scenario'!K$9</f>
        <v>-181.0526315789476</v>
      </c>
      <c r="L9" s="40">
        <f>$A9*'GWP of methane by scenario'!L$6+(1-$A9)*'GWP of methane by scenario'!L$9</f>
        <v>-139.45945945945971</v>
      </c>
      <c r="M9" s="40">
        <f>$A9*'GWP of methane by scenario'!M$6+(1-$A9)*'GWP of methane by scenario'!M$9</f>
        <v>-95.555555555555799</v>
      </c>
      <c r="N9" s="40">
        <f>$A9*'GWP of methane by scenario'!N$6+(1-$A9)*'GWP of methane by scenario'!N$9</f>
        <v>-49.142857142857395</v>
      </c>
      <c r="O9" s="8">
        <f>$A9*'GWP of methane by scenario'!O$6+(1-$A9)*'GWP of methane by scenario'!O$9</f>
        <v>0</v>
      </c>
      <c r="P9" s="65"/>
      <c r="Q9" s="65"/>
      <c r="R9" s="71"/>
      <c r="S9" s="2"/>
    </row>
    <row r="10" spans="1:19" x14ac:dyDescent="0.25">
      <c r="A10" s="72">
        <f t="shared" si="0"/>
        <v>0.79999999999999982</v>
      </c>
      <c r="B10" s="38">
        <f>$A10*'GWP of methane by scenario'!B$6+(1-$A10)*'GWP of methane by scenario'!B$9</f>
        <v>-136.00000000000011</v>
      </c>
      <c r="C10" s="40">
        <f>$A10*'GWP of methane by scenario'!C$6+(1-$A10)*'GWP of methane by scenario'!C$9</f>
        <v>-122.05128205128217</v>
      </c>
      <c r="D10" s="40">
        <f>$A10*'GWP of methane by scenario'!D$6+(1-$A10)*'GWP of methane by scenario'!D$9</f>
        <v>-107.36842105263172</v>
      </c>
      <c r="E10" s="40">
        <f>$A10*'GWP of methane by scenario'!E$6+(1-$A10)*'GWP of methane by scenario'!E$9</f>
        <v>-91.891891891892016</v>
      </c>
      <c r="F10" s="40">
        <f>$A10*'GWP of methane by scenario'!F$6+(1-$A10)*'GWP of methane by scenario'!F$9</f>
        <v>-75.555555555555685</v>
      </c>
      <c r="G10" s="40">
        <f>$A10*'GWP of methane by scenario'!G$6+(1-$A10)*'GWP of methane by scenario'!G$9</f>
        <v>-58.28571428571442</v>
      </c>
      <c r="H10" s="42">
        <f>$A10*'GWP of methane by scenario'!H$6+(1-$A10)*'GWP of methane by scenario'!H$9</f>
        <v>-40.000000000000142</v>
      </c>
      <c r="I10" s="38">
        <f>$A10*'GWP of methane by scenario'!I$6+(1-$A10)*'GWP of methane by scenario'!I$9</f>
        <v>-344.00000000000028</v>
      </c>
      <c r="J10" s="40">
        <f>$A10*'GWP of methane by scenario'!J$6+(1-$A10)*'GWP of methane by scenario'!J$9</f>
        <v>-308.71794871794901</v>
      </c>
      <c r="K10" s="40">
        <f>$A10*'GWP of methane by scenario'!K$6+(1-$A10)*'GWP of methane by scenario'!K$9</f>
        <v>-271.57894736842132</v>
      </c>
      <c r="L10" s="40">
        <f>$A10*'GWP of methane by scenario'!L$6+(1-$A10)*'GWP of methane by scenario'!L$9</f>
        <v>-232.43243243243273</v>
      </c>
      <c r="M10" s="40">
        <f>$A10*'GWP of methane by scenario'!M$6+(1-$A10)*'GWP of methane by scenario'!M$9</f>
        <v>-191.11111111111143</v>
      </c>
      <c r="N10" s="40">
        <f>$A10*'GWP of methane by scenario'!N$6+(1-$A10)*'GWP of methane by scenario'!N$9</f>
        <v>-147.42857142857176</v>
      </c>
      <c r="O10" s="42">
        <f>$A10*'GWP of methane by scenario'!O$6+(1-$A10)*'GWP of methane by scenario'!O$9</f>
        <v>-101.17647058823567</v>
      </c>
      <c r="P10" s="65"/>
      <c r="Q10" s="65"/>
      <c r="R10" s="71"/>
      <c r="S10" s="2"/>
    </row>
    <row r="11" spans="1:19" x14ac:dyDescent="0.25">
      <c r="A11" s="72">
        <f t="shared" si="0"/>
        <v>0.74999999999999978</v>
      </c>
      <c r="B11" s="38">
        <f>$A11*'GWP of methane by scenario'!B$6+(1-$A11)*'GWP of methane by scenario'!B$9</f>
        <v>-170.00000000000014</v>
      </c>
      <c r="C11" s="40">
        <f>$A11*'GWP of methane by scenario'!C$6+(1-$A11)*'GWP of methane by scenario'!C$9</f>
        <v>-156.92307692307708</v>
      </c>
      <c r="D11" s="40">
        <f>$A11*'GWP of methane by scenario'!D$6+(1-$A11)*'GWP of methane by scenario'!D$9</f>
        <v>-143.15789473684228</v>
      </c>
      <c r="E11" s="40">
        <f>$A11*'GWP of methane by scenario'!E$6+(1-$A11)*'GWP of methane by scenario'!E$9</f>
        <v>-128.64864864864879</v>
      </c>
      <c r="F11" s="40">
        <f>$A11*'GWP of methane by scenario'!F$6+(1-$A11)*'GWP of methane by scenario'!F$9</f>
        <v>-113.33333333333348</v>
      </c>
      <c r="G11" s="40">
        <f>$A11*'GWP of methane by scenario'!G$6+(1-$A11)*'GWP of methane by scenario'!G$9</f>
        <v>-97.142857142857309</v>
      </c>
      <c r="H11" s="42">
        <f>$A11*'GWP of methane by scenario'!H$6+(1-$A11)*'GWP of methane by scenario'!H$9</f>
        <v>-80.000000000000171</v>
      </c>
      <c r="I11" s="38">
        <f>$A11*'GWP of methane by scenario'!I$6+(1-$A11)*'GWP of methane by scenario'!I$9</f>
        <v>-430.0000000000004</v>
      </c>
      <c r="J11" s="40">
        <f>$A11*'GWP of methane by scenario'!J$6+(1-$A11)*'GWP of methane by scenario'!J$9</f>
        <v>-396.9230769230773</v>
      </c>
      <c r="K11" s="40">
        <f>$A11*'GWP of methane by scenario'!K$6+(1-$A11)*'GWP of methane by scenario'!K$9</f>
        <v>-362.10526315789514</v>
      </c>
      <c r="L11" s="40">
        <f>$A11*'GWP of methane by scenario'!L$6+(1-$A11)*'GWP of methane by scenario'!L$9</f>
        <v>-325.40540540540582</v>
      </c>
      <c r="M11" s="40">
        <f>$A11*'GWP of methane by scenario'!M$6+(1-$A11)*'GWP of methane by scenario'!M$9</f>
        <v>-286.66666666666708</v>
      </c>
      <c r="N11" s="40">
        <f>$A11*'GWP of methane by scenario'!N$6+(1-$A11)*'GWP of methane by scenario'!N$9</f>
        <v>-245.71428571428615</v>
      </c>
      <c r="O11" s="42">
        <f>$A11*'GWP of methane by scenario'!O$6+(1-$A11)*'GWP of methane by scenario'!O$9</f>
        <v>-202.35294117647109</v>
      </c>
      <c r="P11" s="65"/>
      <c r="Q11" s="65"/>
      <c r="R11" s="71"/>
      <c r="S11" s="2"/>
    </row>
    <row r="12" spans="1:19" x14ac:dyDescent="0.25">
      <c r="A12" s="72">
        <f t="shared" si="0"/>
        <v>0.69999999999999973</v>
      </c>
      <c r="B12" s="38">
        <f>$A12*'GWP of methane by scenario'!B$6+(1-$A12)*'GWP of methane by scenario'!B$9</f>
        <v>-204.00000000000017</v>
      </c>
      <c r="C12" s="40">
        <f>$A12*'GWP of methane by scenario'!C$6+(1-$A12)*'GWP of methane by scenario'!C$9</f>
        <v>-191.79487179487197</v>
      </c>
      <c r="D12" s="40">
        <f>$A12*'GWP of methane by scenario'!D$6+(1-$A12)*'GWP of methane by scenario'!D$9</f>
        <v>-178.94736842105286</v>
      </c>
      <c r="E12" s="40">
        <f>$A12*'GWP of methane by scenario'!E$6+(1-$A12)*'GWP of methane by scenario'!E$9</f>
        <v>-165.40540540540559</v>
      </c>
      <c r="F12" s="40">
        <f>$A12*'GWP of methane by scenario'!F$6+(1-$A12)*'GWP of methane by scenario'!F$9</f>
        <v>-151.11111111111131</v>
      </c>
      <c r="G12" s="40">
        <f>$A12*'GWP of methane by scenario'!G$6+(1-$A12)*'GWP of methane by scenario'!G$9</f>
        <v>-136.0000000000002</v>
      </c>
      <c r="H12" s="42">
        <f>$A12*'GWP of methane by scenario'!H$6+(1-$A12)*'GWP of methane by scenario'!H$9</f>
        <v>-120.0000000000002</v>
      </c>
      <c r="I12" s="38">
        <f>$A12*'GWP of methane by scenario'!I$6+(1-$A12)*'GWP of methane by scenario'!I$9</f>
        <v>-516.00000000000045</v>
      </c>
      <c r="J12" s="40">
        <f>$A12*'GWP of methane by scenario'!J$6+(1-$A12)*'GWP of methane by scenario'!J$9</f>
        <v>-485.12820512820559</v>
      </c>
      <c r="K12" s="40">
        <f>$A12*'GWP of methane by scenario'!K$6+(1-$A12)*'GWP of methane by scenario'!K$9</f>
        <v>-452.63157894736889</v>
      </c>
      <c r="L12" s="40">
        <f>$A12*'GWP of methane by scenario'!L$6+(1-$A12)*'GWP of methane by scenario'!L$9</f>
        <v>-418.37837837837884</v>
      </c>
      <c r="M12" s="40">
        <f>$A12*'GWP of methane by scenario'!M$6+(1-$A12)*'GWP of methane by scenario'!M$9</f>
        <v>-382.22222222222274</v>
      </c>
      <c r="N12" s="40">
        <f>$A12*'GWP of methane by scenario'!N$6+(1-$A12)*'GWP of methane by scenario'!N$9</f>
        <v>-344.00000000000051</v>
      </c>
      <c r="O12" s="42">
        <f>$A12*'GWP of methane by scenario'!O$6+(1-$A12)*'GWP of methane by scenario'!O$9</f>
        <v>-303.52941176470654</v>
      </c>
      <c r="P12" s="65"/>
      <c r="Q12" s="65"/>
      <c r="R12" s="71"/>
      <c r="S12" s="2"/>
    </row>
    <row r="13" spans="1:19" x14ac:dyDescent="0.25">
      <c r="A13" s="72">
        <f t="shared" si="0"/>
        <v>0.64999999999999969</v>
      </c>
      <c r="B13" s="38">
        <f>$A13*'GWP of methane by scenario'!B$6+(1-$A13)*'GWP of methane by scenario'!B$9</f>
        <v>-238.0000000000002</v>
      </c>
      <c r="C13" s="40">
        <f>$A13*'GWP of methane by scenario'!C$6+(1-$A13)*'GWP of methane by scenario'!C$9</f>
        <v>-226.66666666666686</v>
      </c>
      <c r="D13" s="40">
        <f>$A13*'GWP of methane by scenario'!D$6+(1-$A13)*'GWP of methane by scenario'!D$9</f>
        <v>-214.73684210526341</v>
      </c>
      <c r="E13" s="40">
        <f>$A13*'GWP of methane by scenario'!E$6+(1-$A13)*'GWP of methane by scenario'!E$9</f>
        <v>-202.16216216216236</v>
      </c>
      <c r="F13" s="40">
        <f>$A13*'GWP of methane by scenario'!F$6+(1-$A13)*'GWP of methane by scenario'!F$9</f>
        <v>-188.88888888888911</v>
      </c>
      <c r="G13" s="40">
        <f>$A13*'GWP of methane by scenario'!G$6+(1-$A13)*'GWP of methane by scenario'!G$9</f>
        <v>-174.85714285714309</v>
      </c>
      <c r="H13" s="42">
        <f>$A13*'GWP of methane by scenario'!H$6+(1-$A13)*'GWP of methane by scenario'!H$9</f>
        <v>-160.00000000000023</v>
      </c>
      <c r="I13" s="38">
        <f>$A13*'GWP of methane by scenario'!I$6+(1-$A13)*'GWP of methane by scenario'!I$9</f>
        <v>-602.00000000000057</v>
      </c>
      <c r="J13" s="40">
        <f>$A13*'GWP of methane by scenario'!J$6+(1-$A13)*'GWP of methane by scenario'!J$9</f>
        <v>-573.33333333333394</v>
      </c>
      <c r="K13" s="40">
        <f>$A13*'GWP of methane by scenario'!K$6+(1-$A13)*'GWP of methane by scenario'!K$9</f>
        <v>-543.15789473684265</v>
      </c>
      <c r="L13" s="40">
        <f>$A13*'GWP of methane by scenario'!L$6+(1-$A13)*'GWP of methane by scenario'!L$9</f>
        <v>-511.35135135135192</v>
      </c>
      <c r="M13" s="40">
        <f>$A13*'GWP of methane by scenario'!M$6+(1-$A13)*'GWP of methane by scenario'!M$9</f>
        <v>-477.7777777777784</v>
      </c>
      <c r="N13" s="40">
        <f>$A13*'GWP of methane by scenario'!N$6+(1-$A13)*'GWP of methane by scenario'!N$9</f>
        <v>-442.2857142857149</v>
      </c>
      <c r="O13" s="42">
        <f>$A13*'GWP of methane by scenario'!O$6+(1-$A13)*'GWP of methane by scenario'!O$9</f>
        <v>-404.70588235294179</v>
      </c>
      <c r="P13" s="65"/>
      <c r="Q13" s="65"/>
      <c r="R13" s="71"/>
      <c r="S13" s="2"/>
    </row>
    <row r="14" spans="1:19" x14ac:dyDescent="0.25">
      <c r="A14" s="72">
        <f t="shared" si="0"/>
        <v>0.59999999999999964</v>
      </c>
      <c r="B14" s="38">
        <f>$A14*'GWP of methane by scenario'!B$6+(1-$A14)*'GWP of methane by scenario'!B$9</f>
        <v>-272.00000000000023</v>
      </c>
      <c r="C14" s="40">
        <f>$A14*'GWP of methane by scenario'!C$6+(1-$A14)*'GWP of methane by scenario'!C$9</f>
        <v>-261.53846153846177</v>
      </c>
      <c r="D14" s="40">
        <f>$A14*'GWP of methane by scenario'!D$6+(1-$A14)*'GWP of methane by scenario'!D$9</f>
        <v>-250.52631578947398</v>
      </c>
      <c r="E14" s="40">
        <f>$A14*'GWP of methane by scenario'!E$6+(1-$A14)*'GWP of methane by scenario'!E$9</f>
        <v>-238.91891891891916</v>
      </c>
      <c r="F14" s="40">
        <f>$A14*'GWP of methane by scenario'!F$6+(1-$A14)*'GWP of methane by scenario'!F$9</f>
        <v>-226.66666666666691</v>
      </c>
      <c r="G14" s="40">
        <f>$A14*'GWP of methane by scenario'!G$6+(1-$A14)*'GWP of methane by scenario'!G$9</f>
        <v>-213.71428571428598</v>
      </c>
      <c r="H14" s="42">
        <f>$A14*'GWP of methane by scenario'!H$6+(1-$A14)*'GWP of methane by scenario'!H$9</f>
        <v>-200.00000000000028</v>
      </c>
      <c r="I14" s="38">
        <f>$A14*'GWP of methane by scenario'!I$6+(1-$A14)*'GWP of methane by scenario'!I$9</f>
        <v>-688.00000000000057</v>
      </c>
      <c r="J14" s="40">
        <f>$A14*'GWP of methane by scenario'!J$6+(1-$A14)*'GWP of methane by scenario'!J$9</f>
        <v>-661.53846153846212</v>
      </c>
      <c r="K14" s="40">
        <f>$A14*'GWP of methane by scenario'!K$6+(1-$A14)*'GWP of methane by scenario'!K$9</f>
        <v>-633.68421052631641</v>
      </c>
      <c r="L14" s="40">
        <f>$A14*'GWP of methane by scenario'!L$6+(1-$A14)*'GWP of methane by scenario'!L$9</f>
        <v>-604.32432432432495</v>
      </c>
      <c r="M14" s="40">
        <f>$A14*'GWP of methane by scenario'!M$6+(1-$A14)*'GWP of methane by scenario'!M$9</f>
        <v>-573.33333333333394</v>
      </c>
      <c r="N14" s="40">
        <f>$A14*'GWP of methane by scenario'!N$6+(1-$A14)*'GWP of methane by scenario'!N$9</f>
        <v>-540.57142857142924</v>
      </c>
      <c r="O14" s="42">
        <f>$A14*'GWP of methane by scenario'!O$6+(1-$A14)*'GWP of methane by scenario'!O$9</f>
        <v>-505.88235294117726</v>
      </c>
      <c r="P14" s="65"/>
      <c r="Q14" s="65"/>
      <c r="R14" s="71"/>
      <c r="S14" s="2"/>
    </row>
    <row r="15" spans="1:19" x14ac:dyDescent="0.25">
      <c r="A15" s="72">
        <f t="shared" si="0"/>
        <v>0.5499999999999996</v>
      </c>
      <c r="B15" s="38">
        <f>$A15*'GWP of methane by scenario'!B$6+(1-$A15)*'GWP of methane by scenario'!B$9</f>
        <v>-306.00000000000028</v>
      </c>
      <c r="C15" s="40">
        <f>$A15*'GWP of methane by scenario'!C$6+(1-$A15)*'GWP of methane by scenario'!C$9</f>
        <v>-296.41025641025669</v>
      </c>
      <c r="D15" s="40">
        <f>$A15*'GWP of methane by scenario'!D$6+(1-$A15)*'GWP of methane by scenario'!D$9</f>
        <v>-286.31578947368456</v>
      </c>
      <c r="E15" s="40">
        <f>$A15*'GWP of methane by scenario'!E$6+(1-$A15)*'GWP of methane by scenario'!E$9</f>
        <v>-275.67567567567596</v>
      </c>
      <c r="F15" s="40">
        <f>$A15*'GWP of methane by scenario'!F$6+(1-$A15)*'GWP of methane by scenario'!F$9</f>
        <v>-264.44444444444474</v>
      </c>
      <c r="G15" s="40">
        <f>$A15*'GWP of methane by scenario'!G$6+(1-$A15)*'GWP of methane by scenario'!G$9</f>
        <v>-252.5714285714289</v>
      </c>
      <c r="H15" s="42">
        <f>$A15*'GWP of methane by scenario'!H$6+(1-$A15)*'GWP of methane by scenario'!H$9</f>
        <v>-240.00000000000034</v>
      </c>
      <c r="I15" s="38">
        <f>$A15*'GWP of methane by scenario'!I$6+(1-$A15)*'GWP of methane by scenario'!I$9</f>
        <v>-774.00000000000068</v>
      </c>
      <c r="J15" s="40">
        <f>$A15*'GWP of methane by scenario'!J$6+(1-$A15)*'GWP of methane by scenario'!J$9</f>
        <v>-749.74358974359041</v>
      </c>
      <c r="K15" s="40">
        <f>$A15*'GWP of methane by scenario'!K$6+(1-$A15)*'GWP of methane by scenario'!K$9</f>
        <v>-724.21052631579016</v>
      </c>
      <c r="L15" s="40">
        <f>$A15*'GWP of methane by scenario'!L$6+(1-$A15)*'GWP of methane by scenario'!L$9</f>
        <v>-697.29729729729797</v>
      </c>
      <c r="M15" s="40">
        <f>$A15*'GWP of methane by scenario'!M$6+(1-$A15)*'GWP of methane by scenario'!M$9</f>
        <v>-668.8888888888896</v>
      </c>
      <c r="N15" s="40">
        <f>$A15*'GWP of methane by scenario'!N$6+(1-$A15)*'GWP of methane by scenario'!N$9</f>
        <v>-638.85714285714357</v>
      </c>
      <c r="O15" s="42">
        <f>$A15*'GWP of methane by scenario'!O$6+(1-$A15)*'GWP of methane by scenario'!O$9</f>
        <v>-607.05882352941262</v>
      </c>
      <c r="P15" s="65"/>
      <c r="Q15" s="65"/>
      <c r="R15" s="71"/>
      <c r="S15" s="2"/>
    </row>
    <row r="16" spans="1:19" x14ac:dyDescent="0.25">
      <c r="A16" s="72">
        <f t="shared" si="0"/>
        <v>0.49999999999999961</v>
      </c>
      <c r="B16" s="38">
        <f>$A16*'GWP of methane by scenario'!B$6+(1-$A16)*'GWP of methane by scenario'!B$9</f>
        <v>-340.00000000000028</v>
      </c>
      <c r="C16" s="40">
        <f>$A16*'GWP of methane by scenario'!C$6+(1-$A16)*'GWP of methane by scenario'!C$9</f>
        <v>-331.28205128205155</v>
      </c>
      <c r="D16" s="40">
        <f>$A16*'GWP of methane by scenario'!D$6+(1-$A16)*'GWP of methane by scenario'!D$9</f>
        <v>-322.10526315789508</v>
      </c>
      <c r="E16" s="40">
        <f>$A16*'GWP of methane by scenario'!E$6+(1-$A16)*'GWP of methane by scenario'!E$9</f>
        <v>-312.43243243243273</v>
      </c>
      <c r="F16" s="40">
        <f>$A16*'GWP of methane by scenario'!F$6+(1-$A16)*'GWP of methane by scenario'!F$9</f>
        <v>-302.22222222222251</v>
      </c>
      <c r="G16" s="40">
        <f>$A16*'GWP of methane by scenario'!G$6+(1-$A16)*'GWP of methane by scenario'!G$9</f>
        <v>-291.42857142857173</v>
      </c>
      <c r="H16" s="42">
        <f>$A16*'GWP of methane by scenario'!H$6+(1-$A16)*'GWP of methane by scenario'!H$9</f>
        <v>-280.00000000000034</v>
      </c>
      <c r="I16" s="38">
        <f>$A16*'GWP of methane by scenario'!I$6+(1-$A16)*'GWP of methane by scenario'!I$9</f>
        <v>-860.0000000000008</v>
      </c>
      <c r="J16" s="40">
        <f>$A16*'GWP of methane by scenario'!J$6+(1-$A16)*'GWP of methane by scenario'!J$9</f>
        <v>-837.94871794871881</v>
      </c>
      <c r="K16" s="40">
        <f>$A16*'GWP of methane by scenario'!K$6+(1-$A16)*'GWP of methane by scenario'!K$9</f>
        <v>-814.73684210526403</v>
      </c>
      <c r="L16" s="40">
        <f>$A16*'GWP of methane by scenario'!L$6+(1-$A16)*'GWP of methane by scenario'!L$9</f>
        <v>-790.27027027027111</v>
      </c>
      <c r="M16" s="40">
        <f>$A16*'GWP of methane by scenario'!M$6+(1-$A16)*'GWP of methane by scenario'!M$9</f>
        <v>-764.44444444444525</v>
      </c>
      <c r="N16" s="40">
        <f>$A16*'GWP of methane by scenario'!N$6+(1-$A16)*'GWP of methane by scenario'!N$9</f>
        <v>-737.14285714285802</v>
      </c>
      <c r="O16" s="42">
        <f>$A16*'GWP of methane by scenario'!O$6+(1-$A16)*'GWP of methane by scenario'!O$9</f>
        <v>-708.2352941176481</v>
      </c>
      <c r="P16" s="65"/>
      <c r="Q16" s="65"/>
      <c r="R16" s="71"/>
      <c r="S16" s="2"/>
    </row>
    <row r="17" spans="1:19" x14ac:dyDescent="0.25">
      <c r="A17" s="72">
        <f t="shared" si="0"/>
        <v>0.44999999999999962</v>
      </c>
      <c r="B17" s="38">
        <f>$A17*'GWP of methane by scenario'!B$6+(1-$A17)*'GWP of methane by scenario'!B$9</f>
        <v>-374.00000000000028</v>
      </c>
      <c r="C17" s="40">
        <f>$A17*'GWP of methane by scenario'!C$6+(1-$A17)*'GWP of methane by scenario'!C$9</f>
        <v>-366.15384615384642</v>
      </c>
      <c r="D17" s="40">
        <f>$A17*'GWP of methane by scenario'!D$6+(1-$A17)*'GWP of methane by scenario'!D$9</f>
        <v>-357.8947368421056</v>
      </c>
      <c r="E17" s="40">
        <f>$A17*'GWP of methane by scenario'!E$6+(1-$A17)*'GWP of methane by scenario'!E$9</f>
        <v>-349.18918918918951</v>
      </c>
      <c r="F17" s="40">
        <f>$A17*'GWP of methane by scenario'!F$6+(1-$A17)*'GWP of methane by scenario'!F$9</f>
        <v>-340.00000000000034</v>
      </c>
      <c r="G17" s="40">
        <f>$A17*'GWP of methane by scenario'!G$6+(1-$A17)*'GWP of methane by scenario'!G$9</f>
        <v>-330.28571428571462</v>
      </c>
      <c r="H17" s="42">
        <f>$A17*'GWP of methane by scenario'!H$6+(1-$A17)*'GWP of methane by scenario'!H$9</f>
        <v>-320.00000000000034</v>
      </c>
      <c r="I17" s="38">
        <f>$A17*'GWP of methane by scenario'!I$6+(1-$A17)*'GWP of methane by scenario'!I$9</f>
        <v>-946.00000000000068</v>
      </c>
      <c r="J17" s="40">
        <f>$A17*'GWP of methane by scenario'!J$6+(1-$A17)*'GWP of methane by scenario'!J$9</f>
        <v>-926.15384615384687</v>
      </c>
      <c r="K17" s="40">
        <f>$A17*'GWP of methane by scenario'!K$6+(1-$A17)*'GWP of methane by scenario'!K$9</f>
        <v>-905.26315789473756</v>
      </c>
      <c r="L17" s="40">
        <f>$A17*'GWP of methane by scenario'!L$6+(1-$A17)*'GWP of methane by scenario'!L$9</f>
        <v>-883.24324324324402</v>
      </c>
      <c r="M17" s="40">
        <f>$A17*'GWP of methane by scenario'!M$6+(1-$A17)*'GWP of methane by scenario'!M$9</f>
        <v>-860.0000000000008</v>
      </c>
      <c r="N17" s="40">
        <f>$A17*'GWP of methane by scenario'!N$6+(1-$A17)*'GWP of methane by scenario'!N$9</f>
        <v>-835.42857142857224</v>
      </c>
      <c r="O17" s="42">
        <f>$A17*'GWP of methane by scenario'!O$6+(1-$A17)*'GWP of methane by scenario'!O$9</f>
        <v>-809.41176470588323</v>
      </c>
      <c r="P17" s="65"/>
      <c r="Q17" s="65"/>
      <c r="R17" s="71"/>
      <c r="S17" s="2"/>
    </row>
    <row r="18" spans="1:19" x14ac:dyDescent="0.25">
      <c r="A18" s="72">
        <f t="shared" si="0"/>
        <v>0.39999999999999963</v>
      </c>
      <c r="B18" s="38">
        <f>$A18*'GWP of methane by scenario'!B$6+(1-$A18)*'GWP of methane by scenario'!B$9</f>
        <v>-408.00000000000023</v>
      </c>
      <c r="C18" s="40">
        <f>$A18*'GWP of methane by scenario'!C$6+(1-$A18)*'GWP of methane by scenario'!C$9</f>
        <v>-401.02564102564128</v>
      </c>
      <c r="D18" s="40">
        <f>$A18*'GWP of methane by scenario'!D$6+(1-$A18)*'GWP of methane by scenario'!D$9</f>
        <v>-393.68421052631606</v>
      </c>
      <c r="E18" s="40">
        <f>$A18*'GWP of methane by scenario'!E$6+(1-$A18)*'GWP of methane by scenario'!E$9</f>
        <v>-385.94594594594616</v>
      </c>
      <c r="F18" s="40">
        <f>$A18*'GWP of methane by scenario'!F$6+(1-$A18)*'GWP of methane by scenario'!F$9</f>
        <v>-377.77777777777806</v>
      </c>
      <c r="G18" s="40">
        <f>$A18*'GWP of methane by scenario'!G$6+(1-$A18)*'GWP of methane by scenario'!G$9</f>
        <v>-369.14285714285739</v>
      </c>
      <c r="H18" s="42">
        <f>$A18*'GWP of methane by scenario'!H$6+(1-$A18)*'GWP of methane by scenario'!H$9</f>
        <v>-360.00000000000028</v>
      </c>
      <c r="I18" s="38">
        <f>$A18*'GWP of methane by scenario'!I$6+(1-$A18)*'GWP of methane by scenario'!I$9</f>
        <v>-1032.0000000000005</v>
      </c>
      <c r="J18" s="40">
        <f>$A18*'GWP of methane by scenario'!J$6+(1-$A18)*'GWP of methane by scenario'!J$9</f>
        <v>-1014.3589743589748</v>
      </c>
      <c r="K18" s="40">
        <f>$A18*'GWP of methane by scenario'!K$6+(1-$A18)*'GWP of methane by scenario'!K$9</f>
        <v>-995.78947368421098</v>
      </c>
      <c r="L18" s="40">
        <f>$A18*'GWP of methane by scenario'!L$6+(1-$A18)*'GWP of methane by scenario'!L$9</f>
        <v>-976.21621621621671</v>
      </c>
      <c r="M18" s="40">
        <f>$A18*'GWP of methane by scenario'!M$6+(1-$A18)*'GWP of methane by scenario'!M$9</f>
        <v>-955.55555555555611</v>
      </c>
      <c r="N18" s="40">
        <f>$A18*'GWP of methane by scenario'!N$6+(1-$A18)*'GWP of methane by scenario'!N$9</f>
        <v>-933.71428571428623</v>
      </c>
      <c r="O18" s="42">
        <f>$A18*'GWP of methane by scenario'!O$6+(1-$A18)*'GWP of methane by scenario'!O$9</f>
        <v>-910.58823529411848</v>
      </c>
      <c r="P18" s="65"/>
      <c r="Q18" s="65"/>
      <c r="R18" s="71"/>
      <c r="S18" s="2"/>
    </row>
    <row r="19" spans="1:19" x14ac:dyDescent="0.25">
      <c r="A19" s="72">
        <f t="shared" si="0"/>
        <v>0.34999999999999964</v>
      </c>
      <c r="B19" s="38">
        <f>$A19*'GWP of methane by scenario'!B$6+(1-$A19)*'GWP of methane by scenario'!B$9</f>
        <v>-442.00000000000023</v>
      </c>
      <c r="C19" s="40">
        <f>$A19*'GWP of methane by scenario'!C$6+(1-$A19)*'GWP of methane by scenario'!C$9</f>
        <v>-435.89743589743614</v>
      </c>
      <c r="D19" s="40">
        <f>$A19*'GWP of methane by scenario'!D$6+(1-$A19)*'GWP of methane by scenario'!D$9</f>
        <v>-429.47368421052664</v>
      </c>
      <c r="E19" s="40">
        <f>$A19*'GWP of methane by scenario'!E$6+(1-$A19)*'GWP of methane by scenario'!E$9</f>
        <v>-422.70270270270294</v>
      </c>
      <c r="F19" s="40">
        <f>$A19*'GWP of methane by scenario'!F$6+(1-$A19)*'GWP of methane by scenario'!F$9</f>
        <v>-415.55555555555583</v>
      </c>
      <c r="G19" s="40">
        <f>$A19*'GWP of methane by scenario'!G$6+(1-$A19)*'GWP of methane by scenario'!G$9</f>
        <v>-408.00000000000028</v>
      </c>
      <c r="H19" s="42">
        <f>$A19*'GWP of methane by scenario'!H$6+(1-$A19)*'GWP of methane by scenario'!H$9</f>
        <v>-400.00000000000028</v>
      </c>
      <c r="I19" s="38">
        <f>$A19*'GWP of methane by scenario'!I$6+(1-$A19)*'GWP of methane by scenario'!I$9</f>
        <v>-1118.0000000000007</v>
      </c>
      <c r="J19" s="40">
        <f>$A19*'GWP of methane by scenario'!J$6+(1-$A19)*'GWP of methane by scenario'!J$9</f>
        <v>-1102.5641025641032</v>
      </c>
      <c r="K19" s="40">
        <f>$A19*'GWP of methane by scenario'!K$6+(1-$A19)*'GWP of methane by scenario'!K$9</f>
        <v>-1086.3157894736848</v>
      </c>
      <c r="L19" s="40">
        <f>$A19*'GWP of methane by scenario'!L$6+(1-$A19)*'GWP of methane by scenario'!L$9</f>
        <v>-1069.1891891891898</v>
      </c>
      <c r="M19" s="40">
        <f>$A19*'GWP of methane by scenario'!M$6+(1-$A19)*'GWP of methane by scenario'!M$9</f>
        <v>-1051.1111111111118</v>
      </c>
      <c r="N19" s="40">
        <f>$A19*'GWP of methane by scenario'!N$6+(1-$A19)*'GWP of methane by scenario'!N$9</f>
        <v>-1032.0000000000007</v>
      </c>
      <c r="O19" s="42">
        <f>$A19*'GWP of methane by scenario'!O$6+(1-$A19)*'GWP of methane by scenario'!O$9</f>
        <v>-1011.7647058823537</v>
      </c>
      <c r="P19" s="65"/>
      <c r="Q19" s="65"/>
      <c r="R19" s="71"/>
      <c r="S19" s="2"/>
    </row>
    <row r="20" spans="1:19" x14ac:dyDescent="0.25">
      <c r="A20" s="72">
        <f t="shared" si="0"/>
        <v>0.29999999999999966</v>
      </c>
      <c r="B20" s="38">
        <f>$A20*'GWP of methane by scenario'!B$6+(1-$A20)*'GWP of methane by scenario'!B$9</f>
        <v>-476.00000000000028</v>
      </c>
      <c r="C20" s="40">
        <f>$A20*'GWP of methane by scenario'!C$6+(1-$A20)*'GWP of methane by scenario'!C$9</f>
        <v>-470.76923076923106</v>
      </c>
      <c r="D20" s="40">
        <f>$A20*'GWP of methane by scenario'!D$6+(1-$A20)*'GWP of methane by scenario'!D$9</f>
        <v>-465.26315789473722</v>
      </c>
      <c r="E20" s="40">
        <f>$A20*'GWP of methane by scenario'!E$6+(1-$A20)*'GWP of methane by scenario'!E$9</f>
        <v>-459.45945945945977</v>
      </c>
      <c r="F20" s="40">
        <f>$A20*'GWP of methane by scenario'!F$6+(1-$A20)*'GWP of methane by scenario'!F$9</f>
        <v>-453.33333333333366</v>
      </c>
      <c r="G20" s="40">
        <f>$A20*'GWP of methane by scenario'!G$6+(1-$A20)*'GWP of methane by scenario'!G$9</f>
        <v>-446.85714285714317</v>
      </c>
      <c r="H20" s="42">
        <f>$A20*'GWP of methane by scenario'!H$6+(1-$A20)*'GWP of methane by scenario'!H$9</f>
        <v>-440.00000000000034</v>
      </c>
      <c r="I20" s="38">
        <f>$A20*'GWP of methane by scenario'!I$6+(1-$A20)*'GWP of methane by scenario'!I$9</f>
        <v>-1204.0000000000007</v>
      </c>
      <c r="J20" s="40">
        <f>$A20*'GWP of methane by scenario'!J$6+(1-$A20)*'GWP of methane by scenario'!J$9</f>
        <v>-1190.7692307692314</v>
      </c>
      <c r="K20" s="40">
        <f>$A20*'GWP of methane by scenario'!K$6+(1-$A20)*'GWP of methane by scenario'!K$9</f>
        <v>-1176.8421052631586</v>
      </c>
      <c r="L20" s="40">
        <f>$A20*'GWP of methane by scenario'!L$6+(1-$A20)*'GWP of methane by scenario'!L$9</f>
        <v>-1162.162162162163</v>
      </c>
      <c r="M20" s="40">
        <f>$A20*'GWP of methane by scenario'!M$6+(1-$A20)*'GWP of methane by scenario'!M$9</f>
        <v>-1146.6666666666674</v>
      </c>
      <c r="N20" s="40">
        <f>$A20*'GWP of methane by scenario'!N$6+(1-$A20)*'GWP of methane by scenario'!N$9</f>
        <v>-1130.2857142857151</v>
      </c>
      <c r="O20" s="42">
        <f>$A20*'GWP of methane by scenario'!O$6+(1-$A20)*'GWP of methane by scenario'!O$9</f>
        <v>-1112.9411764705892</v>
      </c>
      <c r="P20" s="65"/>
      <c r="Q20" s="65"/>
      <c r="R20" s="71"/>
      <c r="S20" s="2"/>
    </row>
    <row r="21" spans="1:19" x14ac:dyDescent="0.25">
      <c r="A21" s="72">
        <f t="shared" si="0"/>
        <v>0.24999999999999967</v>
      </c>
      <c r="B21" s="38">
        <f>$A21*'GWP of methane by scenario'!B$6+(1-$A21)*'GWP of methane by scenario'!B$9</f>
        <v>-510.00000000000023</v>
      </c>
      <c r="C21" s="40">
        <f>$A21*'GWP of methane by scenario'!C$6+(1-$A21)*'GWP of methane by scenario'!C$9</f>
        <v>-505.64102564102586</v>
      </c>
      <c r="D21" s="40">
        <f>$A21*'GWP of methane by scenario'!D$6+(1-$A21)*'GWP of methane by scenario'!D$9</f>
        <v>-501.05263157894768</v>
      </c>
      <c r="E21" s="40">
        <f>$A21*'GWP of methane by scenario'!E$6+(1-$A21)*'GWP of methane by scenario'!E$9</f>
        <v>-496.21621621621648</v>
      </c>
      <c r="F21" s="40">
        <f>$A21*'GWP of methane by scenario'!F$6+(1-$A21)*'GWP of methane by scenario'!F$9</f>
        <v>-491.11111111111137</v>
      </c>
      <c r="G21" s="40">
        <f>$A21*'GWP of methane by scenario'!G$6+(1-$A21)*'GWP of methane by scenario'!G$9</f>
        <v>-485.71428571428595</v>
      </c>
      <c r="H21" s="42">
        <f>$A21*'GWP of methane by scenario'!H$6+(1-$A21)*'GWP of methane by scenario'!H$9</f>
        <v>-480.00000000000028</v>
      </c>
      <c r="I21" s="38">
        <f>$A21*'GWP of methane by scenario'!I$6+(1-$A21)*'GWP of methane by scenario'!I$9</f>
        <v>-1290.0000000000007</v>
      </c>
      <c r="J21" s="40">
        <f>$A21*'GWP of methane by scenario'!J$6+(1-$A21)*'GWP of methane by scenario'!J$9</f>
        <v>-1278.9743589743596</v>
      </c>
      <c r="K21" s="40">
        <f>$A21*'GWP of methane by scenario'!K$6+(1-$A21)*'GWP of methane by scenario'!K$9</f>
        <v>-1267.3684210526324</v>
      </c>
      <c r="L21" s="40">
        <f>$A21*'GWP of methane by scenario'!L$6+(1-$A21)*'GWP of methane by scenario'!L$9</f>
        <v>-1255.1351351351359</v>
      </c>
      <c r="M21" s="40">
        <f>$A21*'GWP of methane by scenario'!M$6+(1-$A21)*'GWP of methane by scenario'!M$9</f>
        <v>-1242.2222222222231</v>
      </c>
      <c r="N21" s="40">
        <f>$A21*'GWP of methane by scenario'!N$6+(1-$A21)*'GWP of methane by scenario'!N$9</f>
        <v>-1228.5714285714294</v>
      </c>
      <c r="O21" s="42">
        <f>$A21*'GWP of methane by scenario'!O$6+(1-$A21)*'GWP of methane by scenario'!O$9</f>
        <v>-1214.1176470588243</v>
      </c>
      <c r="P21" s="65"/>
      <c r="Q21" s="65"/>
      <c r="R21" s="71"/>
      <c r="S21" s="2"/>
    </row>
    <row r="22" spans="1:19" x14ac:dyDescent="0.25">
      <c r="A22" s="72">
        <f t="shared" si="0"/>
        <v>0.19999999999999968</v>
      </c>
      <c r="B22" s="38">
        <f>$A22*'GWP of methane by scenario'!B$6+(1-$A22)*'GWP of methane by scenario'!B$9</f>
        <v>-544.00000000000023</v>
      </c>
      <c r="C22" s="40">
        <f>$A22*'GWP of methane by scenario'!C$6+(1-$A22)*'GWP of methane by scenario'!C$9</f>
        <v>-540.51282051282078</v>
      </c>
      <c r="D22" s="40">
        <f>$A22*'GWP of methane by scenario'!D$6+(1-$A22)*'GWP of methane by scenario'!D$9</f>
        <v>-536.84210526315815</v>
      </c>
      <c r="E22" s="40">
        <f>$A22*'GWP of methane by scenario'!E$6+(1-$A22)*'GWP of methane by scenario'!E$9</f>
        <v>-532.97297297297325</v>
      </c>
      <c r="F22" s="40">
        <f>$A22*'GWP of methane by scenario'!F$6+(1-$A22)*'GWP of methane by scenario'!F$9</f>
        <v>-528.88888888888914</v>
      </c>
      <c r="G22" s="40">
        <f>$A22*'GWP of methane by scenario'!G$6+(1-$A22)*'GWP of methane by scenario'!G$9</f>
        <v>-524.57142857142878</v>
      </c>
      <c r="H22" s="42">
        <f>$A22*'GWP of methane by scenario'!H$6+(1-$A22)*'GWP of methane by scenario'!H$9</f>
        <v>-520.00000000000023</v>
      </c>
      <c r="I22" s="38">
        <f>$A22*'GWP of methane by scenario'!I$6+(1-$A22)*'GWP of methane by scenario'!I$9</f>
        <v>-1376.0000000000005</v>
      </c>
      <c r="J22" s="40">
        <f>$A22*'GWP of methane by scenario'!J$6+(1-$A22)*'GWP of methane by scenario'!J$9</f>
        <v>-1367.1794871794878</v>
      </c>
      <c r="K22" s="40">
        <f>$A22*'GWP of methane by scenario'!K$6+(1-$A22)*'GWP of methane by scenario'!K$9</f>
        <v>-1357.8947368421057</v>
      </c>
      <c r="L22" s="40">
        <f>$A22*'GWP of methane by scenario'!L$6+(1-$A22)*'GWP of methane by scenario'!L$9</f>
        <v>-1348.1081081081086</v>
      </c>
      <c r="M22" s="40">
        <f>$A22*'GWP of methane by scenario'!M$6+(1-$A22)*'GWP of methane by scenario'!M$9</f>
        <v>-1337.7777777777783</v>
      </c>
      <c r="N22" s="40">
        <f>$A22*'GWP of methane by scenario'!N$6+(1-$A22)*'GWP of methane by scenario'!N$9</f>
        <v>-1326.8571428571433</v>
      </c>
      <c r="O22" s="42">
        <f>$A22*'GWP of methane by scenario'!O$6+(1-$A22)*'GWP of methane by scenario'!O$9</f>
        <v>-1315.2941176470597</v>
      </c>
      <c r="P22" s="65"/>
      <c r="Q22" s="65"/>
      <c r="R22" s="71"/>
      <c r="S22" s="2"/>
    </row>
    <row r="23" spans="1:19" x14ac:dyDescent="0.25">
      <c r="A23" s="72">
        <f t="shared" si="0"/>
        <v>0.14999999999999969</v>
      </c>
      <c r="B23" s="38">
        <f>$A23*'GWP of methane by scenario'!B$6+(1-$A23)*'GWP of methane by scenario'!B$9</f>
        <v>-578.00000000000023</v>
      </c>
      <c r="C23" s="40">
        <f>$A23*'GWP of methane by scenario'!C$6+(1-$A23)*'GWP of methane by scenario'!C$9</f>
        <v>-575.38461538461559</v>
      </c>
      <c r="D23" s="40">
        <f>$A23*'GWP of methane by scenario'!D$6+(1-$A23)*'GWP of methane by scenario'!D$9</f>
        <v>-572.63157894736878</v>
      </c>
      <c r="E23" s="40">
        <f>$A23*'GWP of methane by scenario'!E$6+(1-$A23)*'GWP of methane by scenario'!E$9</f>
        <v>-569.72972972973002</v>
      </c>
      <c r="F23" s="40">
        <f>$A23*'GWP of methane by scenario'!F$6+(1-$A23)*'GWP of methane by scenario'!F$9</f>
        <v>-566.66666666666697</v>
      </c>
      <c r="G23" s="40">
        <f>$A23*'GWP of methane by scenario'!G$6+(1-$A23)*'GWP of methane by scenario'!G$9</f>
        <v>-563.42857142857167</v>
      </c>
      <c r="H23" s="42">
        <f>$A23*'GWP of methane by scenario'!H$6+(1-$A23)*'GWP of methane by scenario'!H$9</f>
        <v>-560.00000000000023</v>
      </c>
      <c r="I23" s="38">
        <f>$A23*'GWP of methane by scenario'!I$6+(1-$A23)*'GWP of methane by scenario'!I$9</f>
        <v>-1462.0000000000005</v>
      </c>
      <c r="J23" s="40">
        <f>$A23*'GWP of methane by scenario'!J$6+(1-$A23)*'GWP of methane by scenario'!J$9</f>
        <v>-1455.3846153846159</v>
      </c>
      <c r="K23" s="40">
        <f>$A23*'GWP of methane by scenario'!K$6+(1-$A23)*'GWP of methane by scenario'!K$9</f>
        <v>-1448.4210526315794</v>
      </c>
      <c r="L23" s="40">
        <f>$A23*'GWP of methane by scenario'!L$6+(1-$A23)*'GWP of methane by scenario'!L$9</f>
        <v>-1441.0810810810815</v>
      </c>
      <c r="M23" s="40">
        <f>$A23*'GWP of methane by scenario'!M$6+(1-$A23)*'GWP of methane by scenario'!M$9</f>
        <v>-1433.3333333333339</v>
      </c>
      <c r="N23" s="40">
        <f>$A23*'GWP of methane by scenario'!N$6+(1-$A23)*'GWP of methane by scenario'!N$9</f>
        <v>-1425.1428571428576</v>
      </c>
      <c r="O23" s="42">
        <f>$A23*'GWP of methane by scenario'!O$6+(1-$A23)*'GWP of methane by scenario'!O$9</f>
        <v>-1416.4705882352948</v>
      </c>
      <c r="P23" s="65"/>
      <c r="Q23" s="65"/>
      <c r="R23" s="71"/>
      <c r="S23" s="2"/>
    </row>
    <row r="24" spans="1:19" x14ac:dyDescent="0.25">
      <c r="A24" s="72">
        <f t="shared" si="0"/>
        <v>9.9999999999999686E-2</v>
      </c>
      <c r="B24" s="38">
        <f>$A24*'GWP of methane by scenario'!B$6+(1-$A24)*'GWP of methane by scenario'!B$9</f>
        <v>-612.00000000000023</v>
      </c>
      <c r="C24" s="40">
        <f>$A24*'GWP of methane by scenario'!C$6+(1-$A24)*'GWP of methane by scenario'!C$9</f>
        <v>-610.2564102564105</v>
      </c>
      <c r="D24" s="40">
        <f>$A24*'GWP of methane by scenario'!D$6+(1-$A24)*'GWP of methane by scenario'!D$9</f>
        <v>-608.4210526315793</v>
      </c>
      <c r="E24" s="40">
        <f>$A24*'GWP of methane by scenario'!E$6+(1-$A24)*'GWP of methane by scenario'!E$9</f>
        <v>-606.48648648648668</v>
      </c>
      <c r="F24" s="40">
        <f>$A24*'GWP of methane by scenario'!F$6+(1-$A24)*'GWP of methane by scenario'!F$9</f>
        <v>-604.44444444444468</v>
      </c>
      <c r="G24" s="40">
        <f>$A24*'GWP of methane by scenario'!G$6+(1-$A24)*'GWP of methane by scenario'!G$9</f>
        <v>-602.28571428571456</v>
      </c>
      <c r="H24" s="42">
        <f>$A24*'GWP of methane by scenario'!H$6+(1-$A24)*'GWP of methane by scenario'!H$9</f>
        <v>-600.00000000000023</v>
      </c>
      <c r="I24" s="38">
        <f>$A24*'GWP of methane by scenario'!I$6+(1-$A24)*'GWP of methane by scenario'!I$9</f>
        <v>-1548.0000000000007</v>
      </c>
      <c r="J24" s="40">
        <f>$A24*'GWP of methane by scenario'!J$6+(1-$A24)*'GWP of methane by scenario'!J$9</f>
        <v>-1543.5897435897443</v>
      </c>
      <c r="K24" s="40">
        <f>$A24*'GWP of methane by scenario'!K$6+(1-$A24)*'GWP of methane by scenario'!K$9</f>
        <v>-1538.9473684210534</v>
      </c>
      <c r="L24" s="40">
        <f>$A24*'GWP of methane by scenario'!L$6+(1-$A24)*'GWP of methane by scenario'!L$9</f>
        <v>-1534.0540540540549</v>
      </c>
      <c r="M24" s="40">
        <f>$A24*'GWP of methane by scenario'!M$6+(1-$A24)*'GWP of methane by scenario'!M$9</f>
        <v>-1528.8888888888896</v>
      </c>
      <c r="N24" s="40">
        <f>$A24*'GWP of methane by scenario'!N$6+(1-$A24)*'GWP of methane by scenario'!N$9</f>
        <v>-1523.4285714285722</v>
      </c>
      <c r="O24" s="42">
        <f>$A24*'GWP of methane by scenario'!O$6+(1-$A24)*'GWP of methane by scenario'!O$9</f>
        <v>-1517.6470588235304</v>
      </c>
      <c r="P24" s="65"/>
      <c r="Q24" s="65"/>
      <c r="R24" s="71"/>
      <c r="S24" s="2"/>
    </row>
    <row r="25" spans="1:19" x14ac:dyDescent="0.25">
      <c r="A25" s="72">
        <f t="shared" si="0"/>
        <v>4.9999999999999684E-2</v>
      </c>
      <c r="B25" s="38">
        <f>$A25*'GWP of methane by scenario'!B$6+(1-$A25)*'GWP of methane by scenario'!B$9</f>
        <v>-646.00000000000023</v>
      </c>
      <c r="C25" s="40">
        <f>$A25*'GWP of methane by scenario'!C$6+(1-$A25)*'GWP of methane by scenario'!C$9</f>
        <v>-645.12820512820531</v>
      </c>
      <c r="D25" s="40">
        <f>$A25*'GWP of methane by scenario'!D$6+(1-$A25)*'GWP of methane by scenario'!D$9</f>
        <v>-644.21052631578982</v>
      </c>
      <c r="E25" s="40">
        <f>$A25*'GWP of methane by scenario'!E$6+(1-$A25)*'GWP of methane by scenario'!E$9</f>
        <v>-643.24324324324346</v>
      </c>
      <c r="F25" s="40">
        <f>$A25*'GWP of methane by scenario'!F$6+(1-$A25)*'GWP of methane by scenario'!F$9</f>
        <v>-642.22222222222251</v>
      </c>
      <c r="G25" s="40">
        <f>$A25*'GWP of methane by scenario'!G$6+(1-$A25)*'GWP of methane by scenario'!G$9</f>
        <v>-641.14285714285745</v>
      </c>
      <c r="H25" s="42">
        <f>$A25*'GWP of methane by scenario'!H$6+(1-$A25)*'GWP of methane by scenario'!H$9</f>
        <v>-640.00000000000023</v>
      </c>
      <c r="I25" s="38">
        <f>$A25*'GWP of methane by scenario'!I$6+(1-$A25)*'GWP of methane by scenario'!I$9</f>
        <v>-1634.0000000000005</v>
      </c>
      <c r="J25" s="40">
        <f>$A25*'GWP of methane by scenario'!J$6+(1-$A25)*'GWP of methane by scenario'!J$9</f>
        <v>-1631.7948717948723</v>
      </c>
      <c r="K25" s="40">
        <f>$A25*'GWP of methane by scenario'!K$6+(1-$A25)*'GWP of methane by scenario'!K$9</f>
        <v>-1629.4736842105267</v>
      </c>
      <c r="L25" s="40">
        <f>$A25*'GWP of methane by scenario'!L$6+(1-$A25)*'GWP of methane by scenario'!L$9</f>
        <v>-1627.0270270270275</v>
      </c>
      <c r="M25" s="40">
        <f>$A25*'GWP of methane by scenario'!M$6+(1-$A25)*'GWP of methane by scenario'!M$9</f>
        <v>-1624.444444444445</v>
      </c>
      <c r="N25" s="40">
        <f>$A25*'GWP of methane by scenario'!N$6+(1-$A25)*'GWP of methane by scenario'!N$9</f>
        <v>-1621.7142857142862</v>
      </c>
      <c r="O25" s="42">
        <f>$A25*'GWP of methane by scenario'!O$6+(1-$A25)*'GWP of methane by scenario'!O$9</f>
        <v>-1618.8235294117655</v>
      </c>
      <c r="P25" s="65"/>
      <c r="Q25" s="65"/>
      <c r="R25" s="71"/>
      <c r="S25" s="2"/>
    </row>
    <row r="26" spans="1:19" ht="20" thickBot="1" x14ac:dyDescent="0.3">
      <c r="A26" s="72">
        <f t="shared" si="0"/>
        <v>-3.1918911957973251E-16</v>
      </c>
      <c r="B26" s="39">
        <f>$A26*'GWP of methane by scenario'!B$6+(1-$A26)*'GWP of methane by scenario'!B$9</f>
        <v>-680.00000000000011</v>
      </c>
      <c r="C26" s="41">
        <f>$A26*'GWP of methane by scenario'!C$6+(1-$A26)*'GWP of methane by scenario'!C$9</f>
        <v>-680.00000000000011</v>
      </c>
      <c r="D26" s="41">
        <f>$A26*'GWP of methane by scenario'!D$6+(1-$A26)*'GWP of methane by scenario'!D$9</f>
        <v>-680.00000000000023</v>
      </c>
      <c r="E26" s="41">
        <f>$A26*'GWP of methane by scenario'!E$6+(1-$A26)*'GWP of methane by scenario'!E$9</f>
        <v>-680.00000000000011</v>
      </c>
      <c r="F26" s="41">
        <f>$A26*'GWP of methane by scenario'!F$6+(1-$A26)*'GWP of methane by scenario'!F$9</f>
        <v>-680.00000000000011</v>
      </c>
      <c r="G26" s="41">
        <f>$A26*'GWP of methane by scenario'!G$6+(1-$A26)*'GWP of methane by scenario'!G$9</f>
        <v>-680.00000000000011</v>
      </c>
      <c r="H26" s="43">
        <f>$A26*'GWP of methane by scenario'!H$6+(1-$A26)*'GWP of methane by scenario'!H$9</f>
        <v>-680.00000000000011</v>
      </c>
      <c r="I26" s="39">
        <f>$A26*'GWP of methane by scenario'!I$6+(1-$A26)*'GWP of methane by scenario'!I$9</f>
        <v>-1720.0000000000005</v>
      </c>
      <c r="J26" s="41">
        <f>$A26*'GWP of methane by scenario'!J$6+(1-$A26)*'GWP of methane by scenario'!J$9</f>
        <v>-1720.0000000000005</v>
      </c>
      <c r="K26" s="41">
        <f>$A26*'GWP of methane by scenario'!K$6+(1-$A26)*'GWP of methane by scenario'!K$9</f>
        <v>-1720.0000000000005</v>
      </c>
      <c r="L26" s="41">
        <f>$A26*'GWP of methane by scenario'!L$6+(1-$A26)*'GWP of methane by scenario'!L$9</f>
        <v>-1720.0000000000005</v>
      </c>
      <c r="M26" s="41">
        <f>$A26*'GWP of methane by scenario'!M$6+(1-$A26)*'GWP of methane by scenario'!M$9</f>
        <v>-1720.0000000000005</v>
      </c>
      <c r="N26" s="41">
        <f>$A26*'GWP of methane by scenario'!N$6+(1-$A26)*'GWP of methane by scenario'!N$9</f>
        <v>-1720.0000000000005</v>
      </c>
      <c r="O26" s="43">
        <f>$A26*'GWP of methane by scenario'!O$6+(1-$A26)*'GWP of methane by scenario'!O$9</f>
        <v>-1720.0000000000007</v>
      </c>
      <c r="P26" s="65"/>
      <c r="Q26" s="65"/>
      <c r="R26" s="71"/>
      <c r="S26" s="2"/>
    </row>
    <row r="27" spans="1:19" x14ac:dyDescent="0.25">
      <c r="A27" s="13"/>
      <c r="B27" s="13"/>
      <c r="C27" s="13"/>
      <c r="D27" s="13"/>
      <c r="E27" s="13"/>
      <c r="F27" s="13"/>
      <c r="G27" s="13"/>
      <c r="H27" s="13"/>
      <c r="I27" s="13"/>
      <c r="J27" s="13"/>
      <c r="K27" s="13"/>
      <c r="L27" s="13"/>
      <c r="M27" s="13"/>
      <c r="N27" s="13"/>
      <c r="O27" s="13"/>
      <c r="P27" s="13"/>
      <c r="Q27" s="13"/>
      <c r="R27" s="13"/>
    </row>
    <row r="28" spans="1:19" x14ac:dyDescent="0.25">
      <c r="A28" s="13"/>
      <c r="B28" s="13"/>
      <c r="C28" s="13"/>
      <c r="D28" s="13"/>
      <c r="E28" s="13"/>
      <c r="F28" s="54"/>
      <c r="G28" s="54"/>
      <c r="H28" s="54"/>
      <c r="I28" s="54"/>
      <c r="J28" s="54"/>
      <c r="K28" s="54"/>
      <c r="L28" s="54"/>
      <c r="M28" s="54"/>
      <c r="N28" s="54"/>
      <c r="O28" s="54"/>
      <c r="P28" s="13"/>
      <c r="Q28" s="13"/>
      <c r="R28" s="13"/>
    </row>
    <row r="29" spans="1:19" x14ac:dyDescent="0.25">
      <c r="A29" s="13"/>
      <c r="B29" s="13"/>
      <c r="C29" s="13"/>
      <c r="D29" s="13"/>
      <c r="E29" s="13"/>
      <c r="F29" s="66"/>
      <c r="G29" s="66"/>
      <c r="H29" s="66"/>
      <c r="I29" s="66"/>
      <c r="J29" s="66"/>
      <c r="K29" s="66"/>
      <c r="L29" s="66"/>
      <c r="M29" s="66"/>
      <c r="N29" s="66"/>
      <c r="O29" s="66"/>
      <c r="P29" s="13"/>
      <c r="Q29" s="13"/>
      <c r="R29" s="13"/>
    </row>
    <row r="30" spans="1:19" x14ac:dyDescent="0.25">
      <c r="A30" s="13"/>
      <c r="B30" s="13"/>
      <c r="C30" s="13"/>
      <c r="D30" s="13"/>
      <c r="E30" s="13"/>
      <c r="F30" s="13"/>
      <c r="G30" s="13"/>
      <c r="H30" s="13"/>
      <c r="I30" s="13"/>
      <c r="J30" s="13"/>
      <c r="K30" s="13"/>
      <c r="L30" s="13"/>
      <c r="M30" s="13"/>
      <c r="N30" s="13"/>
      <c r="O30" s="13"/>
      <c r="P30" s="13"/>
      <c r="Q30" s="13"/>
      <c r="R30" s="13"/>
    </row>
    <row r="31" spans="1:19" x14ac:dyDescent="0.25">
      <c r="A31" s="12" t="s">
        <v>139</v>
      </c>
      <c r="B31" s="13"/>
      <c r="C31" s="13" t="s">
        <v>130</v>
      </c>
      <c r="D31" s="13"/>
      <c r="E31" s="13"/>
      <c r="F31" s="13"/>
      <c r="G31" s="13"/>
      <c r="H31" s="13"/>
      <c r="I31" s="13"/>
      <c r="J31" s="13"/>
      <c r="K31" s="13"/>
      <c r="L31" s="13"/>
      <c r="M31" s="13"/>
      <c r="N31" s="13"/>
      <c r="O31" s="13"/>
      <c r="P31" s="13"/>
      <c r="Q31" s="13"/>
      <c r="R31" s="13"/>
    </row>
    <row r="32" spans="1:19" x14ac:dyDescent="0.25">
      <c r="A32" s="12" t="s">
        <v>137</v>
      </c>
      <c r="B32" s="114" t="s">
        <v>138</v>
      </c>
      <c r="C32" s="114" t="s">
        <v>140</v>
      </c>
      <c r="D32" s="1" t="s">
        <v>148</v>
      </c>
      <c r="E32" s="115" t="s">
        <v>147</v>
      </c>
      <c r="F32" s="12" t="s">
        <v>149</v>
      </c>
      <c r="G32" s="13"/>
      <c r="H32" s="13"/>
      <c r="I32" s="13"/>
      <c r="J32" s="13"/>
      <c r="K32" s="13"/>
      <c r="L32" s="13"/>
      <c r="M32" s="13"/>
      <c r="N32" s="13"/>
      <c r="O32" s="13"/>
      <c r="P32" s="13"/>
      <c r="Q32" s="13"/>
      <c r="R32" s="13"/>
    </row>
    <row r="33" spans="1:18" x14ac:dyDescent="0.25">
      <c r="A33" t="s">
        <v>131</v>
      </c>
      <c r="B33" s="3">
        <v>24839976</v>
      </c>
      <c r="C33" s="22">
        <f>B33*1000000*$A$41*$A$44</f>
        <v>27.15114102138816</v>
      </c>
      <c r="D33" s="116">
        <f>$A$47/C33</f>
        <v>1.1049259394427536E-2</v>
      </c>
      <c r="E33" s="117">
        <v>1.1049564743065928E-2</v>
      </c>
      <c r="F33" s="37">
        <f>$D33*'GWP of methane by scenario'!$B$9+(1-$D33)*(('GWP of methane by scenario'!$B$17/(1-$E33))*'GWP of methane by scenario'!$B$24*$E33)</f>
        <v>2.0995700765435998E-4</v>
      </c>
      <c r="G33" s="13"/>
      <c r="H33" s="13"/>
      <c r="I33" s="13"/>
      <c r="J33" s="13"/>
      <c r="K33" s="13"/>
      <c r="L33" s="13"/>
      <c r="M33" s="13"/>
      <c r="N33" s="13"/>
      <c r="O33" s="13"/>
      <c r="P33" s="13"/>
      <c r="Q33" s="13"/>
      <c r="R33" s="13"/>
    </row>
    <row r="34" spans="1:18" x14ac:dyDescent="0.25">
      <c r="A34" s="13" t="s">
        <v>132</v>
      </c>
      <c r="B34" s="3">
        <v>4412341</v>
      </c>
      <c r="C34" s="22">
        <f t="shared" ref="C34:C38" si="1">B34*1000000*$A$41*$A$44</f>
        <v>4.8228747372965604</v>
      </c>
      <c r="D34" s="116">
        <f t="shared" ref="D34:D38" si="2">$A$47/C34</f>
        <v>6.2203564542122766E-2</v>
      </c>
      <c r="E34" s="117">
        <v>6.2202852842543364E-2</v>
      </c>
      <c r="F34" s="37">
        <f>$D34*'GWP of methane by scenario'!$B$9+(1-$D34)*(('GWP of methane by scenario'!$B$17/(1-$E34))*'GWP of methane by scenario'!$B$24*$E34)</f>
        <v>-5.160558607641974E-4</v>
      </c>
      <c r="G34" s="13"/>
      <c r="H34" s="13"/>
      <c r="I34" s="13"/>
      <c r="J34" s="13"/>
      <c r="K34" s="13"/>
      <c r="L34" s="13"/>
      <c r="M34" s="13"/>
      <c r="N34" s="13"/>
      <c r="O34" s="13"/>
      <c r="P34" s="13"/>
      <c r="Q34" s="13"/>
      <c r="R34" s="13"/>
    </row>
    <row r="35" spans="1:18" x14ac:dyDescent="0.25">
      <c r="A35" s="13" t="s">
        <v>133</v>
      </c>
      <c r="B35" s="3">
        <v>3164462</v>
      </c>
      <c r="C35" s="22">
        <f t="shared" si="1"/>
        <v>3.45889037971792</v>
      </c>
      <c r="D35" s="116">
        <f t="shared" si="2"/>
        <v>8.6733017547802604E-2</v>
      </c>
      <c r="E35" s="117">
        <v>8.6733020823324125E-2</v>
      </c>
      <c r="F35" s="37">
        <f>$D35*'GWP of methane by scenario'!$B$9+(1-$D35)*(('GWP of methane by scenario'!$B$17/(1-$E35))*'GWP of methane by scenario'!$B$24*$E35)</f>
        <v>2.438886639311022E-6</v>
      </c>
      <c r="G35" s="13"/>
      <c r="H35" s="13"/>
      <c r="I35" s="13"/>
      <c r="J35" s="13"/>
      <c r="K35" s="13"/>
      <c r="L35" s="13"/>
      <c r="M35" s="13"/>
      <c r="N35" s="13"/>
      <c r="O35" s="13"/>
      <c r="P35" s="13"/>
      <c r="Q35" s="13"/>
      <c r="R35" s="13"/>
    </row>
    <row r="36" spans="1:18" x14ac:dyDescent="0.25">
      <c r="A36" s="13" t="s">
        <v>134</v>
      </c>
      <c r="B36" s="3">
        <v>7949410</v>
      </c>
      <c r="C36" s="22">
        <f t="shared" si="1"/>
        <v>8.689040277125601</v>
      </c>
      <c r="D36" s="116">
        <f t="shared" si="2"/>
        <v>3.452625266219185E-2</v>
      </c>
      <c r="E36" s="118">
        <v>3.4526232421255194E-2</v>
      </c>
      <c r="F36" s="37">
        <f>$D36*'GWP of methane by scenario'!$B$9+(1-$D36)*(('GWP of methane by scenario'!$B$17/(1-$E36))*'GWP of methane by scenario'!$B$24*$E36)</f>
        <v>-1.4256044430283055E-5</v>
      </c>
      <c r="G36" s="13"/>
      <c r="H36" s="13"/>
      <c r="I36" s="13"/>
      <c r="J36" s="13"/>
      <c r="K36" s="13"/>
      <c r="L36" s="13"/>
      <c r="M36" s="13"/>
      <c r="N36" s="13"/>
      <c r="O36" s="13"/>
      <c r="P36" s="13"/>
      <c r="Q36" s="13"/>
      <c r="R36" s="13"/>
    </row>
    <row r="37" spans="1:18" x14ac:dyDescent="0.25">
      <c r="A37" s="13" t="s">
        <v>135</v>
      </c>
      <c r="B37" s="3">
        <v>48208</v>
      </c>
      <c r="C37" s="22">
        <f t="shared" si="1"/>
        <v>5.2693376449280002E-2</v>
      </c>
      <c r="D37" s="116">
        <f t="shared" si="2"/>
        <v>5.6933151795418713</v>
      </c>
      <c r="E37" s="119" t="s">
        <v>150</v>
      </c>
      <c r="F37" s="37" t="s">
        <v>151</v>
      </c>
      <c r="G37" s="13"/>
      <c r="H37" s="13"/>
      <c r="I37" s="13"/>
      <c r="J37" s="13"/>
      <c r="K37" s="13"/>
      <c r="L37" s="13"/>
      <c r="M37" s="13"/>
      <c r="N37" s="13"/>
      <c r="O37" s="13"/>
      <c r="P37" s="13"/>
      <c r="Q37" s="13"/>
      <c r="R37" s="13"/>
    </row>
    <row r="38" spans="1:18" x14ac:dyDescent="0.25">
      <c r="A38" s="13" t="s">
        <v>136</v>
      </c>
      <c r="B38" s="3">
        <v>9265555</v>
      </c>
      <c r="C38" s="22">
        <f t="shared" si="1"/>
        <v>10.1276422507988</v>
      </c>
      <c r="D38" s="116">
        <f t="shared" si="2"/>
        <v>2.9621899408654371E-2</v>
      </c>
      <c r="E38" s="118">
        <v>2.9621891932384094E-2</v>
      </c>
      <c r="F38" s="37">
        <f>$D38*'GWP of methane by scenario'!$B$9+(1-$D38)*(('GWP of methane by scenario'!$B$17/(1-$E38))*'GWP of methane by scenario'!$B$24*$E38)</f>
        <v>-5.239054495120854E-6</v>
      </c>
      <c r="G38" s="13"/>
      <c r="H38" s="13"/>
      <c r="I38" s="13"/>
      <c r="J38" s="13"/>
      <c r="K38" s="13"/>
      <c r="L38" s="13"/>
      <c r="M38" s="13"/>
      <c r="N38" s="13"/>
      <c r="O38" s="13"/>
      <c r="P38" s="13"/>
      <c r="Q38" s="13"/>
      <c r="R38" s="13"/>
    </row>
    <row r="39" spans="1:18" x14ac:dyDescent="0.25">
      <c r="A39" s="13"/>
      <c r="B39" s="13"/>
      <c r="C39" s="13"/>
      <c r="D39" s="13"/>
      <c r="E39" s="13"/>
      <c r="F39" s="13"/>
      <c r="G39" s="13"/>
      <c r="H39" s="13"/>
      <c r="I39" s="13"/>
      <c r="J39" s="13"/>
      <c r="K39" s="13"/>
      <c r="L39" s="13"/>
      <c r="M39" s="13"/>
      <c r="N39" s="13"/>
      <c r="O39" s="13"/>
      <c r="P39" s="13"/>
      <c r="Q39" s="13"/>
      <c r="R39" s="13"/>
    </row>
    <row r="40" spans="1:18" x14ac:dyDescent="0.25">
      <c r="A40" s="12" t="s">
        <v>141</v>
      </c>
      <c r="B40" s="13"/>
      <c r="C40" s="13"/>
      <c r="D40" s="13"/>
      <c r="E40" s="13"/>
      <c r="F40" s="13"/>
      <c r="G40" s="13"/>
      <c r="H40" s="13"/>
      <c r="I40" s="13"/>
      <c r="J40" s="13"/>
      <c r="K40" s="13"/>
      <c r="L40" s="13"/>
      <c r="M40" s="13"/>
      <c r="N40" s="13"/>
      <c r="O40" s="13"/>
      <c r="P40" s="13"/>
      <c r="Q40" s="13"/>
      <c r="R40" s="13"/>
    </row>
    <row r="41" spans="1:18" x14ac:dyDescent="0.25">
      <c r="A41" s="13">
        <v>1036</v>
      </c>
      <c r="B41" s="13" t="s">
        <v>142</v>
      </c>
      <c r="C41" s="13" t="s">
        <v>143</v>
      </c>
      <c r="D41" s="13"/>
      <c r="E41" s="13"/>
      <c r="F41" s="13"/>
      <c r="G41" s="13"/>
      <c r="H41" s="13"/>
      <c r="I41" s="13"/>
      <c r="J41" s="13"/>
      <c r="K41" s="13"/>
      <c r="L41" s="13"/>
      <c r="M41" s="13"/>
      <c r="N41" s="13"/>
      <c r="O41" s="13"/>
      <c r="P41" s="13"/>
      <c r="Q41" s="13"/>
      <c r="R41" s="13"/>
    </row>
    <row r="42" spans="1:18" x14ac:dyDescent="0.25">
      <c r="A42" s="13"/>
      <c r="B42" s="13"/>
      <c r="C42" s="13"/>
      <c r="D42" s="13"/>
      <c r="E42" s="13"/>
      <c r="F42" s="13"/>
      <c r="G42" s="13"/>
      <c r="H42" s="13"/>
      <c r="I42" s="13"/>
      <c r="J42" s="13"/>
      <c r="K42" s="13"/>
      <c r="L42" s="13"/>
      <c r="M42" s="13"/>
      <c r="N42" s="13"/>
      <c r="O42" s="13"/>
      <c r="P42" s="13"/>
      <c r="Q42" s="13"/>
      <c r="R42" s="13"/>
    </row>
    <row r="43" spans="1:18" x14ac:dyDescent="0.25">
      <c r="A43" s="12" t="s">
        <v>144</v>
      </c>
      <c r="B43" s="13"/>
      <c r="C43" s="13"/>
      <c r="D43" s="13"/>
      <c r="E43" s="13"/>
      <c r="F43" s="13"/>
      <c r="G43" s="13"/>
      <c r="H43" s="13"/>
      <c r="I43" s="13"/>
      <c r="J43" s="13"/>
      <c r="K43" s="13"/>
      <c r="L43" s="13"/>
      <c r="M43" s="13"/>
      <c r="N43" s="13"/>
      <c r="O43" s="13"/>
      <c r="P43" s="13"/>
      <c r="Q43" s="13"/>
      <c r="R43" s="13"/>
    </row>
    <row r="44" spans="1:18" x14ac:dyDescent="0.25">
      <c r="A44" s="113">
        <v>1.05506E-15</v>
      </c>
      <c r="B44" s="13" t="s">
        <v>145</v>
      </c>
      <c r="C44" s="13"/>
      <c r="D44" s="13"/>
      <c r="E44" s="13"/>
      <c r="F44" s="13"/>
      <c r="G44" s="13"/>
      <c r="H44" s="13"/>
      <c r="I44" s="13"/>
      <c r="J44" s="13"/>
      <c r="K44" s="13"/>
      <c r="L44" s="13"/>
      <c r="M44" s="13"/>
      <c r="N44" s="13"/>
      <c r="O44" s="13"/>
      <c r="P44" s="13"/>
      <c r="Q44" s="13"/>
      <c r="R44" s="13"/>
    </row>
    <row r="45" spans="1:18" x14ac:dyDescent="0.25">
      <c r="A45" s="13"/>
      <c r="B45" s="13"/>
      <c r="C45" s="13"/>
      <c r="D45" s="13"/>
      <c r="E45" s="13"/>
      <c r="F45" s="13"/>
      <c r="G45" s="13"/>
      <c r="H45" s="13"/>
      <c r="I45" s="13"/>
      <c r="J45" s="13"/>
      <c r="K45" s="13"/>
      <c r="L45" s="13"/>
      <c r="M45" s="13"/>
      <c r="N45" s="13"/>
      <c r="O45" s="13"/>
      <c r="P45" s="13"/>
      <c r="Q45" s="13"/>
      <c r="R45" s="13"/>
    </row>
    <row r="46" spans="1:18" x14ac:dyDescent="0.25">
      <c r="A46" s="12" t="s">
        <v>146</v>
      </c>
      <c r="B46" s="13"/>
      <c r="C46" s="13"/>
      <c r="D46" s="13"/>
      <c r="E46" s="13"/>
      <c r="F46" s="13"/>
      <c r="G46" s="13"/>
      <c r="H46" s="13"/>
      <c r="I46" s="13"/>
      <c r="J46" s="13"/>
      <c r="K46" s="13"/>
      <c r="L46" s="13"/>
      <c r="M46" s="13"/>
      <c r="N46" s="13"/>
      <c r="O46" s="13"/>
      <c r="P46" s="13"/>
      <c r="Q46" s="13"/>
      <c r="R46" s="13"/>
    </row>
    <row r="47" spans="1:18" x14ac:dyDescent="0.25">
      <c r="A47" s="13">
        <v>0.3</v>
      </c>
      <c r="B47" s="13" t="s">
        <v>140</v>
      </c>
      <c r="C47" s="13"/>
      <c r="D47" s="13"/>
      <c r="E47" s="13"/>
      <c r="F47" s="13"/>
      <c r="G47" s="13"/>
      <c r="H47" s="13"/>
      <c r="I47" s="13"/>
      <c r="J47" s="13"/>
      <c r="K47" s="13"/>
      <c r="L47" s="13"/>
      <c r="M47" s="13"/>
      <c r="N47" s="13"/>
      <c r="O47" s="13"/>
      <c r="P47" s="13"/>
      <c r="Q47" s="13"/>
      <c r="R47" s="13"/>
    </row>
    <row r="48" spans="1:18" x14ac:dyDescent="0.25">
      <c r="A48" s="13"/>
      <c r="B48" s="13"/>
      <c r="C48" s="13"/>
      <c r="D48" s="13"/>
      <c r="E48" s="13"/>
      <c r="F48" s="13"/>
      <c r="G48" s="13"/>
      <c r="H48" s="13"/>
      <c r="I48" s="13"/>
      <c r="J48" s="13"/>
      <c r="K48" s="13"/>
      <c r="L48" s="13"/>
      <c r="M48" s="13"/>
      <c r="N48" s="13"/>
      <c r="O48" s="13"/>
      <c r="P48" s="13"/>
      <c r="Q48" s="13"/>
      <c r="R48" s="13"/>
    </row>
    <row r="49" spans="1:18" x14ac:dyDescent="0.25">
      <c r="A49" s="13"/>
      <c r="B49" s="13"/>
      <c r="C49" s="13"/>
      <c r="D49" s="13"/>
      <c r="E49" s="13"/>
      <c r="F49" s="13"/>
      <c r="G49" s="13"/>
      <c r="H49" s="13"/>
      <c r="I49" s="13"/>
      <c r="J49" s="13"/>
      <c r="K49" s="13"/>
      <c r="L49" s="13"/>
      <c r="M49" s="13"/>
      <c r="N49" s="13"/>
      <c r="O49" s="13"/>
      <c r="P49" s="13"/>
      <c r="Q49" s="13"/>
      <c r="R49" s="13"/>
    </row>
    <row r="50" spans="1:18" x14ac:dyDescent="0.25">
      <c r="A50" s="13"/>
      <c r="B50" s="13"/>
      <c r="C50" s="13"/>
      <c r="D50" s="13"/>
      <c r="E50" s="13"/>
      <c r="F50" s="13"/>
      <c r="G50" s="13"/>
      <c r="H50" s="13"/>
      <c r="I50" s="13"/>
      <c r="J50" s="13"/>
      <c r="K50" s="13"/>
      <c r="L50" s="13"/>
      <c r="M50" s="13"/>
      <c r="N50" s="13"/>
      <c r="O50" s="13"/>
      <c r="P50" s="13"/>
      <c r="Q50" s="13"/>
      <c r="R50" s="13"/>
    </row>
    <row r="51" spans="1:18" x14ac:dyDescent="0.25">
      <c r="A51" s="13"/>
      <c r="B51" s="13"/>
      <c r="C51" s="13"/>
      <c r="D51" s="13"/>
      <c r="E51" s="13"/>
      <c r="F51" s="13"/>
      <c r="G51" s="13"/>
      <c r="H51" s="13"/>
      <c r="I51" s="13"/>
      <c r="J51" s="13"/>
      <c r="K51" s="13"/>
      <c r="L51" s="13"/>
      <c r="M51" s="13"/>
      <c r="N51" s="13"/>
      <c r="O51" s="13"/>
      <c r="P51" s="13"/>
      <c r="Q51" s="13"/>
      <c r="R51" s="13"/>
    </row>
    <row r="52" spans="1:18" x14ac:dyDescent="0.25">
      <c r="A52" s="13"/>
      <c r="B52" s="13"/>
      <c r="C52" s="13"/>
      <c r="D52" s="13"/>
      <c r="E52" s="13"/>
      <c r="F52" s="13"/>
      <c r="G52" s="13"/>
      <c r="H52" s="13"/>
      <c r="I52" s="13"/>
      <c r="J52" s="13"/>
      <c r="K52" s="13"/>
      <c r="L52" s="13"/>
      <c r="M52" s="13"/>
      <c r="N52" s="13"/>
      <c r="O52" s="13"/>
      <c r="P52" s="13"/>
      <c r="Q52" s="13"/>
      <c r="R52" s="13"/>
    </row>
    <row r="53" spans="1:18" x14ac:dyDescent="0.25">
      <c r="A53" s="13"/>
      <c r="B53" s="13"/>
      <c r="C53" s="13"/>
      <c r="D53" s="13"/>
      <c r="E53" s="13"/>
      <c r="F53" s="13"/>
      <c r="G53" s="13"/>
      <c r="H53" s="13"/>
      <c r="I53" s="13"/>
      <c r="J53" s="13"/>
      <c r="K53" s="13"/>
      <c r="L53" s="13"/>
      <c r="M53" s="13"/>
      <c r="N53" s="13"/>
      <c r="O53" s="13"/>
      <c r="P53" s="13"/>
      <c r="Q53" s="13"/>
      <c r="R53" s="13"/>
    </row>
    <row r="54" spans="1:18" x14ac:dyDescent="0.25">
      <c r="A54" s="13"/>
      <c r="B54" s="13"/>
      <c r="C54" s="13"/>
      <c r="D54" s="13"/>
      <c r="E54" s="13"/>
      <c r="F54" s="13"/>
      <c r="G54" s="13"/>
      <c r="H54" s="13"/>
      <c r="I54" s="13"/>
      <c r="J54" s="13"/>
      <c r="K54" s="13"/>
      <c r="L54" s="13"/>
      <c r="M54" s="13"/>
      <c r="N54" s="13"/>
      <c r="O54" s="13"/>
      <c r="P54" s="13"/>
      <c r="Q54" s="13"/>
      <c r="R54" s="13"/>
    </row>
    <row r="55" spans="1:18" x14ac:dyDescent="0.25">
      <c r="A55" s="27" t="s">
        <v>63</v>
      </c>
      <c r="B55" s="13"/>
      <c r="C55" s="13"/>
      <c r="D55" s="13"/>
      <c r="E55" s="13"/>
      <c r="F55" s="13"/>
      <c r="G55" s="13"/>
      <c r="H55" s="13"/>
      <c r="I55" s="13"/>
      <c r="J55" s="13"/>
      <c r="K55" s="13"/>
      <c r="L55" s="13"/>
      <c r="M55" s="13"/>
      <c r="N55" s="13"/>
      <c r="O55" s="13"/>
      <c r="P55" s="13"/>
      <c r="Q55" s="13"/>
      <c r="R55" s="13"/>
    </row>
    <row r="56" spans="1:18" x14ac:dyDescent="0.25">
      <c r="A56" s="3">
        <v>1800</v>
      </c>
      <c r="B56" s="27" t="s">
        <v>65</v>
      </c>
      <c r="C56" s="74"/>
      <c r="D56" s="13"/>
      <c r="E56" s="13"/>
      <c r="F56" s="13"/>
      <c r="G56" s="13"/>
      <c r="H56" s="13"/>
      <c r="I56" s="13"/>
      <c r="J56" s="13"/>
      <c r="K56" s="13"/>
      <c r="L56" s="13"/>
      <c r="M56" s="13"/>
      <c r="N56" s="13"/>
      <c r="O56" s="13"/>
      <c r="P56" s="13"/>
      <c r="Q56" s="13"/>
      <c r="R56" s="13"/>
    </row>
    <row r="57" spans="1:18" x14ac:dyDescent="0.25">
      <c r="A57" s="13"/>
      <c r="B57" s="75"/>
      <c r="C57" s="74"/>
      <c r="D57" s="13"/>
      <c r="E57" s="13"/>
      <c r="F57" s="13"/>
      <c r="G57" s="13"/>
      <c r="H57" s="13"/>
      <c r="I57" s="13"/>
      <c r="J57" s="13"/>
      <c r="K57" s="13"/>
      <c r="L57" s="13"/>
      <c r="M57" s="13"/>
      <c r="N57" s="13"/>
      <c r="O57" s="13"/>
      <c r="P57" s="13"/>
      <c r="Q57" s="13"/>
      <c r="R57" s="13"/>
    </row>
    <row r="58" spans="1:18" ht="20" thickBot="1" x14ac:dyDescent="0.3">
      <c r="A58" s="73" t="s">
        <v>64</v>
      </c>
      <c r="B58" s="66"/>
      <c r="C58" s="12"/>
      <c r="D58" s="13"/>
      <c r="E58" s="13"/>
      <c r="F58" s="13"/>
      <c r="G58" s="13"/>
      <c r="H58" s="13"/>
      <c r="I58" s="13"/>
      <c r="J58" s="13"/>
      <c r="K58" s="13"/>
      <c r="L58" s="13"/>
      <c r="M58" s="13"/>
      <c r="N58" s="13"/>
      <c r="O58" s="13"/>
      <c r="P58" s="13"/>
      <c r="Q58" s="13"/>
      <c r="R58" s="13"/>
    </row>
    <row r="59" spans="1:18" ht="41" thickBot="1" x14ac:dyDescent="0.3">
      <c r="A59" s="13" t="s">
        <v>17</v>
      </c>
      <c r="B59" s="125" t="s">
        <v>3</v>
      </c>
      <c r="C59" s="126"/>
      <c r="D59" s="126"/>
      <c r="E59" s="126"/>
      <c r="F59" s="126"/>
      <c r="G59" s="126"/>
      <c r="H59" s="127"/>
      <c r="I59" s="125" t="s">
        <v>2</v>
      </c>
      <c r="J59" s="126"/>
      <c r="K59" s="126"/>
      <c r="L59" s="126"/>
      <c r="M59" s="126"/>
      <c r="N59" s="126"/>
      <c r="O59" s="127"/>
      <c r="P59" s="29" t="s">
        <v>30</v>
      </c>
      <c r="Q59" s="29" t="s">
        <v>31</v>
      </c>
      <c r="R59" s="29" t="s">
        <v>32</v>
      </c>
    </row>
    <row r="60" spans="1:18" x14ac:dyDescent="0.25">
      <c r="A60" s="72">
        <v>1</v>
      </c>
      <c r="B60" s="28">
        <f>'Figure 2 - vented vs intl prod'!B6+$A$56</f>
        <v>1800</v>
      </c>
      <c r="C60" s="28">
        <f>'Figure 2 - vented vs intl prod'!C6+$A$56</f>
        <v>1817.4358974358975</v>
      </c>
      <c r="D60" s="28">
        <f>'Figure 2 - vented vs intl prod'!D6+$A$56</f>
        <v>1835.7894736842106</v>
      </c>
      <c r="E60" s="28">
        <f>'Figure 2 - vented vs intl prod'!E6+$A$56</f>
        <v>1855.1351351351352</v>
      </c>
      <c r="F60" s="28">
        <f>'Figure 2 - vented vs intl prod'!F6+$A$56</f>
        <v>1875.5555555555557</v>
      </c>
      <c r="G60" s="28">
        <f>'Figure 2 - vented vs intl prod'!G6+$A$56</f>
        <v>1897.1428571428571</v>
      </c>
      <c r="H60" s="28">
        <f>'Figure 2 - vented vs intl prod'!H6+$A$56</f>
        <v>1920</v>
      </c>
      <c r="I60" s="28">
        <f>'Figure 2 - vented vs intl prod'!I6+$A$56</f>
        <v>1800</v>
      </c>
      <c r="J60" s="28">
        <f>'Figure 2 - vented vs intl prod'!J6+$A$56</f>
        <v>1844.1025641025642</v>
      </c>
      <c r="K60" s="28">
        <f>'Figure 2 - vented vs intl prod'!K6+$A$56</f>
        <v>1890.5263157894738</v>
      </c>
      <c r="L60" s="28">
        <f>'Figure 2 - vented vs intl prod'!L6+$A$56</f>
        <v>1939.4594594594596</v>
      </c>
      <c r="M60" s="28">
        <f>'Figure 2 - vented vs intl prod'!M6+$A$56</f>
        <v>1991.1111111111111</v>
      </c>
      <c r="N60" s="28">
        <f>'Figure 2 - vented vs intl prod'!N6+$A$56</f>
        <v>2045.7142857142858</v>
      </c>
      <c r="O60" s="28">
        <f>'Figure 2 - vented vs intl prod'!O6+$A$56</f>
        <v>2103.5294117647059</v>
      </c>
      <c r="P60" s="28">
        <f t="shared" ref="P60:P80" si="3">$A$56</f>
        <v>1800</v>
      </c>
      <c r="Q60" s="28">
        <f>$A$56+'GWP of methane by scenario'!B$13</f>
        <v>1876.3638071841158</v>
      </c>
      <c r="R60" s="28">
        <f>$A$56+'GWP of methane by scenario'!B$14</f>
        <v>1906.8058424239573</v>
      </c>
    </row>
    <row r="61" spans="1:18" x14ac:dyDescent="0.25">
      <c r="A61" s="72">
        <f t="shared" ref="A61:A80" si="4">A60-0.05</f>
        <v>0.95</v>
      </c>
      <c r="B61" s="28">
        <f>'Figure 2 - vented vs intl prod'!B7+$A$56</f>
        <v>1766</v>
      </c>
      <c r="C61" s="28">
        <f>'Figure 2 - vented vs intl prod'!C7+$A$56</f>
        <v>1782.5641025641025</v>
      </c>
      <c r="D61" s="28">
        <f>'Figure 2 - vented vs intl prod'!D7+$A$56</f>
        <v>1800</v>
      </c>
      <c r="E61" s="28">
        <f>'Figure 2 - vented vs intl prod'!E7+$A$56</f>
        <v>1818.3783783783783</v>
      </c>
      <c r="F61" s="28">
        <f>'Figure 2 - vented vs intl prod'!F7+$A$56</f>
        <v>1837.7777777777778</v>
      </c>
      <c r="G61" s="28">
        <f>'Figure 2 - vented vs intl prod'!G7+$A$56</f>
        <v>1858.2857142857142</v>
      </c>
      <c r="H61" s="28">
        <f>'Figure 2 - vented vs intl prod'!H7+$A$56</f>
        <v>1880</v>
      </c>
      <c r="I61" s="28">
        <f>'Figure 2 - vented vs intl prod'!I7+$A$56</f>
        <v>1714</v>
      </c>
      <c r="J61" s="28">
        <f>'Figure 2 - vented vs intl prod'!J7+$A$56</f>
        <v>1755.8974358974358</v>
      </c>
      <c r="K61" s="28">
        <f>'Figure 2 - vented vs intl prod'!K7+$A$56</f>
        <v>1800</v>
      </c>
      <c r="L61" s="28">
        <f>'Figure 2 - vented vs intl prod'!L7+$A$56</f>
        <v>1846.4864864864865</v>
      </c>
      <c r="M61" s="28">
        <f>'Figure 2 - vented vs intl prod'!M7+$A$56</f>
        <v>1895.5555555555554</v>
      </c>
      <c r="N61" s="28">
        <f>'Figure 2 - vented vs intl prod'!N7+$A$56</f>
        <v>1947.4285714285713</v>
      </c>
      <c r="O61" s="28">
        <f>'Figure 2 - vented vs intl prod'!O7+$A$56</f>
        <v>2002.3529411764705</v>
      </c>
      <c r="P61" s="28">
        <f t="shared" si="3"/>
        <v>1800</v>
      </c>
      <c r="Q61" s="28">
        <f>$A$56+'GWP of methane by scenario'!B$13</f>
        <v>1876.3638071841158</v>
      </c>
      <c r="R61" s="28">
        <f>$A$56+'GWP of methane by scenario'!B$14</f>
        <v>1906.8058424239573</v>
      </c>
    </row>
    <row r="62" spans="1:18" x14ac:dyDescent="0.25">
      <c r="A62" s="72">
        <f t="shared" si="4"/>
        <v>0.89999999999999991</v>
      </c>
      <c r="B62" s="28">
        <f>'Figure 2 - vented vs intl prod'!B8+$A$56</f>
        <v>1732</v>
      </c>
      <c r="C62" s="28">
        <f>'Figure 2 - vented vs intl prod'!C8+$A$56</f>
        <v>1747.6923076923076</v>
      </c>
      <c r="D62" s="28">
        <f>'Figure 2 - vented vs intl prod'!D8+$A$56</f>
        <v>1764.2105263157894</v>
      </c>
      <c r="E62" s="28">
        <f>'Figure 2 - vented vs intl prod'!E8+$A$56</f>
        <v>1781.6216216216217</v>
      </c>
      <c r="F62" s="28">
        <f>'Figure 2 - vented vs intl prod'!F8+$A$56</f>
        <v>1800</v>
      </c>
      <c r="G62" s="28">
        <f>'Figure 2 - vented vs intl prod'!G8+$A$56</f>
        <v>1819.4285714285713</v>
      </c>
      <c r="H62" s="28">
        <f>'Figure 2 - vented vs intl prod'!H8+$A$56</f>
        <v>1840</v>
      </c>
      <c r="I62" s="28">
        <f>'Figure 2 - vented vs intl prod'!I8+$A$56</f>
        <v>1627.9999999999998</v>
      </c>
      <c r="J62" s="28">
        <f>'Figure 2 - vented vs intl prod'!J8+$A$56</f>
        <v>1667.6923076923076</v>
      </c>
      <c r="K62" s="28">
        <f>'Figure 2 - vented vs intl prod'!K8+$A$56</f>
        <v>1709.4736842105262</v>
      </c>
      <c r="L62" s="28">
        <f>'Figure 2 - vented vs intl prod'!L8+$A$56</f>
        <v>1753.5135135135133</v>
      </c>
      <c r="M62" s="28">
        <f>'Figure 2 - vented vs intl prod'!M8+$A$56</f>
        <v>1800</v>
      </c>
      <c r="N62" s="28">
        <f>'Figure 2 - vented vs intl prod'!N8+$A$56</f>
        <v>1849.1428571428569</v>
      </c>
      <c r="O62" s="28">
        <f>'Figure 2 - vented vs intl prod'!O8+$A$56</f>
        <v>1901.1764705882351</v>
      </c>
      <c r="P62" s="28">
        <f t="shared" si="3"/>
        <v>1800</v>
      </c>
      <c r="Q62" s="28">
        <f>$A$56+'GWP of methane by scenario'!B$13</f>
        <v>1876.3638071841158</v>
      </c>
      <c r="R62" s="28">
        <f>$A$56+'GWP of methane by scenario'!B$14</f>
        <v>1906.8058424239573</v>
      </c>
    </row>
    <row r="63" spans="1:18" x14ac:dyDescent="0.25">
      <c r="A63" s="72">
        <f t="shared" si="4"/>
        <v>0.84999999999999987</v>
      </c>
      <c r="B63" s="28">
        <f>'Figure 2 - vented vs intl prod'!B9+$A$56</f>
        <v>1698</v>
      </c>
      <c r="C63" s="28">
        <f>'Figure 2 - vented vs intl prod'!C9+$A$56</f>
        <v>1712.8205128205127</v>
      </c>
      <c r="D63" s="28">
        <f>'Figure 2 - vented vs intl prod'!D9+$A$56</f>
        <v>1728.4210526315787</v>
      </c>
      <c r="E63" s="28">
        <f>'Figure 2 - vented vs intl prod'!E9+$A$56</f>
        <v>1744.8648648648648</v>
      </c>
      <c r="F63" s="28">
        <f>'Figure 2 - vented vs intl prod'!F9+$A$56</f>
        <v>1762.2222222222222</v>
      </c>
      <c r="G63" s="28">
        <f>'Figure 2 - vented vs intl prod'!G9+$A$56</f>
        <v>1780.5714285714284</v>
      </c>
      <c r="H63" s="28">
        <f>'Figure 2 - vented vs intl prod'!H9+$A$56</f>
        <v>1800</v>
      </c>
      <c r="I63" s="28">
        <f>'Figure 2 - vented vs intl prod'!I9+$A$56</f>
        <v>1541.9999999999998</v>
      </c>
      <c r="J63" s="28">
        <f>'Figure 2 - vented vs intl prod'!J9+$A$56</f>
        <v>1579.4871794871792</v>
      </c>
      <c r="K63" s="28">
        <f>'Figure 2 - vented vs intl prod'!K9+$A$56</f>
        <v>1618.9473684210525</v>
      </c>
      <c r="L63" s="28">
        <f>'Figure 2 - vented vs intl prod'!L9+$A$56</f>
        <v>1660.5405405405404</v>
      </c>
      <c r="M63" s="28">
        <f>'Figure 2 - vented vs intl prod'!M9+$A$56</f>
        <v>1704.4444444444441</v>
      </c>
      <c r="N63" s="28">
        <f>'Figure 2 - vented vs intl prod'!N9+$A$56</f>
        <v>1750.8571428571427</v>
      </c>
      <c r="O63" s="28">
        <f>'Figure 2 - vented vs intl prod'!O9+$A$56</f>
        <v>1800</v>
      </c>
      <c r="P63" s="28">
        <f t="shared" si="3"/>
        <v>1800</v>
      </c>
      <c r="Q63" s="28">
        <f>$A$56+'GWP of methane by scenario'!B$13</f>
        <v>1876.3638071841158</v>
      </c>
      <c r="R63" s="28">
        <f>$A$56+'GWP of methane by scenario'!B$14</f>
        <v>1906.8058424239573</v>
      </c>
    </row>
    <row r="64" spans="1:18" x14ac:dyDescent="0.25">
      <c r="A64" s="72">
        <f t="shared" si="4"/>
        <v>0.79999999999999982</v>
      </c>
      <c r="B64" s="28">
        <f>'Figure 2 - vented vs intl prod'!B10+$A$56</f>
        <v>1664</v>
      </c>
      <c r="C64" s="28">
        <f>'Figure 2 - vented vs intl prod'!C10+$A$56</f>
        <v>1677.9487179487178</v>
      </c>
      <c r="D64" s="28">
        <f>'Figure 2 - vented vs intl prod'!D10+$A$56</f>
        <v>1692.6315789473683</v>
      </c>
      <c r="E64" s="28">
        <f>'Figure 2 - vented vs intl prod'!E10+$A$56</f>
        <v>1708.1081081081079</v>
      </c>
      <c r="F64" s="28">
        <f>'Figure 2 - vented vs intl prod'!F10+$A$56</f>
        <v>1724.4444444444443</v>
      </c>
      <c r="G64" s="28">
        <f>'Figure 2 - vented vs intl prod'!G10+$A$56</f>
        <v>1741.7142857142856</v>
      </c>
      <c r="H64" s="28">
        <f>'Figure 2 - vented vs intl prod'!H10+$A$56</f>
        <v>1759.9999999999998</v>
      </c>
      <c r="I64" s="28">
        <f>'Figure 2 - vented vs intl prod'!I10+$A$56</f>
        <v>1455.9999999999998</v>
      </c>
      <c r="J64" s="28">
        <f>'Figure 2 - vented vs intl prod'!J10+$A$56</f>
        <v>1491.282051282051</v>
      </c>
      <c r="K64" s="28">
        <f>'Figure 2 - vented vs intl prod'!K10+$A$56</f>
        <v>1528.4210526315787</v>
      </c>
      <c r="L64" s="28">
        <f>'Figure 2 - vented vs intl prod'!L10+$A$56</f>
        <v>1567.5675675675673</v>
      </c>
      <c r="M64" s="28">
        <f>'Figure 2 - vented vs intl prod'!M10+$A$56</f>
        <v>1608.8888888888887</v>
      </c>
      <c r="N64" s="28">
        <f>'Figure 2 - vented vs intl prod'!N10+$A$56</f>
        <v>1652.5714285714282</v>
      </c>
      <c r="O64" s="28">
        <f>'Figure 2 - vented vs intl prod'!O10+$A$56</f>
        <v>1698.8235294117644</v>
      </c>
      <c r="P64" s="28">
        <f t="shared" si="3"/>
        <v>1800</v>
      </c>
      <c r="Q64" s="28">
        <f>$A$56+'GWP of methane by scenario'!B$13</f>
        <v>1876.3638071841158</v>
      </c>
      <c r="R64" s="28">
        <f>$A$56+'GWP of methane by scenario'!B$14</f>
        <v>1906.8058424239573</v>
      </c>
    </row>
    <row r="65" spans="1:18" x14ac:dyDescent="0.25">
      <c r="A65" s="72">
        <f t="shared" si="4"/>
        <v>0.74999999999999978</v>
      </c>
      <c r="B65" s="28">
        <f>'Figure 2 - vented vs intl prod'!B11+$A$56</f>
        <v>1629.9999999999998</v>
      </c>
      <c r="C65" s="28">
        <f>'Figure 2 - vented vs intl prod'!C11+$A$56</f>
        <v>1643.0769230769229</v>
      </c>
      <c r="D65" s="28">
        <f>'Figure 2 - vented vs intl prod'!D11+$A$56</f>
        <v>1656.8421052631577</v>
      </c>
      <c r="E65" s="28">
        <f>'Figure 2 - vented vs intl prod'!E11+$A$56</f>
        <v>1671.3513513513512</v>
      </c>
      <c r="F65" s="28">
        <f>'Figure 2 - vented vs intl prod'!F11+$A$56</f>
        <v>1686.6666666666665</v>
      </c>
      <c r="G65" s="28">
        <f>'Figure 2 - vented vs intl prod'!G11+$A$56</f>
        <v>1702.8571428571427</v>
      </c>
      <c r="H65" s="28">
        <f>'Figure 2 - vented vs intl prod'!H11+$A$56</f>
        <v>1719.9999999999998</v>
      </c>
      <c r="I65" s="28">
        <f>'Figure 2 - vented vs intl prod'!I11+$A$56</f>
        <v>1369.9999999999995</v>
      </c>
      <c r="J65" s="28">
        <f>'Figure 2 - vented vs intl prod'!J11+$A$56</f>
        <v>1403.0769230769226</v>
      </c>
      <c r="K65" s="28">
        <f>'Figure 2 - vented vs intl prod'!K11+$A$56</f>
        <v>1437.894736842105</v>
      </c>
      <c r="L65" s="28">
        <f>'Figure 2 - vented vs intl prod'!L11+$A$56</f>
        <v>1474.5945945945941</v>
      </c>
      <c r="M65" s="28">
        <f>'Figure 2 - vented vs intl prod'!M11+$A$56</f>
        <v>1513.333333333333</v>
      </c>
      <c r="N65" s="28">
        <f>'Figure 2 - vented vs intl prod'!N11+$A$56</f>
        <v>1554.2857142857138</v>
      </c>
      <c r="O65" s="28">
        <f>'Figure 2 - vented vs intl prod'!O11+$A$56</f>
        <v>1597.6470588235288</v>
      </c>
      <c r="P65" s="28">
        <f t="shared" si="3"/>
        <v>1800</v>
      </c>
      <c r="Q65" s="28">
        <f>$A$56+'GWP of methane by scenario'!B$13</f>
        <v>1876.3638071841158</v>
      </c>
      <c r="R65" s="28">
        <f>$A$56+'GWP of methane by scenario'!B$14</f>
        <v>1906.8058424239573</v>
      </c>
    </row>
    <row r="66" spans="1:18" x14ac:dyDescent="0.25">
      <c r="A66" s="72">
        <f t="shared" si="4"/>
        <v>0.69999999999999973</v>
      </c>
      <c r="B66" s="28">
        <f>'Figure 2 - vented vs intl prod'!B12+$A$56</f>
        <v>1595.9999999999998</v>
      </c>
      <c r="C66" s="28">
        <f>'Figure 2 - vented vs intl prod'!C12+$A$56</f>
        <v>1608.2051282051279</v>
      </c>
      <c r="D66" s="28">
        <f>'Figure 2 - vented vs intl prod'!D12+$A$56</f>
        <v>1621.0526315789471</v>
      </c>
      <c r="E66" s="28">
        <f>'Figure 2 - vented vs intl prod'!E12+$A$56</f>
        <v>1634.5945945945944</v>
      </c>
      <c r="F66" s="28">
        <f>'Figure 2 - vented vs intl prod'!F12+$A$56</f>
        <v>1648.8888888888887</v>
      </c>
      <c r="G66" s="28">
        <f>'Figure 2 - vented vs intl prod'!G12+$A$56</f>
        <v>1663.9999999999998</v>
      </c>
      <c r="H66" s="28">
        <f>'Figure 2 - vented vs intl prod'!H12+$A$56</f>
        <v>1679.9999999999998</v>
      </c>
      <c r="I66" s="28">
        <f>'Figure 2 - vented vs intl prod'!I12+$A$56</f>
        <v>1283.9999999999995</v>
      </c>
      <c r="J66" s="28">
        <f>'Figure 2 - vented vs intl prod'!J12+$A$56</f>
        <v>1314.8717948717945</v>
      </c>
      <c r="K66" s="28">
        <f>'Figure 2 - vented vs intl prod'!K12+$A$56</f>
        <v>1347.3684210526312</v>
      </c>
      <c r="L66" s="28">
        <f>'Figure 2 - vented vs intl prod'!L12+$A$56</f>
        <v>1381.6216216216212</v>
      </c>
      <c r="M66" s="28">
        <f>'Figure 2 - vented vs intl prod'!M12+$A$56</f>
        <v>1417.7777777777774</v>
      </c>
      <c r="N66" s="28">
        <f>'Figure 2 - vented vs intl prod'!N12+$A$56</f>
        <v>1455.9999999999995</v>
      </c>
      <c r="O66" s="28">
        <f>'Figure 2 - vented vs intl prod'!O12+$A$56</f>
        <v>1496.4705882352935</v>
      </c>
      <c r="P66" s="28">
        <f t="shared" si="3"/>
        <v>1800</v>
      </c>
      <c r="Q66" s="28">
        <f>$A$56+'GWP of methane by scenario'!B$13</f>
        <v>1876.3638071841158</v>
      </c>
      <c r="R66" s="28">
        <f>$A$56+'GWP of methane by scenario'!B$14</f>
        <v>1906.8058424239573</v>
      </c>
    </row>
    <row r="67" spans="1:18" x14ac:dyDescent="0.25">
      <c r="A67" s="72">
        <f t="shared" si="4"/>
        <v>0.64999999999999969</v>
      </c>
      <c r="B67" s="28">
        <f>'Figure 2 - vented vs intl prod'!B13+$A$56</f>
        <v>1561.9999999999998</v>
      </c>
      <c r="C67" s="28">
        <f>'Figure 2 - vented vs intl prod'!C13+$A$56</f>
        <v>1573.333333333333</v>
      </c>
      <c r="D67" s="28">
        <f>'Figure 2 - vented vs intl prod'!D13+$A$56</f>
        <v>1585.2631578947367</v>
      </c>
      <c r="E67" s="28">
        <f>'Figure 2 - vented vs intl prod'!E13+$A$56</f>
        <v>1597.8378378378377</v>
      </c>
      <c r="F67" s="28">
        <f>'Figure 2 - vented vs intl prod'!F13+$A$56</f>
        <v>1611.1111111111109</v>
      </c>
      <c r="G67" s="28">
        <f>'Figure 2 - vented vs intl prod'!G13+$A$56</f>
        <v>1625.1428571428569</v>
      </c>
      <c r="H67" s="28">
        <f>'Figure 2 - vented vs intl prod'!H13+$A$56</f>
        <v>1639.9999999999998</v>
      </c>
      <c r="I67" s="28">
        <f>'Figure 2 - vented vs intl prod'!I13+$A$56</f>
        <v>1197.9999999999995</v>
      </c>
      <c r="J67" s="28">
        <f>'Figure 2 - vented vs intl prod'!J13+$A$56</f>
        <v>1226.6666666666661</v>
      </c>
      <c r="K67" s="28">
        <f>'Figure 2 - vented vs intl prod'!K13+$A$56</f>
        <v>1256.8421052631575</v>
      </c>
      <c r="L67" s="28">
        <f>'Figure 2 - vented vs intl prod'!L13+$A$56</f>
        <v>1288.6486486486481</v>
      </c>
      <c r="M67" s="28">
        <f>'Figure 2 - vented vs intl prod'!M13+$A$56</f>
        <v>1322.2222222222217</v>
      </c>
      <c r="N67" s="28">
        <f>'Figure 2 - vented vs intl prod'!N13+$A$56</f>
        <v>1357.7142857142851</v>
      </c>
      <c r="O67" s="28">
        <f>'Figure 2 - vented vs intl prod'!O13+$A$56</f>
        <v>1395.2941176470581</v>
      </c>
      <c r="P67" s="28">
        <f t="shared" si="3"/>
        <v>1800</v>
      </c>
      <c r="Q67" s="28">
        <f>$A$56+'GWP of methane by scenario'!B$13</f>
        <v>1876.3638071841158</v>
      </c>
      <c r="R67" s="28">
        <f>$A$56+'GWP of methane by scenario'!B$14</f>
        <v>1906.8058424239573</v>
      </c>
    </row>
    <row r="68" spans="1:18" x14ac:dyDescent="0.25">
      <c r="A68" s="72">
        <f t="shared" si="4"/>
        <v>0.59999999999999964</v>
      </c>
      <c r="B68" s="28">
        <f>'Figure 2 - vented vs intl prod'!B14+$A$56</f>
        <v>1527.9999999999998</v>
      </c>
      <c r="C68" s="28">
        <f>'Figure 2 - vented vs intl prod'!C14+$A$56</f>
        <v>1538.4615384615381</v>
      </c>
      <c r="D68" s="28">
        <f>'Figure 2 - vented vs intl prod'!D14+$A$56</f>
        <v>1549.473684210526</v>
      </c>
      <c r="E68" s="28">
        <f>'Figure 2 - vented vs intl prod'!E14+$A$56</f>
        <v>1561.0810810810808</v>
      </c>
      <c r="F68" s="28">
        <f>'Figure 2 - vented vs intl prod'!F14+$A$56</f>
        <v>1573.333333333333</v>
      </c>
      <c r="G68" s="28">
        <f>'Figure 2 - vented vs intl prod'!G14+$A$56</f>
        <v>1586.285714285714</v>
      </c>
      <c r="H68" s="28">
        <f>'Figure 2 - vented vs intl prod'!H14+$A$56</f>
        <v>1599.9999999999998</v>
      </c>
      <c r="I68" s="28">
        <f>'Figure 2 - vented vs intl prod'!I14+$A$56</f>
        <v>1111.9999999999995</v>
      </c>
      <c r="J68" s="28">
        <f>'Figure 2 - vented vs intl prod'!J14+$A$56</f>
        <v>1138.4615384615379</v>
      </c>
      <c r="K68" s="28">
        <f>'Figure 2 - vented vs intl prod'!K14+$A$56</f>
        <v>1166.3157894736837</v>
      </c>
      <c r="L68" s="28">
        <f>'Figure 2 - vented vs intl prod'!L14+$A$56</f>
        <v>1195.6756756756749</v>
      </c>
      <c r="M68" s="28">
        <f>'Figure 2 - vented vs intl prod'!M14+$A$56</f>
        <v>1226.6666666666661</v>
      </c>
      <c r="N68" s="28">
        <f>'Figure 2 - vented vs intl prod'!N14+$A$56</f>
        <v>1259.4285714285706</v>
      </c>
      <c r="O68" s="28">
        <f>'Figure 2 - vented vs intl prod'!O14+$A$56</f>
        <v>1294.1176470588227</v>
      </c>
      <c r="P68" s="28">
        <f t="shared" si="3"/>
        <v>1800</v>
      </c>
      <c r="Q68" s="28">
        <f>$A$56+'GWP of methane by scenario'!B$13</f>
        <v>1876.3638071841158</v>
      </c>
      <c r="R68" s="28">
        <f>$A$56+'GWP of methane by scenario'!B$14</f>
        <v>1906.8058424239573</v>
      </c>
    </row>
    <row r="69" spans="1:18" x14ac:dyDescent="0.25">
      <c r="A69" s="72">
        <f t="shared" si="4"/>
        <v>0.5499999999999996</v>
      </c>
      <c r="B69" s="28">
        <f>'Figure 2 - vented vs intl prod'!B15+$A$56</f>
        <v>1493.9999999999998</v>
      </c>
      <c r="C69" s="28">
        <f>'Figure 2 - vented vs intl prod'!C15+$A$56</f>
        <v>1503.5897435897432</v>
      </c>
      <c r="D69" s="28">
        <f>'Figure 2 - vented vs intl prod'!D15+$A$56</f>
        <v>1513.6842105263154</v>
      </c>
      <c r="E69" s="28">
        <f>'Figure 2 - vented vs intl prod'!E15+$A$56</f>
        <v>1524.3243243243242</v>
      </c>
      <c r="F69" s="28">
        <f>'Figure 2 - vented vs intl prod'!F15+$A$56</f>
        <v>1535.5555555555552</v>
      </c>
      <c r="G69" s="28">
        <f>'Figure 2 - vented vs intl prod'!G15+$A$56</f>
        <v>1547.4285714285711</v>
      </c>
      <c r="H69" s="28">
        <f>'Figure 2 - vented vs intl prod'!H15+$A$56</f>
        <v>1559.9999999999995</v>
      </c>
      <c r="I69" s="28">
        <f>'Figure 2 - vented vs intl prod'!I15+$A$56</f>
        <v>1025.9999999999993</v>
      </c>
      <c r="J69" s="28">
        <f>'Figure 2 - vented vs intl prod'!J15+$A$56</f>
        <v>1050.2564102564097</v>
      </c>
      <c r="K69" s="28">
        <f>'Figure 2 - vented vs intl prod'!K15+$A$56</f>
        <v>1075.78947368421</v>
      </c>
      <c r="L69" s="28">
        <f>'Figure 2 - vented vs intl prod'!L15+$A$56</f>
        <v>1102.702702702702</v>
      </c>
      <c r="M69" s="28">
        <f>'Figure 2 - vented vs intl prod'!M15+$A$56</f>
        <v>1131.1111111111104</v>
      </c>
      <c r="N69" s="28">
        <f>'Figure 2 - vented vs intl prod'!N15+$A$56</f>
        <v>1161.1428571428564</v>
      </c>
      <c r="O69" s="28">
        <f>'Figure 2 - vented vs intl prod'!O15+$A$56</f>
        <v>1192.9411764705874</v>
      </c>
      <c r="P69" s="28">
        <f t="shared" si="3"/>
        <v>1800</v>
      </c>
      <c r="Q69" s="28">
        <f>$A$56+'GWP of methane by scenario'!B$13</f>
        <v>1876.3638071841158</v>
      </c>
      <c r="R69" s="28">
        <f>$A$56+'GWP of methane by scenario'!B$14</f>
        <v>1906.8058424239573</v>
      </c>
    </row>
    <row r="70" spans="1:18" x14ac:dyDescent="0.25">
      <c r="A70" s="72">
        <f t="shared" si="4"/>
        <v>0.49999999999999961</v>
      </c>
      <c r="B70" s="28">
        <f>'Figure 2 - vented vs intl prod'!B16+$A$56</f>
        <v>1459.9999999999998</v>
      </c>
      <c r="C70" s="28">
        <f>'Figure 2 - vented vs intl prod'!C16+$A$56</f>
        <v>1468.7179487179485</v>
      </c>
      <c r="D70" s="28">
        <f>'Figure 2 - vented vs intl prod'!D16+$A$56</f>
        <v>1477.894736842105</v>
      </c>
      <c r="E70" s="28">
        <f>'Figure 2 - vented vs intl prod'!E16+$A$56</f>
        <v>1487.5675675675673</v>
      </c>
      <c r="F70" s="28">
        <f>'Figure 2 - vented vs intl prod'!F16+$A$56</f>
        <v>1497.7777777777774</v>
      </c>
      <c r="G70" s="28">
        <f>'Figure 2 - vented vs intl prod'!G16+$A$56</f>
        <v>1508.5714285714282</v>
      </c>
      <c r="H70" s="28">
        <f>'Figure 2 - vented vs intl prod'!H16+$A$56</f>
        <v>1519.9999999999995</v>
      </c>
      <c r="I70" s="28">
        <f>'Figure 2 - vented vs intl prod'!I16+$A$56</f>
        <v>939.9999999999992</v>
      </c>
      <c r="J70" s="28">
        <f>'Figure 2 - vented vs intl prod'!J16+$A$56</f>
        <v>962.05128205128119</v>
      </c>
      <c r="K70" s="28">
        <f>'Figure 2 - vented vs intl prod'!K16+$A$56</f>
        <v>985.26315789473597</v>
      </c>
      <c r="L70" s="28">
        <f>'Figure 2 - vented vs intl prod'!L16+$A$56</f>
        <v>1009.7297297297289</v>
      </c>
      <c r="M70" s="28">
        <f>'Figure 2 - vented vs intl prod'!M16+$A$56</f>
        <v>1035.5555555555547</v>
      </c>
      <c r="N70" s="28">
        <f>'Figure 2 - vented vs intl prod'!N16+$A$56</f>
        <v>1062.857142857142</v>
      </c>
      <c r="O70" s="28">
        <f>'Figure 2 - vented vs intl prod'!O16+$A$56</f>
        <v>1091.7647058823518</v>
      </c>
      <c r="P70" s="28">
        <f t="shared" si="3"/>
        <v>1800</v>
      </c>
      <c r="Q70" s="28">
        <f>$A$56+'GWP of methane by scenario'!B$13</f>
        <v>1876.3638071841158</v>
      </c>
      <c r="R70" s="28">
        <f>$A$56+'GWP of methane by scenario'!B$14</f>
        <v>1906.8058424239573</v>
      </c>
    </row>
    <row r="71" spans="1:18" x14ac:dyDescent="0.25">
      <c r="A71" s="72">
        <f t="shared" si="4"/>
        <v>0.44999999999999962</v>
      </c>
      <c r="B71" s="28">
        <f>'Figure 2 - vented vs intl prod'!B17+$A$56</f>
        <v>1425.9999999999998</v>
      </c>
      <c r="C71" s="28">
        <f>'Figure 2 - vented vs intl prod'!C17+$A$56</f>
        <v>1433.8461538461536</v>
      </c>
      <c r="D71" s="28">
        <f>'Figure 2 - vented vs intl prod'!D17+$A$56</f>
        <v>1442.1052631578943</v>
      </c>
      <c r="E71" s="28">
        <f>'Figure 2 - vented vs intl prod'!E17+$A$56</f>
        <v>1450.8108108108104</v>
      </c>
      <c r="F71" s="28">
        <f>'Figure 2 - vented vs intl prod'!F17+$A$56</f>
        <v>1459.9999999999995</v>
      </c>
      <c r="G71" s="28">
        <f>'Figure 2 - vented vs intl prod'!G17+$A$56</f>
        <v>1469.7142857142853</v>
      </c>
      <c r="H71" s="28">
        <f>'Figure 2 - vented vs intl prod'!H17+$A$56</f>
        <v>1479.9999999999995</v>
      </c>
      <c r="I71" s="28">
        <f>'Figure 2 - vented vs intl prod'!I17+$A$56</f>
        <v>853.99999999999932</v>
      </c>
      <c r="J71" s="28">
        <f>'Figure 2 - vented vs intl prod'!J17+$A$56</f>
        <v>873.84615384615313</v>
      </c>
      <c r="K71" s="28">
        <f>'Figure 2 - vented vs intl prod'!K17+$A$56</f>
        <v>894.73684210526244</v>
      </c>
      <c r="L71" s="28">
        <f>'Figure 2 - vented vs intl prod'!L17+$A$56</f>
        <v>916.75675675675598</v>
      </c>
      <c r="M71" s="28">
        <f>'Figure 2 - vented vs intl prod'!M17+$A$56</f>
        <v>939.9999999999992</v>
      </c>
      <c r="N71" s="28">
        <f>'Figure 2 - vented vs intl prod'!N17+$A$56</f>
        <v>964.57142857142776</v>
      </c>
      <c r="O71" s="28">
        <f>'Figure 2 - vented vs intl prod'!O17+$A$56</f>
        <v>990.58823529411677</v>
      </c>
      <c r="P71" s="28">
        <f t="shared" si="3"/>
        <v>1800</v>
      </c>
      <c r="Q71" s="28">
        <f>$A$56+'GWP of methane by scenario'!B$13</f>
        <v>1876.3638071841158</v>
      </c>
      <c r="R71" s="28">
        <f>$A$56+'GWP of methane by scenario'!B$14</f>
        <v>1906.8058424239573</v>
      </c>
    </row>
    <row r="72" spans="1:18" x14ac:dyDescent="0.25">
      <c r="A72" s="72">
        <f t="shared" si="4"/>
        <v>0.39999999999999963</v>
      </c>
      <c r="B72" s="28">
        <f>'Figure 2 - vented vs intl prod'!B18+$A$56</f>
        <v>1391.9999999999998</v>
      </c>
      <c r="C72" s="28">
        <f>'Figure 2 - vented vs intl prod'!C18+$A$56</f>
        <v>1398.9743589743587</v>
      </c>
      <c r="D72" s="28">
        <f>'Figure 2 - vented vs intl prod'!D18+$A$56</f>
        <v>1406.3157894736839</v>
      </c>
      <c r="E72" s="28">
        <f>'Figure 2 - vented vs intl prod'!E18+$A$56</f>
        <v>1414.0540540540537</v>
      </c>
      <c r="F72" s="28">
        <f>'Figure 2 - vented vs intl prod'!F18+$A$56</f>
        <v>1422.2222222222219</v>
      </c>
      <c r="G72" s="28">
        <f>'Figure 2 - vented vs intl prod'!G18+$A$56</f>
        <v>1430.8571428571427</v>
      </c>
      <c r="H72" s="28">
        <f>'Figure 2 - vented vs intl prod'!H18+$A$56</f>
        <v>1439.9999999999998</v>
      </c>
      <c r="I72" s="28">
        <f>'Figure 2 - vented vs intl prod'!I18+$A$56</f>
        <v>767.99999999999955</v>
      </c>
      <c r="J72" s="28">
        <f>'Figure 2 - vented vs intl prod'!J18+$A$56</f>
        <v>785.64102564102518</v>
      </c>
      <c r="K72" s="28">
        <f>'Figure 2 - vented vs intl prod'!K18+$A$56</f>
        <v>804.21052631578902</v>
      </c>
      <c r="L72" s="28">
        <f>'Figure 2 - vented vs intl prod'!L18+$A$56</f>
        <v>823.78378378378329</v>
      </c>
      <c r="M72" s="28">
        <f>'Figure 2 - vented vs intl prod'!M18+$A$56</f>
        <v>844.44444444444389</v>
      </c>
      <c r="N72" s="28">
        <f>'Figure 2 - vented vs intl prod'!N18+$A$56</f>
        <v>866.28571428571377</v>
      </c>
      <c r="O72" s="28">
        <f>'Figure 2 - vented vs intl prod'!O18+$A$56</f>
        <v>889.41176470588152</v>
      </c>
      <c r="P72" s="28">
        <f t="shared" si="3"/>
        <v>1800</v>
      </c>
      <c r="Q72" s="28">
        <f>$A$56+'GWP of methane by scenario'!B$13</f>
        <v>1876.3638071841158</v>
      </c>
      <c r="R72" s="28">
        <f>$A$56+'GWP of methane by scenario'!B$14</f>
        <v>1906.8058424239573</v>
      </c>
    </row>
    <row r="73" spans="1:18" x14ac:dyDescent="0.25">
      <c r="A73" s="72">
        <f t="shared" si="4"/>
        <v>0.34999999999999964</v>
      </c>
      <c r="B73" s="28">
        <f>'Figure 2 - vented vs intl prod'!B19+$A$56</f>
        <v>1357.9999999999998</v>
      </c>
      <c r="C73" s="28">
        <f>'Figure 2 - vented vs intl prod'!C19+$A$56</f>
        <v>1364.102564102564</v>
      </c>
      <c r="D73" s="28">
        <f>'Figure 2 - vented vs intl prod'!D19+$A$56</f>
        <v>1370.5263157894733</v>
      </c>
      <c r="E73" s="28">
        <f>'Figure 2 - vented vs intl prod'!E19+$A$56</f>
        <v>1377.2972972972971</v>
      </c>
      <c r="F73" s="28">
        <f>'Figure 2 - vented vs intl prod'!F19+$A$56</f>
        <v>1384.4444444444441</v>
      </c>
      <c r="G73" s="28">
        <f>'Figure 2 - vented vs intl prod'!G19+$A$56</f>
        <v>1391.9999999999998</v>
      </c>
      <c r="H73" s="28">
        <f>'Figure 2 - vented vs intl prod'!H19+$A$56</f>
        <v>1399.9999999999998</v>
      </c>
      <c r="I73" s="28">
        <f>'Figure 2 - vented vs intl prod'!I19+$A$56</f>
        <v>681.99999999999932</v>
      </c>
      <c r="J73" s="28">
        <f>'Figure 2 - vented vs intl prod'!J19+$A$56</f>
        <v>697.43589743589678</v>
      </c>
      <c r="K73" s="28">
        <f>'Figure 2 - vented vs intl prod'!K19+$A$56</f>
        <v>713.68421052631516</v>
      </c>
      <c r="L73" s="28">
        <f>'Figure 2 - vented vs intl prod'!L19+$A$56</f>
        <v>730.81081081081015</v>
      </c>
      <c r="M73" s="28">
        <f>'Figure 2 - vented vs intl prod'!M19+$A$56</f>
        <v>748.88888888888823</v>
      </c>
      <c r="N73" s="28">
        <f>'Figure 2 - vented vs intl prod'!N19+$A$56</f>
        <v>767.99999999999932</v>
      </c>
      <c r="O73" s="28">
        <f>'Figure 2 - vented vs intl prod'!O19+$A$56</f>
        <v>788.23529411764628</v>
      </c>
      <c r="P73" s="28">
        <f t="shared" si="3"/>
        <v>1800</v>
      </c>
      <c r="Q73" s="28">
        <f>$A$56+'GWP of methane by scenario'!B$13</f>
        <v>1876.3638071841158</v>
      </c>
      <c r="R73" s="28">
        <f>$A$56+'GWP of methane by scenario'!B$14</f>
        <v>1906.8058424239573</v>
      </c>
    </row>
    <row r="74" spans="1:18" x14ac:dyDescent="0.25">
      <c r="A74" s="72">
        <f t="shared" si="4"/>
        <v>0.29999999999999966</v>
      </c>
      <c r="B74" s="28">
        <f>'Figure 2 - vented vs intl prod'!B20+$A$56</f>
        <v>1323.9999999999998</v>
      </c>
      <c r="C74" s="28">
        <f>'Figure 2 - vented vs intl prod'!C20+$A$56</f>
        <v>1329.2307692307691</v>
      </c>
      <c r="D74" s="28">
        <f>'Figure 2 - vented vs intl prod'!D20+$A$56</f>
        <v>1334.7368421052629</v>
      </c>
      <c r="E74" s="28">
        <f>'Figure 2 - vented vs intl prod'!E20+$A$56</f>
        <v>1340.5405405405402</v>
      </c>
      <c r="F74" s="28">
        <f>'Figure 2 - vented vs intl prod'!F20+$A$56</f>
        <v>1346.6666666666663</v>
      </c>
      <c r="G74" s="28">
        <f>'Figure 2 - vented vs intl prod'!G20+$A$56</f>
        <v>1353.1428571428569</v>
      </c>
      <c r="H74" s="28">
        <f>'Figure 2 - vented vs intl prod'!H20+$A$56</f>
        <v>1359.9999999999995</v>
      </c>
      <c r="I74" s="28">
        <f>'Figure 2 - vented vs intl prod'!I20+$A$56</f>
        <v>595.99999999999932</v>
      </c>
      <c r="J74" s="28">
        <f>'Figure 2 - vented vs intl prod'!J20+$A$56</f>
        <v>609.2307692307686</v>
      </c>
      <c r="K74" s="28">
        <f>'Figure 2 - vented vs intl prod'!K20+$A$56</f>
        <v>623.1578947368414</v>
      </c>
      <c r="L74" s="28">
        <f>'Figure 2 - vented vs intl prod'!L20+$A$56</f>
        <v>637.83783783783701</v>
      </c>
      <c r="M74" s="28">
        <f>'Figure 2 - vented vs intl prod'!M20+$A$56</f>
        <v>653.33333333333258</v>
      </c>
      <c r="N74" s="28">
        <f>'Figure 2 - vented vs intl prod'!N20+$A$56</f>
        <v>669.71428571428487</v>
      </c>
      <c r="O74" s="28">
        <f>'Figure 2 - vented vs intl prod'!O20+$A$56</f>
        <v>687.0588235294108</v>
      </c>
      <c r="P74" s="28">
        <f t="shared" si="3"/>
        <v>1800</v>
      </c>
      <c r="Q74" s="28">
        <f>$A$56+'GWP of methane by scenario'!B$13</f>
        <v>1876.3638071841158</v>
      </c>
      <c r="R74" s="28">
        <f>$A$56+'GWP of methane by scenario'!B$14</f>
        <v>1906.8058424239573</v>
      </c>
    </row>
    <row r="75" spans="1:18" x14ac:dyDescent="0.25">
      <c r="A75" s="72">
        <f t="shared" si="4"/>
        <v>0.24999999999999967</v>
      </c>
      <c r="B75" s="28">
        <f>'Figure 2 - vented vs intl prod'!B21+$A$56</f>
        <v>1289.9999999999998</v>
      </c>
      <c r="C75" s="28">
        <f>'Figure 2 - vented vs intl prod'!C21+$A$56</f>
        <v>1294.3589743589741</v>
      </c>
      <c r="D75" s="28">
        <f>'Figure 2 - vented vs intl prod'!D21+$A$56</f>
        <v>1298.9473684210523</v>
      </c>
      <c r="E75" s="28">
        <f>'Figure 2 - vented vs intl prod'!E21+$A$56</f>
        <v>1303.7837837837835</v>
      </c>
      <c r="F75" s="28">
        <f>'Figure 2 - vented vs intl prod'!F21+$A$56</f>
        <v>1308.8888888888887</v>
      </c>
      <c r="G75" s="28">
        <f>'Figure 2 - vented vs intl prod'!G21+$A$56</f>
        <v>1314.285714285714</v>
      </c>
      <c r="H75" s="28">
        <f>'Figure 2 - vented vs intl prod'!H21+$A$56</f>
        <v>1319.9999999999998</v>
      </c>
      <c r="I75" s="28">
        <f>'Figure 2 - vented vs intl prod'!I21+$A$56</f>
        <v>509.99999999999932</v>
      </c>
      <c r="J75" s="28">
        <f>'Figure 2 - vented vs intl prod'!J21+$A$56</f>
        <v>521.02564102564043</v>
      </c>
      <c r="K75" s="28">
        <f>'Figure 2 - vented vs intl prod'!K21+$A$56</f>
        <v>532.63157894736764</v>
      </c>
      <c r="L75" s="28">
        <f>'Figure 2 - vented vs intl prod'!L21+$A$56</f>
        <v>544.8648648648641</v>
      </c>
      <c r="M75" s="28">
        <f>'Figure 2 - vented vs intl prod'!M21+$A$56</f>
        <v>557.77777777777692</v>
      </c>
      <c r="N75" s="28">
        <f>'Figure 2 - vented vs intl prod'!N21+$A$56</f>
        <v>571.42857142857065</v>
      </c>
      <c r="O75" s="28">
        <f>'Figure 2 - vented vs intl prod'!O21+$A$56</f>
        <v>585.88235294117567</v>
      </c>
      <c r="P75" s="28">
        <f t="shared" si="3"/>
        <v>1800</v>
      </c>
      <c r="Q75" s="28">
        <f>$A$56+'GWP of methane by scenario'!B$13</f>
        <v>1876.3638071841158</v>
      </c>
      <c r="R75" s="28">
        <f>$A$56+'GWP of methane by scenario'!B$14</f>
        <v>1906.8058424239573</v>
      </c>
    </row>
    <row r="76" spans="1:18" x14ac:dyDescent="0.25">
      <c r="A76" s="72">
        <f t="shared" si="4"/>
        <v>0.19999999999999968</v>
      </c>
      <c r="B76" s="28">
        <f>'Figure 2 - vented vs intl prod'!B22+$A$56</f>
        <v>1255.9999999999998</v>
      </c>
      <c r="C76" s="28">
        <f>'Figure 2 - vented vs intl prod'!C22+$A$56</f>
        <v>1259.4871794871792</v>
      </c>
      <c r="D76" s="28">
        <f>'Figure 2 - vented vs intl prod'!D22+$A$56</f>
        <v>1263.1578947368419</v>
      </c>
      <c r="E76" s="28">
        <f>'Figure 2 - vented vs intl prod'!E22+$A$56</f>
        <v>1267.0270270270266</v>
      </c>
      <c r="F76" s="28">
        <f>'Figure 2 - vented vs intl prod'!F22+$A$56</f>
        <v>1271.1111111111109</v>
      </c>
      <c r="G76" s="28">
        <f>'Figure 2 - vented vs intl prod'!G22+$A$56</f>
        <v>1275.4285714285711</v>
      </c>
      <c r="H76" s="28">
        <f>'Figure 2 - vented vs intl prod'!H22+$A$56</f>
        <v>1279.9999999999998</v>
      </c>
      <c r="I76" s="28">
        <f>'Figure 2 - vented vs intl prod'!I22+$A$56</f>
        <v>423.99999999999955</v>
      </c>
      <c r="J76" s="28">
        <f>'Figure 2 - vented vs intl prod'!J22+$A$56</f>
        <v>432.82051282051225</v>
      </c>
      <c r="K76" s="28">
        <f>'Figure 2 - vented vs intl prod'!K22+$A$56</f>
        <v>442.10526315789434</v>
      </c>
      <c r="L76" s="28">
        <f>'Figure 2 - vented vs intl prod'!L22+$A$56</f>
        <v>451.89189189189142</v>
      </c>
      <c r="M76" s="28">
        <f>'Figure 2 - vented vs intl prod'!M22+$A$56</f>
        <v>462.22222222222172</v>
      </c>
      <c r="N76" s="28">
        <f>'Figure 2 - vented vs intl prod'!N22+$A$56</f>
        <v>473.14285714285666</v>
      </c>
      <c r="O76" s="28">
        <f>'Figure 2 - vented vs intl prod'!O22+$A$56</f>
        <v>484.70588235294031</v>
      </c>
      <c r="P76" s="28">
        <f t="shared" si="3"/>
        <v>1800</v>
      </c>
      <c r="Q76" s="28">
        <f>$A$56+'GWP of methane by scenario'!B$13</f>
        <v>1876.3638071841158</v>
      </c>
      <c r="R76" s="28">
        <f>$A$56+'GWP of methane by scenario'!B$14</f>
        <v>1906.8058424239573</v>
      </c>
    </row>
    <row r="77" spans="1:18" x14ac:dyDescent="0.25">
      <c r="A77" s="72">
        <f t="shared" si="4"/>
        <v>0.14999999999999969</v>
      </c>
      <c r="B77" s="28">
        <f>'Figure 2 - vented vs intl prod'!B23+$A$56</f>
        <v>1221.9999999999998</v>
      </c>
      <c r="C77" s="28">
        <f>'Figure 2 - vented vs intl prod'!C23+$A$56</f>
        <v>1224.6153846153843</v>
      </c>
      <c r="D77" s="28">
        <f>'Figure 2 - vented vs intl prod'!D23+$A$56</f>
        <v>1227.3684210526312</v>
      </c>
      <c r="E77" s="28">
        <f>'Figure 2 - vented vs intl prod'!E23+$A$56</f>
        <v>1230.27027027027</v>
      </c>
      <c r="F77" s="28">
        <f>'Figure 2 - vented vs intl prod'!F23+$A$56</f>
        <v>1233.333333333333</v>
      </c>
      <c r="G77" s="28">
        <f>'Figure 2 - vented vs intl prod'!G23+$A$56</f>
        <v>1236.5714285714284</v>
      </c>
      <c r="H77" s="28">
        <f>'Figure 2 - vented vs intl prod'!H23+$A$56</f>
        <v>1239.9999999999998</v>
      </c>
      <c r="I77" s="28">
        <f>'Figure 2 - vented vs intl prod'!I23+$A$56</f>
        <v>337.99999999999955</v>
      </c>
      <c r="J77" s="28">
        <f>'Figure 2 - vented vs intl prod'!J23+$A$56</f>
        <v>344.61538461538407</v>
      </c>
      <c r="K77" s="28">
        <f>'Figure 2 - vented vs intl prod'!K23+$A$56</f>
        <v>351.57894736842059</v>
      </c>
      <c r="L77" s="28">
        <f>'Figure 2 - vented vs intl prod'!L23+$A$56</f>
        <v>358.91891891891851</v>
      </c>
      <c r="M77" s="28">
        <f>'Figure 2 - vented vs intl prod'!M23+$A$56</f>
        <v>366.66666666666606</v>
      </c>
      <c r="N77" s="28">
        <f>'Figure 2 - vented vs intl prod'!N23+$A$56</f>
        <v>374.85714285714243</v>
      </c>
      <c r="O77" s="28">
        <f>'Figure 2 - vented vs intl prod'!O23+$A$56</f>
        <v>383.52941176470517</v>
      </c>
      <c r="P77" s="28">
        <f t="shared" si="3"/>
        <v>1800</v>
      </c>
      <c r="Q77" s="28">
        <f>$A$56+'GWP of methane by scenario'!B$13</f>
        <v>1876.3638071841158</v>
      </c>
      <c r="R77" s="28">
        <f>$A$56+'GWP of methane by scenario'!B$14</f>
        <v>1906.8058424239573</v>
      </c>
    </row>
    <row r="78" spans="1:18" x14ac:dyDescent="0.25">
      <c r="A78" s="72">
        <f t="shared" si="4"/>
        <v>9.9999999999999686E-2</v>
      </c>
      <c r="B78" s="28">
        <f>'Figure 2 - vented vs intl prod'!B24+$A$56</f>
        <v>1187.9999999999998</v>
      </c>
      <c r="C78" s="28">
        <f>'Figure 2 - vented vs intl prod'!C24+$A$56</f>
        <v>1189.7435897435894</v>
      </c>
      <c r="D78" s="28">
        <f>'Figure 2 - vented vs intl prod'!D24+$A$56</f>
        <v>1191.5789473684208</v>
      </c>
      <c r="E78" s="28">
        <f>'Figure 2 - vented vs intl prod'!E24+$A$56</f>
        <v>1193.5135135135133</v>
      </c>
      <c r="F78" s="28">
        <f>'Figure 2 - vented vs intl prod'!F24+$A$56</f>
        <v>1195.5555555555552</v>
      </c>
      <c r="G78" s="28">
        <f>'Figure 2 - vented vs intl prod'!G24+$A$56</f>
        <v>1197.7142857142853</v>
      </c>
      <c r="H78" s="28">
        <f>'Figure 2 - vented vs intl prod'!H24+$A$56</f>
        <v>1199.9999999999998</v>
      </c>
      <c r="I78" s="28">
        <f>'Figure 2 - vented vs intl prod'!I24+$A$56</f>
        <v>251.99999999999932</v>
      </c>
      <c r="J78" s="28">
        <f>'Figure 2 - vented vs intl prod'!J24+$A$56</f>
        <v>256.41025641025567</v>
      </c>
      <c r="K78" s="28">
        <f>'Figure 2 - vented vs intl prod'!K24+$A$56</f>
        <v>261.0526315789466</v>
      </c>
      <c r="L78" s="28">
        <f>'Figure 2 - vented vs intl prod'!L24+$A$56</f>
        <v>265.94594594594514</v>
      </c>
      <c r="M78" s="28">
        <f>'Figure 2 - vented vs intl prod'!M24+$A$56</f>
        <v>271.1111111111104</v>
      </c>
      <c r="N78" s="28">
        <f>'Figure 2 - vented vs intl prod'!N24+$A$56</f>
        <v>276.57142857142776</v>
      </c>
      <c r="O78" s="28">
        <f>'Figure 2 - vented vs intl prod'!O24+$A$56</f>
        <v>282.35294117646959</v>
      </c>
      <c r="P78" s="28">
        <f t="shared" si="3"/>
        <v>1800</v>
      </c>
      <c r="Q78" s="28">
        <f>$A$56+'GWP of methane by scenario'!B$13</f>
        <v>1876.3638071841158</v>
      </c>
      <c r="R78" s="28">
        <f>$A$56+'GWP of methane by scenario'!B$14</f>
        <v>1906.8058424239573</v>
      </c>
    </row>
    <row r="79" spans="1:18" x14ac:dyDescent="0.25">
      <c r="A79" s="72">
        <f t="shared" si="4"/>
        <v>4.9999999999999684E-2</v>
      </c>
      <c r="B79" s="28">
        <f>'Figure 2 - vented vs intl prod'!B25+$A$56</f>
        <v>1153.9999999999998</v>
      </c>
      <c r="C79" s="28">
        <f>'Figure 2 - vented vs intl prod'!C25+$A$56</f>
        <v>1154.8717948717947</v>
      </c>
      <c r="D79" s="28">
        <f>'Figure 2 - vented vs intl prod'!D25+$A$56</f>
        <v>1155.7894736842102</v>
      </c>
      <c r="E79" s="28">
        <f>'Figure 2 - vented vs intl prod'!E25+$A$56</f>
        <v>1156.7567567567567</v>
      </c>
      <c r="F79" s="28">
        <f>'Figure 2 - vented vs intl prod'!F25+$A$56</f>
        <v>1157.7777777777774</v>
      </c>
      <c r="G79" s="28">
        <f>'Figure 2 - vented vs intl prod'!G25+$A$56</f>
        <v>1158.8571428571427</v>
      </c>
      <c r="H79" s="28">
        <f>'Figure 2 - vented vs intl prod'!H25+$A$56</f>
        <v>1159.9999999999998</v>
      </c>
      <c r="I79" s="28">
        <f>'Figure 2 - vented vs intl prod'!I25+$A$56</f>
        <v>165.99999999999955</v>
      </c>
      <c r="J79" s="28">
        <f>'Figure 2 - vented vs intl prod'!J25+$A$56</f>
        <v>168.20512820512772</v>
      </c>
      <c r="K79" s="28">
        <f>'Figure 2 - vented vs intl prod'!K25+$A$56</f>
        <v>170.5263157894733</v>
      </c>
      <c r="L79" s="28">
        <f>'Figure 2 - vented vs intl prod'!L25+$A$56</f>
        <v>172.97297297297246</v>
      </c>
      <c r="M79" s="28">
        <f>'Figure 2 - vented vs intl prod'!M25+$A$56</f>
        <v>175.55555555555497</v>
      </c>
      <c r="N79" s="28">
        <f>'Figure 2 - vented vs intl prod'!N25+$A$56</f>
        <v>178.28571428571377</v>
      </c>
      <c r="O79" s="28">
        <f>'Figure 2 - vented vs intl prod'!O25+$A$56</f>
        <v>181.17647058823445</v>
      </c>
      <c r="P79" s="28">
        <f t="shared" si="3"/>
        <v>1800</v>
      </c>
      <c r="Q79" s="28">
        <f>$A$56+'GWP of methane by scenario'!B$13</f>
        <v>1876.3638071841158</v>
      </c>
      <c r="R79" s="28">
        <f>$A$56+'GWP of methane by scenario'!B$14</f>
        <v>1906.8058424239573</v>
      </c>
    </row>
    <row r="80" spans="1:18" x14ac:dyDescent="0.25">
      <c r="A80" s="72">
        <f t="shared" si="4"/>
        <v>-3.1918911957973251E-16</v>
      </c>
      <c r="B80" s="28">
        <f>'Figure 2 - vented vs intl prod'!B26+$A$56</f>
        <v>1120</v>
      </c>
      <c r="C80" s="28">
        <f>'Figure 2 - vented vs intl prod'!C26+$A$56</f>
        <v>1120</v>
      </c>
      <c r="D80" s="28">
        <f>'Figure 2 - vented vs intl prod'!D26+$A$56</f>
        <v>1119.9999999999998</v>
      </c>
      <c r="E80" s="28">
        <f>'Figure 2 - vented vs intl prod'!E26+$A$56</f>
        <v>1120</v>
      </c>
      <c r="F80" s="28">
        <f>'Figure 2 - vented vs intl prod'!F26+$A$56</f>
        <v>1120</v>
      </c>
      <c r="G80" s="28">
        <f>'Figure 2 - vented vs intl prod'!G26+$A$56</f>
        <v>1120</v>
      </c>
      <c r="H80" s="28">
        <f>'Figure 2 - vented vs intl prod'!H26+$A$56</f>
        <v>1120</v>
      </c>
      <c r="I80" s="28">
        <f>'Figure 2 - vented vs intl prod'!I26+$A$56</f>
        <v>79.999999999999545</v>
      </c>
      <c r="J80" s="28">
        <f>'Figure 2 - vented vs intl prod'!J26+$A$56</f>
        <v>79.999999999999545</v>
      </c>
      <c r="K80" s="28">
        <f>'Figure 2 - vented vs intl prod'!K26+$A$56</f>
        <v>79.999999999999545</v>
      </c>
      <c r="L80" s="28">
        <f>'Figure 2 - vented vs intl prod'!L26+$A$56</f>
        <v>79.999999999999545</v>
      </c>
      <c r="M80" s="28">
        <f>'Figure 2 - vented vs intl prod'!M26+$A$56</f>
        <v>79.999999999999545</v>
      </c>
      <c r="N80" s="28">
        <f>'Figure 2 - vented vs intl prod'!N26+$A$56</f>
        <v>79.999999999999545</v>
      </c>
      <c r="O80" s="28">
        <f>'Figure 2 - vented vs intl prod'!O26+$A$56</f>
        <v>79.999999999999318</v>
      </c>
      <c r="P80" s="28">
        <f t="shared" si="3"/>
        <v>1800</v>
      </c>
      <c r="Q80" s="28">
        <f>$A$56+'GWP of methane by scenario'!B$13</f>
        <v>1876.3638071841158</v>
      </c>
      <c r="R80" s="28">
        <f>$A$56+'GWP of methane by scenario'!B$14</f>
        <v>1906.8058424239573</v>
      </c>
    </row>
    <row r="81" spans="1:18" x14ac:dyDescent="0.25">
      <c r="A81" s="13"/>
      <c r="B81" s="13"/>
      <c r="C81" s="13"/>
      <c r="D81" s="13"/>
      <c r="E81" s="13"/>
      <c r="F81" s="13"/>
      <c r="G81" s="13"/>
      <c r="H81" s="13"/>
      <c r="I81" s="13"/>
      <c r="J81" s="13"/>
      <c r="K81" s="13"/>
      <c r="L81" s="13"/>
      <c r="M81" s="13"/>
      <c r="N81" s="13"/>
      <c r="O81" s="13"/>
      <c r="P81" s="13"/>
      <c r="Q81" s="13"/>
      <c r="R81" s="13"/>
    </row>
    <row r="82" spans="1:18" x14ac:dyDescent="0.25">
      <c r="A82" s="13"/>
      <c r="B82" s="13"/>
      <c r="C82" s="13"/>
      <c r="D82" s="13"/>
      <c r="E82" s="13"/>
      <c r="F82" s="13"/>
      <c r="G82" s="13"/>
      <c r="H82" s="13"/>
      <c r="I82" s="13"/>
      <c r="J82" s="13"/>
      <c r="K82" s="13"/>
      <c r="L82" s="13"/>
      <c r="M82" s="13"/>
      <c r="N82" s="13"/>
      <c r="O82" s="13"/>
      <c r="P82" s="13"/>
      <c r="Q82" s="13"/>
      <c r="R82" s="13"/>
    </row>
  </sheetData>
  <mergeCells count="5">
    <mergeCell ref="B5:H5"/>
    <mergeCell ref="I5:O5"/>
    <mergeCell ref="B59:H59"/>
    <mergeCell ref="I59:O59"/>
    <mergeCell ref="A1:R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704E7-5D3A-A345-91FD-66F9B03B37D4}">
  <sheetPr>
    <tabColor theme="5" tint="0.39997558519241921"/>
  </sheetPr>
  <dimension ref="A1:S82"/>
  <sheetViews>
    <sheetView topLeftCell="A16" workbookViewId="0">
      <selection activeCell="N45" sqref="N45"/>
    </sheetView>
  </sheetViews>
  <sheetFormatPr baseColWidth="10" defaultRowHeight="19" x14ac:dyDescent="0.25"/>
  <cols>
    <col min="1" max="1" width="25.7109375" customWidth="1"/>
    <col min="9" max="9" width="10.7109375" customWidth="1"/>
    <col min="17" max="17" width="10.7109375" customWidth="1"/>
    <col min="25" max="25" width="10.7109375" customWidth="1"/>
  </cols>
  <sheetData>
    <row r="1" spans="1:19" ht="31" customHeight="1" x14ac:dyDescent="0.35">
      <c r="A1" s="121" t="s">
        <v>152</v>
      </c>
      <c r="B1" s="121"/>
      <c r="C1" s="121"/>
      <c r="D1" s="121"/>
      <c r="E1" s="121"/>
      <c r="F1" s="121"/>
      <c r="G1" s="121"/>
      <c r="H1" s="121"/>
      <c r="I1" s="121"/>
      <c r="J1" s="121"/>
      <c r="K1" s="121"/>
      <c r="L1" s="121"/>
      <c r="M1" s="121"/>
      <c r="N1" s="121"/>
      <c r="O1" s="121"/>
      <c r="P1" s="121"/>
      <c r="Q1" s="121"/>
      <c r="R1" s="121"/>
    </row>
    <row r="2" spans="1:19" x14ac:dyDescent="0.25">
      <c r="A2" s="77" t="s">
        <v>92</v>
      </c>
      <c r="B2" s="13"/>
      <c r="C2" s="13"/>
      <c r="D2" s="13"/>
      <c r="E2" s="13"/>
      <c r="F2" s="13"/>
      <c r="G2" s="13"/>
      <c r="H2" s="13"/>
      <c r="I2" s="13"/>
      <c r="J2" s="13"/>
      <c r="K2" s="13"/>
      <c r="L2" s="13"/>
      <c r="M2" s="13"/>
      <c r="N2" s="13"/>
      <c r="O2" s="13"/>
      <c r="P2" s="13"/>
      <c r="Q2" s="13"/>
      <c r="R2" s="13"/>
    </row>
    <row r="3" spans="1:19" ht="20" thickBot="1" x14ac:dyDescent="0.3">
      <c r="A3" s="76" t="s">
        <v>91</v>
      </c>
      <c r="B3" s="13"/>
      <c r="C3" s="13"/>
      <c r="D3" s="13"/>
      <c r="E3" s="13"/>
      <c r="F3" s="13"/>
      <c r="G3" s="13"/>
      <c r="H3" s="13"/>
      <c r="I3" s="13"/>
      <c r="J3" s="13"/>
      <c r="K3" s="13"/>
      <c r="L3" s="13"/>
      <c r="M3" s="13"/>
      <c r="N3" s="13"/>
      <c r="O3" s="13"/>
      <c r="P3" s="13"/>
      <c r="Q3" s="13"/>
      <c r="R3" s="13"/>
    </row>
    <row r="4" spans="1:19" ht="20" thickBot="1" x14ac:dyDescent="0.3">
      <c r="A4" s="13" t="s">
        <v>4</v>
      </c>
      <c r="B4" s="18">
        <f>'GWP of methane by scenario'!B4</f>
        <v>0</v>
      </c>
      <c r="C4" s="19">
        <f>'GWP of methane by scenario'!C4</f>
        <v>2.5000000000000001E-2</v>
      </c>
      <c r="D4" s="19">
        <f>'GWP of methane by scenario'!D4</f>
        <v>0.05</v>
      </c>
      <c r="E4" s="19">
        <f>'GWP of methane by scenario'!E4</f>
        <v>7.5000000000000011E-2</v>
      </c>
      <c r="F4" s="19">
        <f>'GWP of methane by scenario'!F4</f>
        <v>0.1</v>
      </c>
      <c r="G4" s="19">
        <f>'GWP of methane by scenario'!G4</f>
        <v>0.125</v>
      </c>
      <c r="H4" s="20">
        <f>'GWP of methane by scenario'!H4</f>
        <v>0.15</v>
      </c>
      <c r="I4" s="18">
        <f>'GWP of methane by scenario'!B4</f>
        <v>0</v>
      </c>
      <c r="J4" s="19">
        <f>'GWP of methane by scenario'!C4</f>
        <v>2.5000000000000001E-2</v>
      </c>
      <c r="K4" s="19">
        <f>'GWP of methane by scenario'!D4</f>
        <v>0.05</v>
      </c>
      <c r="L4" s="19">
        <f>'GWP of methane by scenario'!E4</f>
        <v>7.5000000000000011E-2</v>
      </c>
      <c r="M4" s="19">
        <f>'GWP of methane by scenario'!F4</f>
        <v>0.1</v>
      </c>
      <c r="N4" s="19">
        <f>'GWP of methane by scenario'!G4</f>
        <v>0.125</v>
      </c>
      <c r="O4" s="20">
        <f>'GWP of methane by scenario'!H4</f>
        <v>0.15</v>
      </c>
      <c r="P4" s="13"/>
      <c r="Q4" s="71"/>
      <c r="R4" s="13"/>
      <c r="S4" s="2"/>
    </row>
    <row r="5" spans="1:19" ht="20" thickBot="1" x14ac:dyDescent="0.3">
      <c r="A5" s="13" t="s">
        <v>17</v>
      </c>
      <c r="B5" s="125" t="s">
        <v>3</v>
      </c>
      <c r="C5" s="126"/>
      <c r="D5" s="126"/>
      <c r="E5" s="126"/>
      <c r="F5" s="126"/>
      <c r="G5" s="126"/>
      <c r="H5" s="127"/>
      <c r="I5" s="125" t="s">
        <v>2</v>
      </c>
      <c r="J5" s="126"/>
      <c r="K5" s="126"/>
      <c r="L5" s="126"/>
      <c r="M5" s="126"/>
      <c r="N5" s="126"/>
      <c r="O5" s="127"/>
      <c r="P5" s="13"/>
      <c r="Q5" s="13"/>
      <c r="R5" s="13"/>
    </row>
    <row r="6" spans="1:19" x14ac:dyDescent="0.25">
      <c r="A6" s="72">
        <v>1</v>
      </c>
      <c r="B6" s="5">
        <f>$A6*'GWP of methane by scenario'!B$6+(1-$A6)*'GWP of methane by scenario'!B$7</f>
        <v>0</v>
      </c>
      <c r="C6" s="6">
        <f>$A6*'GWP of methane by scenario'!C$6+(1-$A6)*'GWP of methane by scenario'!C$7</f>
        <v>17.435897435897438</v>
      </c>
      <c r="D6" s="6">
        <f>$A6*'GWP of methane by scenario'!D$6+(1-$A6)*'GWP of methane by scenario'!D$7</f>
        <v>35.789473684210535</v>
      </c>
      <c r="E6" s="6">
        <f>$A6*'GWP of methane by scenario'!E$6+(1-$A6)*'GWP of methane by scenario'!E$7</f>
        <v>55.135135135135144</v>
      </c>
      <c r="F6" s="44">
        <f>$A6*'GWP of methane by scenario'!F$6+(1-$A6)*'GWP of methane by scenario'!F$7</f>
        <v>75.555555555555557</v>
      </c>
      <c r="G6" s="31">
        <f>$A6*'GWP of methane by scenario'!G$6+(1-$A6)*'GWP of methane by scenario'!G$7</f>
        <v>97.142857142857139</v>
      </c>
      <c r="H6" s="33">
        <f>$A6*'GWP of methane by scenario'!H$6+(1-$A6)*'GWP of methane by scenario'!H$7</f>
        <v>120</v>
      </c>
      <c r="I6" s="5">
        <f>$A6*'GWP of methane by scenario'!I$6+(1-$A6)*'GWP of methane by scenario'!I$7</f>
        <v>0</v>
      </c>
      <c r="J6" s="6">
        <f>$A6*'GWP of methane by scenario'!J$6+(1-$A6)*'GWP of methane by scenario'!J$7</f>
        <v>44.102564102564109</v>
      </c>
      <c r="K6" s="6">
        <f>$A6*'GWP of methane by scenario'!K$6+(1-$A6)*'GWP of methane by scenario'!K$7</f>
        <v>90.526315789473699</v>
      </c>
      <c r="L6" s="31">
        <f>$A6*'GWP of methane by scenario'!L$6+(1-$A6)*'GWP of methane by scenario'!L$7</f>
        <v>139.45945945945948</v>
      </c>
      <c r="M6" s="31">
        <f>$A6*'GWP of methane by scenario'!M$6+(1-$A6)*'GWP of methane by scenario'!M$7</f>
        <v>191.11111111111111</v>
      </c>
      <c r="N6" s="31">
        <f>$A6*'GWP of methane by scenario'!N$6+(1-$A6)*'GWP of methane by scenario'!N$7</f>
        <v>245.71428571428572</v>
      </c>
      <c r="O6" s="33">
        <f>$A6*'GWP of methane by scenario'!O$6+(1-$A6)*'GWP of methane by scenario'!O$7</f>
        <v>303.52941176470591</v>
      </c>
      <c r="P6" s="65"/>
      <c r="Q6" s="65"/>
      <c r="R6" s="71"/>
      <c r="S6" s="2"/>
    </row>
    <row r="7" spans="1:19" x14ac:dyDescent="0.25">
      <c r="A7" s="72">
        <f>A6-0.05</f>
        <v>0.95</v>
      </c>
      <c r="B7" s="38">
        <f>$A7*'GWP of methane by scenario'!B$6+(1-$A7)*'GWP of methane by scenario'!B$7</f>
        <v>-0.34000000000000058</v>
      </c>
      <c r="C7" s="7">
        <f>$A7*'GWP of methane by scenario'!C$6+(1-$A7)*'GWP of methane by scenario'!C$7</f>
        <v>17.08717948717949</v>
      </c>
      <c r="D7" s="7">
        <f>$A7*'GWP of methane by scenario'!D$6+(1-$A7)*'GWP of methane by scenario'!D$7</f>
        <v>35.431578947368429</v>
      </c>
      <c r="E7" s="7">
        <f>$A7*'GWP of methane by scenario'!E$6+(1-$A7)*'GWP of methane by scenario'!E$7</f>
        <v>54.767567567567575</v>
      </c>
      <c r="F7" s="56">
        <f>$A7*'GWP of methane by scenario'!F$6+(1-$A7)*'GWP of methane by scenario'!F$7</f>
        <v>75.177777777777777</v>
      </c>
      <c r="G7" s="32">
        <f>$A7*'GWP of methane by scenario'!G$6+(1-$A7)*'GWP of methane by scenario'!G$7</f>
        <v>96.754285714285714</v>
      </c>
      <c r="H7" s="34">
        <f>$A7*'GWP of methane by scenario'!H$6+(1-$A7)*'GWP of methane by scenario'!H$7</f>
        <v>119.60000000000001</v>
      </c>
      <c r="I7" s="38">
        <f>$A7*'GWP of methane by scenario'!I$6+(1-$A7)*'GWP of methane by scenario'!I$7</f>
        <v>-0.86000000000000165</v>
      </c>
      <c r="J7" s="7">
        <f>$A7*'GWP of methane by scenario'!J$6+(1-$A7)*'GWP of methane by scenario'!J$7</f>
        <v>43.22051282051283</v>
      </c>
      <c r="K7" s="7">
        <f>$A7*'GWP of methane by scenario'!K$6+(1-$A7)*'GWP of methane by scenario'!K$7</f>
        <v>89.621052631578962</v>
      </c>
      <c r="L7" s="32">
        <f>$A7*'GWP of methane by scenario'!L$6+(1-$A7)*'GWP of methane by scenario'!L$7</f>
        <v>138.52972972972975</v>
      </c>
      <c r="M7" s="32">
        <f>$A7*'GWP of methane by scenario'!M$6+(1-$A7)*'GWP of methane by scenario'!M$7</f>
        <v>190.15555555555557</v>
      </c>
      <c r="N7" s="32">
        <f>$A7*'GWP of methane by scenario'!N$6+(1-$A7)*'GWP of methane by scenario'!N$7</f>
        <v>244.73142857142858</v>
      </c>
      <c r="O7" s="34">
        <f>$A7*'GWP of methane by scenario'!O$6+(1-$A7)*'GWP of methane by scenario'!O$7</f>
        <v>302.51764705882357</v>
      </c>
      <c r="P7" s="65"/>
      <c r="Q7" s="65"/>
      <c r="R7" s="71"/>
      <c r="S7" s="2"/>
    </row>
    <row r="8" spans="1:19" x14ac:dyDescent="0.25">
      <c r="A8" s="72">
        <f t="shared" ref="A8:A26" si="0">A7-0.05</f>
        <v>0.89999999999999991</v>
      </c>
      <c r="B8" s="38">
        <f>$A8*'GWP of methane by scenario'!B$6+(1-$A8)*'GWP of methane by scenario'!B$7</f>
        <v>-0.68000000000000116</v>
      </c>
      <c r="C8" s="7">
        <f>$A8*'GWP of methane by scenario'!C$6+(1-$A8)*'GWP of methane by scenario'!C$7</f>
        <v>16.738461538461539</v>
      </c>
      <c r="D8" s="7">
        <f>$A8*'GWP of methane by scenario'!D$6+(1-$A8)*'GWP of methane by scenario'!D$7</f>
        <v>35.073684210526324</v>
      </c>
      <c r="E8" s="7">
        <f>$A8*'GWP of methane by scenario'!E$6+(1-$A8)*'GWP of methane by scenario'!E$7</f>
        <v>54.400000000000013</v>
      </c>
      <c r="F8" s="56">
        <f>$A8*'GWP of methane by scenario'!F$6+(1-$A8)*'GWP of methane by scenario'!F$7</f>
        <v>74.800000000000011</v>
      </c>
      <c r="G8" s="32">
        <f>$A8*'GWP of methane by scenario'!G$6+(1-$A8)*'GWP of methane by scenario'!G$7</f>
        <v>96.365714285714276</v>
      </c>
      <c r="H8" s="34">
        <f>$A8*'GWP of methane by scenario'!H$6+(1-$A8)*'GWP of methane by scenario'!H$7</f>
        <v>119.19999999999999</v>
      </c>
      <c r="I8" s="38">
        <f>$A8*'GWP of methane by scenario'!I$6+(1-$A8)*'GWP of methane by scenario'!I$7</f>
        <v>-1.7200000000000033</v>
      </c>
      <c r="J8" s="7">
        <f>$A8*'GWP of methane by scenario'!J$6+(1-$A8)*'GWP of methane by scenario'!J$7</f>
        <v>42.338461538461544</v>
      </c>
      <c r="K8" s="7">
        <f>$A8*'GWP of methane by scenario'!K$6+(1-$A8)*'GWP of methane by scenario'!K$7</f>
        <v>88.715789473684211</v>
      </c>
      <c r="L8" s="32">
        <f>$A8*'GWP of methane by scenario'!L$6+(1-$A8)*'GWP of methane by scenario'!L$7</f>
        <v>137.60000000000002</v>
      </c>
      <c r="M8" s="32">
        <f>$A8*'GWP of methane by scenario'!M$6+(1-$A8)*'GWP of methane by scenario'!M$7</f>
        <v>189.20000000000002</v>
      </c>
      <c r="N8" s="32">
        <f>$A8*'GWP of methane by scenario'!N$6+(1-$A8)*'GWP of methane by scenario'!N$7</f>
        <v>243.74857142857144</v>
      </c>
      <c r="O8" s="34">
        <f>$A8*'GWP of methane by scenario'!O$6+(1-$A8)*'GWP of methane by scenario'!O$7</f>
        <v>301.50588235294123</v>
      </c>
      <c r="P8" s="65"/>
      <c r="Q8" s="65"/>
      <c r="R8" s="71"/>
      <c r="S8" s="2"/>
    </row>
    <row r="9" spans="1:19" x14ac:dyDescent="0.25">
      <c r="A9" s="72">
        <f t="shared" si="0"/>
        <v>0.84999999999999987</v>
      </c>
      <c r="B9" s="38">
        <f>$A9*'GWP of methane by scenario'!B$6+(1-$A9)*'GWP of methane by scenario'!B$7</f>
        <v>-1.0200000000000018</v>
      </c>
      <c r="C9" s="7">
        <f>$A9*'GWP of methane by scenario'!C$6+(1-$A9)*'GWP of methane by scenario'!C$7</f>
        <v>16.389743589743588</v>
      </c>
      <c r="D9" s="7">
        <f>$A9*'GWP of methane by scenario'!D$6+(1-$A9)*'GWP of methane by scenario'!D$7</f>
        <v>34.715789473684218</v>
      </c>
      <c r="E9" s="7">
        <f>$A9*'GWP of methane by scenario'!E$6+(1-$A9)*'GWP of methane by scenario'!E$7</f>
        <v>54.032432432432437</v>
      </c>
      <c r="F9" s="56">
        <f>$A9*'GWP of methane by scenario'!F$6+(1-$A9)*'GWP of methane by scenario'!F$7</f>
        <v>74.422222222222217</v>
      </c>
      <c r="G9" s="32">
        <f>$A9*'GWP of methane by scenario'!G$6+(1-$A9)*'GWP of methane by scenario'!G$7</f>
        <v>95.977142857142852</v>
      </c>
      <c r="H9" s="34">
        <f>$A9*'GWP of methane by scenario'!H$6+(1-$A9)*'GWP of methane by scenario'!H$7</f>
        <v>118.8</v>
      </c>
      <c r="I9" s="38">
        <f>$A9*'GWP of methane by scenario'!I$6+(1-$A9)*'GWP of methane by scenario'!I$7</f>
        <v>-2.580000000000005</v>
      </c>
      <c r="J9" s="7">
        <f>$A9*'GWP of methane by scenario'!J$6+(1-$A9)*'GWP of methane by scenario'!J$7</f>
        <v>41.456410256410258</v>
      </c>
      <c r="K9" s="7">
        <f>$A9*'GWP of methane by scenario'!K$6+(1-$A9)*'GWP of methane by scenario'!K$7</f>
        <v>87.810526315789474</v>
      </c>
      <c r="L9" s="32">
        <f>$A9*'GWP of methane by scenario'!L$6+(1-$A9)*'GWP of methane by scenario'!L$7</f>
        <v>136.67027027027029</v>
      </c>
      <c r="M9" s="32">
        <f>$A9*'GWP of methane by scenario'!M$6+(1-$A9)*'GWP of methane by scenario'!M$7</f>
        <v>188.24444444444444</v>
      </c>
      <c r="N9" s="32">
        <f>$A9*'GWP of methane by scenario'!N$6+(1-$A9)*'GWP of methane by scenario'!N$7</f>
        <v>242.7657142857143</v>
      </c>
      <c r="O9" s="34">
        <f>$A9*'GWP of methane by scenario'!O$6+(1-$A9)*'GWP of methane by scenario'!O$7</f>
        <v>300.49411764705889</v>
      </c>
      <c r="P9" s="65"/>
      <c r="Q9" s="65"/>
      <c r="R9" s="71"/>
      <c r="S9" s="2"/>
    </row>
    <row r="10" spans="1:19" x14ac:dyDescent="0.25">
      <c r="A10" s="72">
        <f t="shared" si="0"/>
        <v>0.79999999999999982</v>
      </c>
      <c r="B10" s="38">
        <f>$A10*'GWP of methane by scenario'!B$6+(1-$A10)*'GWP of methane by scenario'!B$7</f>
        <v>-1.3600000000000023</v>
      </c>
      <c r="C10" s="7">
        <f>$A10*'GWP of methane by scenario'!C$6+(1-$A10)*'GWP of methane by scenario'!C$7</f>
        <v>16.041025641025641</v>
      </c>
      <c r="D10" s="7">
        <f>$A10*'GWP of methane by scenario'!D$6+(1-$A10)*'GWP of methane by scenario'!D$7</f>
        <v>34.357894736842113</v>
      </c>
      <c r="E10" s="7">
        <f>$A10*'GWP of methane by scenario'!E$6+(1-$A10)*'GWP of methane by scenario'!E$7</f>
        <v>53.664864864864867</v>
      </c>
      <c r="F10" s="56">
        <f>$A10*'GWP of methane by scenario'!F$6+(1-$A10)*'GWP of methane by scenario'!F$7</f>
        <v>74.044444444444451</v>
      </c>
      <c r="G10" s="32">
        <f>$A10*'GWP of methane by scenario'!G$6+(1-$A10)*'GWP of methane by scenario'!G$7</f>
        <v>95.588571428571427</v>
      </c>
      <c r="H10" s="34">
        <f>$A10*'GWP of methane by scenario'!H$6+(1-$A10)*'GWP of methane by scenario'!H$7</f>
        <v>118.39999999999999</v>
      </c>
      <c r="I10" s="38">
        <f>$A10*'GWP of methane by scenario'!I$6+(1-$A10)*'GWP of methane by scenario'!I$7</f>
        <v>-3.4400000000000066</v>
      </c>
      <c r="J10" s="7">
        <f>$A10*'GWP of methane by scenario'!J$6+(1-$A10)*'GWP of methane by scenario'!J$7</f>
        <v>40.574358974358972</v>
      </c>
      <c r="K10" s="7">
        <f>$A10*'GWP of methane by scenario'!K$6+(1-$A10)*'GWP of methane by scenario'!K$7</f>
        <v>86.905263157894751</v>
      </c>
      <c r="L10" s="32">
        <f>$A10*'GWP of methane by scenario'!L$6+(1-$A10)*'GWP of methane by scenario'!L$7</f>
        <v>135.74054054054056</v>
      </c>
      <c r="M10" s="32">
        <f>$A10*'GWP of methane by scenario'!M$6+(1-$A10)*'GWP of methane by scenario'!M$7</f>
        <v>187.28888888888889</v>
      </c>
      <c r="N10" s="32">
        <f>$A10*'GWP of methane by scenario'!N$6+(1-$A10)*'GWP of methane by scenario'!N$7</f>
        <v>241.78285714285715</v>
      </c>
      <c r="O10" s="34">
        <f>$A10*'GWP of methane by scenario'!O$6+(1-$A10)*'GWP of methane by scenario'!O$7</f>
        <v>299.48235294117649</v>
      </c>
      <c r="P10" s="65"/>
      <c r="Q10" s="65"/>
      <c r="R10" s="71"/>
      <c r="S10" s="2"/>
    </row>
    <row r="11" spans="1:19" x14ac:dyDescent="0.25">
      <c r="A11" s="72">
        <f t="shared" si="0"/>
        <v>0.74999999999999978</v>
      </c>
      <c r="B11" s="38">
        <f>$A11*'GWP of methane by scenario'!B$6+(1-$A11)*'GWP of methane by scenario'!B$7</f>
        <v>-1.7000000000000031</v>
      </c>
      <c r="C11" s="7">
        <f>$A11*'GWP of methane by scenario'!C$6+(1-$A11)*'GWP of methane by scenario'!C$7</f>
        <v>15.692307692307692</v>
      </c>
      <c r="D11" s="7">
        <f>$A11*'GWP of methane by scenario'!D$6+(1-$A11)*'GWP of methane by scenario'!D$7</f>
        <v>34.000000000000007</v>
      </c>
      <c r="E11" s="7">
        <f>$A11*'GWP of methane by scenario'!E$6+(1-$A11)*'GWP of methane by scenario'!E$7</f>
        <v>53.297297297297305</v>
      </c>
      <c r="F11" s="56">
        <f>$A11*'GWP of methane by scenario'!F$6+(1-$A11)*'GWP of methane by scenario'!F$7</f>
        <v>73.666666666666657</v>
      </c>
      <c r="G11" s="32">
        <f>$A11*'GWP of methane by scenario'!G$6+(1-$A11)*'GWP of methane by scenario'!G$7</f>
        <v>95.199999999999989</v>
      </c>
      <c r="H11" s="34">
        <f>$A11*'GWP of methane by scenario'!H$6+(1-$A11)*'GWP of methane by scenario'!H$7</f>
        <v>118</v>
      </c>
      <c r="I11" s="38">
        <f>$A11*'GWP of methane by scenario'!I$6+(1-$A11)*'GWP of methane by scenario'!I$7</f>
        <v>-4.3000000000000078</v>
      </c>
      <c r="J11" s="7">
        <f>$A11*'GWP of methane by scenario'!J$6+(1-$A11)*'GWP of methane by scenario'!J$7</f>
        <v>39.692307692307693</v>
      </c>
      <c r="K11" s="7">
        <f>$A11*'GWP of methane by scenario'!K$6+(1-$A11)*'GWP of methane by scenario'!K$7</f>
        <v>86.000000000000014</v>
      </c>
      <c r="L11" s="32">
        <f>$A11*'GWP of methane by scenario'!L$6+(1-$A11)*'GWP of methane by scenario'!L$7</f>
        <v>134.81081081081084</v>
      </c>
      <c r="M11" s="32">
        <f>$A11*'GWP of methane by scenario'!M$6+(1-$A11)*'GWP of methane by scenario'!M$7</f>
        <v>186.33333333333331</v>
      </c>
      <c r="N11" s="32">
        <f>$A11*'GWP of methane by scenario'!N$6+(1-$A11)*'GWP of methane by scenario'!N$7</f>
        <v>240.8</v>
      </c>
      <c r="O11" s="34">
        <f>$A11*'GWP of methane by scenario'!O$6+(1-$A11)*'GWP of methane by scenario'!O$7</f>
        <v>298.47058823529414</v>
      </c>
      <c r="P11" s="65"/>
      <c r="Q11" s="65"/>
      <c r="R11" s="71"/>
      <c r="S11" s="2"/>
    </row>
    <row r="12" spans="1:19" x14ac:dyDescent="0.25">
      <c r="A12" s="72">
        <f t="shared" si="0"/>
        <v>0.69999999999999973</v>
      </c>
      <c r="B12" s="38">
        <f>$A12*'GWP of methane by scenario'!B$6+(1-$A12)*'GWP of methane by scenario'!B$7</f>
        <v>-2.0400000000000036</v>
      </c>
      <c r="C12" s="7">
        <f>$A12*'GWP of methane by scenario'!C$6+(1-$A12)*'GWP of methane by scenario'!C$7</f>
        <v>15.343589743589742</v>
      </c>
      <c r="D12" s="7">
        <f>$A12*'GWP of methane by scenario'!D$6+(1-$A12)*'GWP of methane by scenario'!D$7</f>
        <v>33.642105263157902</v>
      </c>
      <c r="E12" s="7">
        <f>$A12*'GWP of methane by scenario'!E$6+(1-$A12)*'GWP of methane by scenario'!E$7</f>
        <v>52.929729729729736</v>
      </c>
      <c r="F12" s="56">
        <f>$A12*'GWP of methane by scenario'!F$6+(1-$A12)*'GWP of methane by scenario'!F$7</f>
        <v>73.288888888888891</v>
      </c>
      <c r="G12" s="32">
        <f>$A12*'GWP of methane by scenario'!G$6+(1-$A12)*'GWP of methane by scenario'!G$7</f>
        <v>94.811428571428564</v>
      </c>
      <c r="H12" s="34">
        <f>$A12*'GWP of methane by scenario'!H$6+(1-$A12)*'GWP of methane by scenario'!H$7</f>
        <v>117.6</v>
      </c>
      <c r="I12" s="38">
        <f>$A12*'GWP of methane by scenario'!I$6+(1-$A12)*'GWP of methane by scenario'!I$7</f>
        <v>-5.1600000000000099</v>
      </c>
      <c r="J12" s="7">
        <f>$A12*'GWP of methane by scenario'!J$6+(1-$A12)*'GWP of methane by scenario'!J$7</f>
        <v>38.810256410256407</v>
      </c>
      <c r="K12" s="7">
        <f>$A12*'GWP of methane by scenario'!K$6+(1-$A12)*'GWP of methane by scenario'!K$7</f>
        <v>85.094736842105277</v>
      </c>
      <c r="L12" s="32">
        <f>$A12*'GWP of methane by scenario'!L$6+(1-$A12)*'GWP of methane by scenario'!L$7</f>
        <v>133.88108108108111</v>
      </c>
      <c r="M12" s="32">
        <f>$A12*'GWP of methane by scenario'!M$6+(1-$A12)*'GWP of methane by scenario'!M$7</f>
        <v>185.37777777777779</v>
      </c>
      <c r="N12" s="32">
        <f>$A12*'GWP of methane by scenario'!N$6+(1-$A12)*'GWP of methane by scenario'!N$7</f>
        <v>239.81714285714287</v>
      </c>
      <c r="O12" s="34">
        <f>$A12*'GWP of methane by scenario'!O$6+(1-$A12)*'GWP of methane by scenario'!O$7</f>
        <v>297.4588235294118</v>
      </c>
      <c r="P12" s="65"/>
      <c r="Q12" s="65"/>
      <c r="R12" s="71"/>
      <c r="S12" s="2"/>
    </row>
    <row r="13" spans="1:19" x14ac:dyDescent="0.25">
      <c r="A13" s="72">
        <f t="shared" si="0"/>
        <v>0.64999999999999969</v>
      </c>
      <c r="B13" s="38">
        <f>$A13*'GWP of methane by scenario'!B$6+(1-$A13)*'GWP of methane by scenario'!B$7</f>
        <v>-2.3800000000000043</v>
      </c>
      <c r="C13" s="7">
        <f>$A13*'GWP of methane by scenario'!C$6+(1-$A13)*'GWP of methane by scenario'!C$7</f>
        <v>14.994871794871791</v>
      </c>
      <c r="D13" s="7">
        <f>$A13*'GWP of methane by scenario'!D$6+(1-$A13)*'GWP of methane by scenario'!D$7</f>
        <v>33.284210526315789</v>
      </c>
      <c r="E13" s="7">
        <f>$A13*'GWP of methane by scenario'!E$6+(1-$A13)*'GWP of methane by scenario'!E$7</f>
        <v>52.562162162162167</v>
      </c>
      <c r="F13" s="56">
        <f>$A13*'GWP of methane by scenario'!F$6+(1-$A13)*'GWP of methane by scenario'!F$7</f>
        <v>72.911111111111111</v>
      </c>
      <c r="G13" s="32">
        <f>$A13*'GWP of methane by scenario'!G$6+(1-$A13)*'GWP of methane by scenario'!G$7</f>
        <v>94.42285714285714</v>
      </c>
      <c r="H13" s="34">
        <f>$A13*'GWP of methane by scenario'!H$6+(1-$A13)*'GWP of methane by scenario'!H$7</f>
        <v>117.19999999999999</v>
      </c>
      <c r="I13" s="38">
        <f>$A13*'GWP of methane by scenario'!I$6+(1-$A13)*'GWP of methane by scenario'!I$7</f>
        <v>-6.0200000000000111</v>
      </c>
      <c r="J13" s="7">
        <f>$A13*'GWP of methane by scenario'!J$6+(1-$A13)*'GWP of methane by scenario'!J$7</f>
        <v>37.928205128205121</v>
      </c>
      <c r="K13" s="7">
        <f>$A13*'GWP of methane by scenario'!K$6+(1-$A13)*'GWP of methane by scenario'!K$7</f>
        <v>84.189473684210526</v>
      </c>
      <c r="L13" s="32">
        <f>$A13*'GWP of methane by scenario'!L$6+(1-$A13)*'GWP of methane by scenario'!L$7</f>
        <v>132.95135135135135</v>
      </c>
      <c r="M13" s="32">
        <f>$A13*'GWP of methane by scenario'!M$6+(1-$A13)*'GWP of methane by scenario'!M$7</f>
        <v>184.42222222222222</v>
      </c>
      <c r="N13" s="32">
        <f>$A13*'GWP of methane by scenario'!N$6+(1-$A13)*'GWP of methane by scenario'!N$7</f>
        <v>238.8342857142857</v>
      </c>
      <c r="O13" s="34">
        <f>$A13*'GWP of methane by scenario'!O$6+(1-$A13)*'GWP of methane by scenario'!O$7</f>
        <v>296.44705882352946</v>
      </c>
      <c r="P13" s="65"/>
      <c r="Q13" s="65"/>
      <c r="R13" s="71"/>
      <c r="S13" s="2"/>
    </row>
    <row r="14" spans="1:19" x14ac:dyDescent="0.25">
      <c r="A14" s="72">
        <f t="shared" si="0"/>
        <v>0.59999999999999964</v>
      </c>
      <c r="B14" s="38">
        <f>$A14*'GWP of methane by scenario'!B$6+(1-$A14)*'GWP of methane by scenario'!B$7</f>
        <v>-2.7200000000000046</v>
      </c>
      <c r="C14" s="7">
        <f>$A14*'GWP of methane by scenario'!C$6+(1-$A14)*'GWP of methane by scenario'!C$7</f>
        <v>14.646153846153844</v>
      </c>
      <c r="D14" s="7">
        <f>$A14*'GWP of methane by scenario'!D$6+(1-$A14)*'GWP of methane by scenario'!D$7</f>
        <v>32.926315789473691</v>
      </c>
      <c r="E14" s="7">
        <f>$A14*'GWP of methane by scenario'!E$6+(1-$A14)*'GWP of methane by scenario'!E$7</f>
        <v>52.194594594594598</v>
      </c>
      <c r="F14" s="56">
        <f>$A14*'GWP of methane by scenario'!F$6+(1-$A14)*'GWP of methane by scenario'!F$7</f>
        <v>72.533333333333331</v>
      </c>
      <c r="G14" s="32">
        <f>$A14*'GWP of methane by scenario'!G$6+(1-$A14)*'GWP of methane by scenario'!G$7</f>
        <v>94.034285714285716</v>
      </c>
      <c r="H14" s="34">
        <f>$A14*'GWP of methane by scenario'!H$6+(1-$A14)*'GWP of methane by scenario'!H$7</f>
        <v>116.79999999999998</v>
      </c>
      <c r="I14" s="38">
        <f>$A14*'GWP of methane by scenario'!I$6+(1-$A14)*'GWP of methane by scenario'!I$7</f>
        <v>-6.8800000000000132</v>
      </c>
      <c r="J14" s="7">
        <f>$A14*'GWP of methane by scenario'!J$6+(1-$A14)*'GWP of methane by scenario'!J$7</f>
        <v>37.046153846153842</v>
      </c>
      <c r="K14" s="7">
        <f>$A14*'GWP of methane by scenario'!K$6+(1-$A14)*'GWP of methane by scenario'!K$7</f>
        <v>83.284210526315789</v>
      </c>
      <c r="L14" s="32">
        <f>$A14*'GWP of methane by scenario'!L$6+(1-$A14)*'GWP of methane by scenario'!L$7</f>
        <v>132.02162162162162</v>
      </c>
      <c r="M14" s="32">
        <f>$A14*'GWP of methane by scenario'!M$6+(1-$A14)*'GWP of methane by scenario'!M$7</f>
        <v>183.46666666666667</v>
      </c>
      <c r="N14" s="32">
        <f>$A14*'GWP of methane by scenario'!N$6+(1-$A14)*'GWP of methane by scenario'!N$7</f>
        <v>237.85142857142858</v>
      </c>
      <c r="O14" s="34">
        <f>$A14*'GWP of methane by scenario'!O$6+(1-$A14)*'GWP of methane by scenario'!O$7</f>
        <v>295.43529411764712</v>
      </c>
      <c r="P14" s="65"/>
      <c r="Q14" s="65"/>
      <c r="R14" s="71"/>
      <c r="S14" s="2"/>
    </row>
    <row r="15" spans="1:19" x14ac:dyDescent="0.25">
      <c r="A15" s="72">
        <f t="shared" si="0"/>
        <v>0.5499999999999996</v>
      </c>
      <c r="B15" s="38">
        <f>$A15*'GWP of methane by scenario'!B$6+(1-$A15)*'GWP of methane by scenario'!B$7</f>
        <v>-3.0600000000000054</v>
      </c>
      <c r="C15" s="7">
        <f>$A15*'GWP of methane by scenario'!C$6+(1-$A15)*'GWP of methane by scenario'!C$7</f>
        <v>14.297435897435893</v>
      </c>
      <c r="D15" s="7">
        <f>$A15*'GWP of methane by scenario'!D$6+(1-$A15)*'GWP of methane by scenario'!D$7</f>
        <v>32.568421052631578</v>
      </c>
      <c r="E15" s="7">
        <f>$A15*'GWP of methane by scenario'!E$6+(1-$A15)*'GWP of methane by scenario'!E$7</f>
        <v>51.827027027027029</v>
      </c>
      <c r="F15" s="56">
        <f>$A15*'GWP of methane by scenario'!F$6+(1-$A15)*'GWP of methane by scenario'!F$7</f>
        <v>72.155555555555551</v>
      </c>
      <c r="G15" s="32">
        <f>$A15*'GWP of methane by scenario'!G$6+(1-$A15)*'GWP of methane by scenario'!G$7</f>
        <v>93.645714285714277</v>
      </c>
      <c r="H15" s="34">
        <f>$A15*'GWP of methane by scenario'!H$6+(1-$A15)*'GWP of methane by scenario'!H$7</f>
        <v>116.4</v>
      </c>
      <c r="I15" s="38">
        <f>$A15*'GWP of methane by scenario'!I$6+(1-$A15)*'GWP of methane by scenario'!I$7</f>
        <v>-7.7400000000000144</v>
      </c>
      <c r="J15" s="7">
        <f>$A15*'GWP of methane by scenario'!J$6+(1-$A15)*'GWP of methane by scenario'!J$7</f>
        <v>36.164102564102556</v>
      </c>
      <c r="K15" s="7">
        <f>$A15*'GWP of methane by scenario'!K$6+(1-$A15)*'GWP of methane by scenario'!K$7</f>
        <v>82.378947368421052</v>
      </c>
      <c r="L15" s="32">
        <f>$A15*'GWP of methane by scenario'!L$6+(1-$A15)*'GWP of methane by scenario'!L$7</f>
        <v>131.09189189189189</v>
      </c>
      <c r="M15" s="32">
        <f>$A15*'GWP of methane by scenario'!M$6+(1-$A15)*'GWP of methane by scenario'!M$7</f>
        <v>182.51111111111112</v>
      </c>
      <c r="N15" s="32">
        <f>$A15*'GWP of methane by scenario'!N$6+(1-$A15)*'GWP of methane by scenario'!N$7</f>
        <v>236.86857142857144</v>
      </c>
      <c r="O15" s="34">
        <f>$A15*'GWP of methane by scenario'!O$6+(1-$A15)*'GWP of methane by scenario'!O$7</f>
        <v>294.42352941176472</v>
      </c>
      <c r="P15" s="65"/>
      <c r="Q15" s="65"/>
      <c r="R15" s="71"/>
      <c r="S15" s="2"/>
    </row>
    <row r="16" spans="1:19" x14ac:dyDescent="0.25">
      <c r="A16" s="72">
        <f t="shared" si="0"/>
        <v>0.49999999999999961</v>
      </c>
      <c r="B16" s="38">
        <f>$A16*'GWP of methane by scenario'!B$6+(1-$A16)*'GWP of methane by scenario'!B$7</f>
        <v>-3.4000000000000061</v>
      </c>
      <c r="C16" s="7">
        <f>$A16*'GWP of methane by scenario'!C$6+(1-$A16)*'GWP of methane by scenario'!C$7</f>
        <v>13.948717948717945</v>
      </c>
      <c r="D16" s="7">
        <f>$A16*'GWP of methane by scenario'!D$6+(1-$A16)*'GWP of methane by scenario'!D$7</f>
        <v>32.21052631578948</v>
      </c>
      <c r="E16" s="7">
        <f>$A16*'GWP of methane by scenario'!E$6+(1-$A16)*'GWP of methane by scenario'!E$7</f>
        <v>51.459459459459467</v>
      </c>
      <c r="F16" s="56">
        <f>$A16*'GWP of methane by scenario'!F$6+(1-$A16)*'GWP of methane by scenario'!F$7</f>
        <v>71.777777777777771</v>
      </c>
      <c r="G16" s="32">
        <f>$A16*'GWP of methane by scenario'!G$6+(1-$A16)*'GWP of methane by scenario'!G$7</f>
        <v>93.257142857142867</v>
      </c>
      <c r="H16" s="34">
        <f>$A16*'GWP of methane by scenario'!H$6+(1-$A16)*'GWP of methane by scenario'!H$7</f>
        <v>116</v>
      </c>
      <c r="I16" s="38">
        <f>$A16*'GWP of methane by scenario'!I$6+(1-$A16)*'GWP of methane by scenario'!I$7</f>
        <v>-8.6000000000000156</v>
      </c>
      <c r="J16" s="7">
        <f>$A16*'GWP of methane by scenario'!J$6+(1-$A16)*'GWP of methane by scenario'!J$7</f>
        <v>35.28205128205127</v>
      </c>
      <c r="K16" s="7">
        <f>$A16*'GWP of methane by scenario'!K$6+(1-$A16)*'GWP of methane by scenario'!K$7</f>
        <v>81.473684210526329</v>
      </c>
      <c r="L16" s="32">
        <f>$A16*'GWP of methane by scenario'!L$6+(1-$A16)*'GWP of methane by scenario'!L$7</f>
        <v>130.16216216216216</v>
      </c>
      <c r="M16" s="32">
        <f>$A16*'GWP of methane by scenario'!M$6+(1-$A16)*'GWP of methane by scenario'!M$7</f>
        <v>181.55555555555554</v>
      </c>
      <c r="N16" s="32">
        <f>$A16*'GWP of methane by scenario'!N$6+(1-$A16)*'GWP of methane by scenario'!N$7</f>
        <v>235.8857142857143</v>
      </c>
      <c r="O16" s="34">
        <f>$A16*'GWP of methane by scenario'!O$6+(1-$A16)*'GWP of methane by scenario'!O$7</f>
        <v>293.41176470588238</v>
      </c>
      <c r="P16" s="65"/>
      <c r="Q16" s="65"/>
      <c r="R16" s="71"/>
      <c r="S16" s="2"/>
    </row>
    <row r="17" spans="1:19" x14ac:dyDescent="0.25">
      <c r="A17" s="72">
        <f t="shared" si="0"/>
        <v>0.44999999999999962</v>
      </c>
      <c r="B17" s="38">
        <f>$A17*'GWP of methane by scenario'!B$6+(1-$A17)*'GWP of methane by scenario'!B$7</f>
        <v>-3.740000000000006</v>
      </c>
      <c r="C17" s="7">
        <f>$A17*'GWP of methane by scenario'!C$6+(1-$A17)*'GWP of methane by scenario'!C$7</f>
        <v>13.599999999999994</v>
      </c>
      <c r="D17" s="7">
        <f>$A17*'GWP of methane by scenario'!D$6+(1-$A17)*'GWP of methane by scenario'!D$7</f>
        <v>31.852631578947367</v>
      </c>
      <c r="E17" s="7">
        <f>$A17*'GWP of methane by scenario'!E$6+(1-$A17)*'GWP of methane by scenario'!E$7</f>
        <v>51.091891891891891</v>
      </c>
      <c r="F17" s="56">
        <f>$A17*'GWP of methane by scenario'!F$6+(1-$A17)*'GWP of methane by scenario'!F$7</f>
        <v>71.400000000000006</v>
      </c>
      <c r="G17" s="32">
        <f>$A17*'GWP of methane by scenario'!G$6+(1-$A17)*'GWP of methane by scenario'!G$7</f>
        <v>92.868571428571414</v>
      </c>
      <c r="H17" s="34">
        <f>$A17*'GWP of methane by scenario'!H$6+(1-$A17)*'GWP of methane by scenario'!H$7</f>
        <v>115.6</v>
      </c>
      <c r="I17" s="38">
        <f>$A17*'GWP of methane by scenario'!I$6+(1-$A17)*'GWP of methane by scenario'!I$7</f>
        <v>-9.4600000000000151</v>
      </c>
      <c r="J17" s="7">
        <f>$A17*'GWP of methane by scenario'!J$6+(1-$A17)*'GWP of methane by scenario'!J$7</f>
        <v>34.399999999999991</v>
      </c>
      <c r="K17" s="7">
        <f>$A17*'GWP of methane by scenario'!K$6+(1-$A17)*'GWP of methane by scenario'!K$7</f>
        <v>80.568421052631578</v>
      </c>
      <c r="L17" s="32">
        <f>$A17*'GWP of methane by scenario'!L$6+(1-$A17)*'GWP of methane by scenario'!L$7</f>
        <v>129.23243243243243</v>
      </c>
      <c r="M17" s="32">
        <f>$A17*'GWP of methane by scenario'!M$6+(1-$A17)*'GWP of methane by scenario'!M$7</f>
        <v>180.6</v>
      </c>
      <c r="N17" s="32">
        <f>$A17*'GWP of methane by scenario'!N$6+(1-$A17)*'GWP of methane by scenario'!N$7</f>
        <v>234.90285714285716</v>
      </c>
      <c r="O17" s="34">
        <f>$A17*'GWP of methane by scenario'!O$6+(1-$A17)*'GWP of methane by scenario'!O$7</f>
        <v>292.39999999999998</v>
      </c>
      <c r="P17" s="65"/>
      <c r="Q17" s="65"/>
      <c r="R17" s="71"/>
      <c r="S17" s="2"/>
    </row>
    <row r="18" spans="1:19" x14ac:dyDescent="0.25">
      <c r="A18" s="72">
        <f t="shared" si="0"/>
        <v>0.39999999999999963</v>
      </c>
      <c r="B18" s="38">
        <f>$A18*'GWP of methane by scenario'!B$6+(1-$A18)*'GWP of methane by scenario'!B$7</f>
        <v>-4.0800000000000054</v>
      </c>
      <c r="C18" s="7">
        <f>$A18*'GWP of methane by scenario'!C$6+(1-$A18)*'GWP of methane by scenario'!C$7</f>
        <v>13.251282051282047</v>
      </c>
      <c r="D18" s="7">
        <f>$A18*'GWP of methane by scenario'!D$6+(1-$A18)*'GWP of methane by scenario'!D$7</f>
        <v>31.494736842105262</v>
      </c>
      <c r="E18" s="7">
        <f>$A18*'GWP of methane by scenario'!E$6+(1-$A18)*'GWP of methane by scenario'!E$7</f>
        <v>50.724324324324321</v>
      </c>
      <c r="F18" s="56">
        <f>$A18*'GWP of methane by scenario'!F$6+(1-$A18)*'GWP of methane by scenario'!F$7</f>
        <v>71.022222222222211</v>
      </c>
      <c r="G18" s="32">
        <f>$A18*'GWP of methane by scenario'!G$6+(1-$A18)*'GWP of methane by scenario'!G$7</f>
        <v>92.47999999999999</v>
      </c>
      <c r="H18" s="34">
        <f>$A18*'GWP of methane by scenario'!H$6+(1-$A18)*'GWP of methane by scenario'!H$7</f>
        <v>115.19999999999999</v>
      </c>
      <c r="I18" s="38">
        <f>$A18*'GWP of methane by scenario'!I$6+(1-$A18)*'GWP of methane by scenario'!I$7</f>
        <v>-10.320000000000016</v>
      </c>
      <c r="J18" s="7">
        <f>$A18*'GWP of methane by scenario'!J$6+(1-$A18)*'GWP of methane by scenario'!J$7</f>
        <v>33.517948717948705</v>
      </c>
      <c r="K18" s="7">
        <f>$A18*'GWP of methane by scenario'!K$6+(1-$A18)*'GWP of methane by scenario'!K$7</f>
        <v>79.663157894736827</v>
      </c>
      <c r="L18" s="32">
        <f>$A18*'GWP of methane by scenario'!L$6+(1-$A18)*'GWP of methane by scenario'!L$7</f>
        <v>128.3027027027027</v>
      </c>
      <c r="M18" s="32">
        <f>$A18*'GWP of methane by scenario'!M$6+(1-$A18)*'GWP of methane by scenario'!M$7</f>
        <v>179.64444444444445</v>
      </c>
      <c r="N18" s="32">
        <f>$A18*'GWP of methane by scenario'!N$6+(1-$A18)*'GWP of methane by scenario'!N$7</f>
        <v>233.91999999999996</v>
      </c>
      <c r="O18" s="34">
        <f>$A18*'GWP of methane by scenario'!O$6+(1-$A18)*'GWP of methane by scenario'!O$7</f>
        <v>291.38823529411764</v>
      </c>
      <c r="P18" s="65"/>
      <c r="Q18" s="65"/>
      <c r="R18" s="71"/>
      <c r="S18" s="2"/>
    </row>
    <row r="19" spans="1:19" x14ac:dyDescent="0.25">
      <c r="A19" s="72">
        <f t="shared" si="0"/>
        <v>0.34999999999999964</v>
      </c>
      <c r="B19" s="38">
        <f>$A19*'GWP of methane by scenario'!B$6+(1-$A19)*'GWP of methane by scenario'!B$7</f>
        <v>-4.4200000000000061</v>
      </c>
      <c r="C19" s="7">
        <f>$A19*'GWP of methane by scenario'!C$6+(1-$A19)*'GWP of methane by scenario'!C$7</f>
        <v>12.902564102564098</v>
      </c>
      <c r="D19" s="7">
        <f>$A19*'GWP of methane by scenario'!D$6+(1-$A19)*'GWP of methane by scenario'!D$7</f>
        <v>31.13684210526316</v>
      </c>
      <c r="E19" s="7">
        <f>$A19*'GWP of methane by scenario'!E$6+(1-$A19)*'GWP of methane by scenario'!E$7</f>
        <v>50.356756756756752</v>
      </c>
      <c r="F19" s="56">
        <f>$A19*'GWP of methane by scenario'!F$6+(1-$A19)*'GWP of methane by scenario'!F$7</f>
        <v>70.644444444444446</v>
      </c>
      <c r="G19" s="32">
        <f>$A19*'GWP of methane by scenario'!G$6+(1-$A19)*'GWP of methane by scenario'!G$7</f>
        <v>92.091428571428565</v>
      </c>
      <c r="H19" s="34">
        <f>$A19*'GWP of methane by scenario'!H$6+(1-$A19)*'GWP of methane by scenario'!H$7</f>
        <v>114.79999999999998</v>
      </c>
      <c r="I19" s="38">
        <f>$A19*'GWP of methane by scenario'!I$6+(1-$A19)*'GWP of methane by scenario'!I$7</f>
        <v>-11.180000000000017</v>
      </c>
      <c r="J19" s="7">
        <f>$A19*'GWP of methane by scenario'!J$6+(1-$A19)*'GWP of methane by scenario'!J$7</f>
        <v>32.635897435897427</v>
      </c>
      <c r="K19" s="7">
        <f>$A19*'GWP of methane by scenario'!K$6+(1-$A19)*'GWP of methane by scenario'!K$7</f>
        <v>78.757894736842104</v>
      </c>
      <c r="L19" s="32">
        <f>$A19*'GWP of methane by scenario'!L$6+(1-$A19)*'GWP of methane by scenario'!L$7</f>
        <v>127.37297297297297</v>
      </c>
      <c r="M19" s="32">
        <f>$A19*'GWP of methane by scenario'!M$6+(1-$A19)*'GWP of methane by scenario'!M$7</f>
        <v>178.6888888888889</v>
      </c>
      <c r="N19" s="32">
        <f>$A19*'GWP of methane by scenario'!N$6+(1-$A19)*'GWP of methane by scenario'!N$7</f>
        <v>232.93714285714285</v>
      </c>
      <c r="O19" s="34">
        <f>$A19*'GWP of methane by scenario'!O$6+(1-$A19)*'GWP of methane by scenario'!O$7</f>
        <v>290.37647058823529</v>
      </c>
      <c r="P19" s="65"/>
      <c r="Q19" s="65"/>
      <c r="R19" s="71"/>
      <c r="S19" s="2"/>
    </row>
    <row r="20" spans="1:19" x14ac:dyDescent="0.25">
      <c r="A20" s="72">
        <f t="shared" si="0"/>
        <v>0.29999999999999966</v>
      </c>
      <c r="B20" s="38">
        <f>$A20*'GWP of methane by scenario'!B$6+(1-$A20)*'GWP of methane by scenario'!B$7</f>
        <v>-4.7600000000000069</v>
      </c>
      <c r="C20" s="7">
        <f>$A20*'GWP of methane by scenario'!C$6+(1-$A20)*'GWP of methane by scenario'!C$7</f>
        <v>12.553846153846148</v>
      </c>
      <c r="D20" s="7">
        <f>$A20*'GWP of methane by scenario'!D$6+(1-$A20)*'GWP of methane by scenario'!D$7</f>
        <v>30.778947368421058</v>
      </c>
      <c r="E20" s="7">
        <f>$A20*'GWP of methane by scenario'!E$6+(1-$A20)*'GWP of methane by scenario'!E$7</f>
        <v>49.98918918918919</v>
      </c>
      <c r="F20" s="92">
        <f>$A20*'GWP of methane by scenario'!F$6+(1-$A20)*'GWP of methane by scenario'!F$7</f>
        <v>70.266666666666666</v>
      </c>
      <c r="G20" s="32">
        <f>$A20*'GWP of methane by scenario'!G$6+(1-$A20)*'GWP of methane by scenario'!G$7</f>
        <v>91.702857142857141</v>
      </c>
      <c r="H20" s="34">
        <f>$A20*'GWP of methane by scenario'!H$6+(1-$A20)*'GWP of methane by scenario'!H$7</f>
        <v>114.39999999999999</v>
      </c>
      <c r="I20" s="38">
        <f>$A20*'GWP of methane by scenario'!I$6+(1-$A20)*'GWP of methane by scenario'!I$7</f>
        <v>-12.040000000000019</v>
      </c>
      <c r="J20" s="7">
        <f>$A20*'GWP of methane by scenario'!J$6+(1-$A20)*'GWP of methane by scenario'!J$7</f>
        <v>31.753846153846141</v>
      </c>
      <c r="K20" s="7">
        <f>$A20*'GWP of methane by scenario'!K$6+(1-$A20)*'GWP of methane by scenario'!K$7</f>
        <v>77.852631578947367</v>
      </c>
      <c r="L20" s="32">
        <f>$A20*'GWP of methane by scenario'!L$6+(1-$A20)*'GWP of methane by scenario'!L$7</f>
        <v>126.44324324324324</v>
      </c>
      <c r="M20" s="32">
        <f>$A20*'GWP of methane by scenario'!M$6+(1-$A20)*'GWP of methane by scenario'!M$7</f>
        <v>177.73333333333335</v>
      </c>
      <c r="N20" s="32">
        <f>$A20*'GWP of methane by scenario'!N$6+(1-$A20)*'GWP of methane by scenario'!N$7</f>
        <v>231.95428571428573</v>
      </c>
      <c r="O20" s="34">
        <f>$A20*'GWP of methane by scenario'!O$6+(1-$A20)*'GWP of methane by scenario'!O$7</f>
        <v>289.36470588235295</v>
      </c>
      <c r="P20" s="65"/>
      <c r="Q20" s="65"/>
      <c r="R20" s="71"/>
      <c r="S20" s="2"/>
    </row>
    <row r="21" spans="1:19" x14ac:dyDescent="0.25">
      <c r="A21" s="72">
        <f t="shared" si="0"/>
        <v>0.24999999999999967</v>
      </c>
      <c r="B21" s="38">
        <f>$A21*'GWP of methane by scenario'!B$6+(1-$A21)*'GWP of methane by scenario'!B$7</f>
        <v>-5.1000000000000068</v>
      </c>
      <c r="C21" s="7">
        <f>$A21*'GWP of methane by scenario'!C$6+(1-$A21)*'GWP of methane by scenario'!C$7</f>
        <v>12.205128205128199</v>
      </c>
      <c r="D21" s="7">
        <f>$A21*'GWP of methane by scenario'!D$6+(1-$A21)*'GWP of methane by scenario'!D$7</f>
        <v>30.421052631578945</v>
      </c>
      <c r="E21" s="7">
        <f>$A21*'GWP of methane by scenario'!E$6+(1-$A21)*'GWP of methane by scenario'!E$7</f>
        <v>49.621621621621621</v>
      </c>
      <c r="F21" s="92">
        <f>$A21*'GWP of methane by scenario'!F$6+(1-$A21)*'GWP of methane by scenario'!F$7</f>
        <v>69.888888888888886</v>
      </c>
      <c r="G21" s="32">
        <f>$A21*'GWP of methane by scenario'!G$6+(1-$A21)*'GWP of methane by scenario'!G$7</f>
        <v>91.314285714285703</v>
      </c>
      <c r="H21" s="34">
        <f>$A21*'GWP of methane by scenario'!H$6+(1-$A21)*'GWP of methane by scenario'!H$7</f>
        <v>113.99999999999999</v>
      </c>
      <c r="I21" s="38">
        <f>$A21*'GWP of methane by scenario'!I$6+(1-$A21)*'GWP of methane by scenario'!I$7</f>
        <v>-12.900000000000018</v>
      </c>
      <c r="J21" s="7">
        <f>$A21*'GWP of methane by scenario'!J$6+(1-$A21)*'GWP of methane by scenario'!J$7</f>
        <v>30.871794871794862</v>
      </c>
      <c r="K21" s="7">
        <f>$A21*'GWP of methane by scenario'!K$6+(1-$A21)*'GWP of methane by scenario'!K$7</f>
        <v>76.94736842105263</v>
      </c>
      <c r="L21" s="32">
        <f>$A21*'GWP of methane by scenario'!L$6+(1-$A21)*'GWP of methane by scenario'!L$7</f>
        <v>125.51351351351352</v>
      </c>
      <c r="M21" s="32">
        <f>$A21*'GWP of methane by scenario'!M$6+(1-$A21)*'GWP of methane by scenario'!M$7</f>
        <v>176.77777777777777</v>
      </c>
      <c r="N21" s="32">
        <f>$A21*'GWP of methane by scenario'!N$6+(1-$A21)*'GWP of methane by scenario'!N$7</f>
        <v>230.97142857142853</v>
      </c>
      <c r="O21" s="34">
        <f>$A21*'GWP of methane by scenario'!O$6+(1-$A21)*'GWP of methane by scenario'!O$7</f>
        <v>288.35294117647061</v>
      </c>
      <c r="P21" s="65"/>
      <c r="Q21" s="65"/>
      <c r="R21" s="71"/>
      <c r="S21" s="2"/>
    </row>
    <row r="22" spans="1:19" x14ac:dyDescent="0.25">
      <c r="A22" s="72">
        <f t="shared" si="0"/>
        <v>0.19999999999999968</v>
      </c>
      <c r="B22" s="38">
        <f>$A22*'GWP of methane by scenario'!B$6+(1-$A22)*'GWP of methane by scenario'!B$7</f>
        <v>-5.4400000000000066</v>
      </c>
      <c r="C22" s="7">
        <f>$A22*'GWP of methane by scenario'!C$6+(1-$A22)*'GWP of methane by scenario'!C$7</f>
        <v>11.85641025641025</v>
      </c>
      <c r="D22" s="7">
        <f>$A22*'GWP of methane by scenario'!D$6+(1-$A22)*'GWP of methane by scenario'!D$7</f>
        <v>30.06315789473684</v>
      </c>
      <c r="E22" s="7">
        <f>$A22*'GWP of methane by scenario'!E$6+(1-$A22)*'GWP of methane by scenario'!E$7</f>
        <v>49.254054054054052</v>
      </c>
      <c r="F22" s="7">
        <f>$A22*'GWP of methane by scenario'!F$6+(1-$A22)*'GWP of methane by scenario'!F$7</f>
        <v>69.511111111111106</v>
      </c>
      <c r="G22" s="32">
        <f>$A22*'GWP of methane by scenario'!G$6+(1-$A22)*'GWP of methane by scenario'!G$7</f>
        <v>90.925714285714264</v>
      </c>
      <c r="H22" s="34">
        <f>$A22*'GWP of methane by scenario'!H$6+(1-$A22)*'GWP of methane by scenario'!H$7</f>
        <v>113.59999999999998</v>
      </c>
      <c r="I22" s="38">
        <f>$A22*'GWP of methane by scenario'!I$6+(1-$A22)*'GWP of methane by scenario'!I$7</f>
        <v>-13.760000000000018</v>
      </c>
      <c r="J22" s="7">
        <f>$A22*'GWP of methane by scenario'!J$6+(1-$A22)*'GWP of methane by scenario'!J$7</f>
        <v>29.989743589743572</v>
      </c>
      <c r="K22" s="7">
        <f>$A22*'GWP of methane by scenario'!K$6+(1-$A22)*'GWP of methane by scenario'!K$7</f>
        <v>76.042105263157879</v>
      </c>
      <c r="L22" s="32">
        <f>$A22*'GWP of methane by scenario'!L$6+(1-$A22)*'GWP of methane by scenario'!L$7</f>
        <v>124.58378378378376</v>
      </c>
      <c r="M22" s="32">
        <f>$A22*'GWP of methane by scenario'!M$6+(1-$A22)*'GWP of methane by scenario'!M$7</f>
        <v>175.82222222222222</v>
      </c>
      <c r="N22" s="32">
        <f>$A22*'GWP of methane by scenario'!N$6+(1-$A22)*'GWP of methane by scenario'!N$7</f>
        <v>229.98857142857139</v>
      </c>
      <c r="O22" s="34">
        <f>$A22*'GWP of methane by scenario'!O$6+(1-$A22)*'GWP of methane by scenario'!O$7</f>
        <v>287.34117647058821</v>
      </c>
      <c r="P22" s="65"/>
      <c r="Q22" s="65"/>
      <c r="R22" s="71"/>
      <c r="S22" s="2"/>
    </row>
    <row r="23" spans="1:19" x14ac:dyDescent="0.25">
      <c r="A23" s="72">
        <f t="shared" si="0"/>
        <v>0.14999999999999969</v>
      </c>
      <c r="B23" s="38">
        <f>$A23*'GWP of methane by scenario'!B$6+(1-$A23)*'GWP of methane by scenario'!B$7</f>
        <v>-5.7800000000000074</v>
      </c>
      <c r="C23" s="7">
        <f>$A23*'GWP of methane by scenario'!C$6+(1-$A23)*'GWP of methane by scenario'!C$7</f>
        <v>11.507692307692301</v>
      </c>
      <c r="D23" s="7">
        <f>$A23*'GWP of methane by scenario'!D$6+(1-$A23)*'GWP of methane by scenario'!D$7</f>
        <v>29.705263157894734</v>
      </c>
      <c r="E23" s="7">
        <f>$A23*'GWP of methane by scenario'!E$6+(1-$A23)*'GWP of methane by scenario'!E$7</f>
        <v>48.886486486486483</v>
      </c>
      <c r="F23" s="7">
        <f>$A23*'GWP of methane by scenario'!F$6+(1-$A23)*'GWP of methane by scenario'!F$7</f>
        <v>69.133333333333326</v>
      </c>
      <c r="G23" s="32">
        <f>$A23*'GWP of methane by scenario'!G$6+(1-$A23)*'GWP of methane by scenario'!G$7</f>
        <v>90.537142857142854</v>
      </c>
      <c r="H23" s="34">
        <f>$A23*'GWP of methane by scenario'!H$6+(1-$A23)*'GWP of methane by scenario'!H$7</f>
        <v>113.19999999999999</v>
      </c>
      <c r="I23" s="38">
        <f>$A23*'GWP of methane by scenario'!I$6+(1-$A23)*'GWP of methane by scenario'!I$7</f>
        <v>-14.620000000000021</v>
      </c>
      <c r="J23" s="7">
        <f>$A23*'GWP of methane by scenario'!J$6+(1-$A23)*'GWP of methane by scenario'!J$7</f>
        <v>29.107692307692293</v>
      </c>
      <c r="K23" s="7">
        <f>$A23*'GWP of methane by scenario'!K$6+(1-$A23)*'GWP of methane by scenario'!K$7</f>
        <v>75.136842105263156</v>
      </c>
      <c r="L23" s="32">
        <f>$A23*'GWP of methane by scenario'!L$6+(1-$A23)*'GWP of methane by scenario'!L$7</f>
        <v>123.65405405405404</v>
      </c>
      <c r="M23" s="32">
        <f>$A23*'GWP of methane by scenario'!M$6+(1-$A23)*'GWP of methane by scenario'!M$7</f>
        <v>174.86666666666665</v>
      </c>
      <c r="N23" s="32">
        <f>$A23*'GWP of methane by scenario'!N$6+(1-$A23)*'GWP of methane by scenario'!N$7</f>
        <v>229.00571428571428</v>
      </c>
      <c r="O23" s="34">
        <f>$A23*'GWP of methane by scenario'!O$6+(1-$A23)*'GWP of methane by scenario'!O$7</f>
        <v>286.32941176470587</v>
      </c>
      <c r="P23" s="65"/>
      <c r="Q23" s="65"/>
      <c r="R23" s="71"/>
      <c r="S23" s="2"/>
    </row>
    <row r="24" spans="1:19" x14ac:dyDescent="0.25">
      <c r="A24" s="72">
        <f t="shared" si="0"/>
        <v>9.9999999999999686E-2</v>
      </c>
      <c r="B24" s="38">
        <f>$A24*'GWP of methane by scenario'!B$6+(1-$A24)*'GWP of methane by scenario'!B$7</f>
        <v>-6.1200000000000081</v>
      </c>
      <c r="C24" s="7">
        <f>$A24*'GWP of methane by scenario'!C$6+(1-$A24)*'GWP of methane by scenario'!C$7</f>
        <v>11.158974358974351</v>
      </c>
      <c r="D24" s="7">
        <f>$A24*'GWP of methane by scenario'!D$6+(1-$A24)*'GWP of methane by scenario'!D$7</f>
        <v>29.347368421052629</v>
      </c>
      <c r="E24" s="7">
        <f>$A24*'GWP of methane by scenario'!E$6+(1-$A24)*'GWP of methane by scenario'!E$7</f>
        <v>48.518918918918914</v>
      </c>
      <c r="F24" s="7">
        <f>$A24*'GWP of methane by scenario'!F$6+(1-$A24)*'GWP of methane by scenario'!F$7</f>
        <v>68.75555555555556</v>
      </c>
      <c r="G24" s="32">
        <f>$A24*'GWP of methane by scenario'!G$6+(1-$A24)*'GWP of methane by scenario'!G$7</f>
        <v>90.148571428571415</v>
      </c>
      <c r="H24" s="34">
        <f>$A24*'GWP of methane by scenario'!H$6+(1-$A24)*'GWP of methane by scenario'!H$7</f>
        <v>112.79999999999998</v>
      </c>
      <c r="I24" s="38">
        <f>$A24*'GWP of methane by scenario'!I$6+(1-$A24)*'GWP of methane by scenario'!I$7</f>
        <v>-15.480000000000022</v>
      </c>
      <c r="J24" s="7">
        <f>$A24*'GWP of methane by scenario'!J$6+(1-$A24)*'GWP of methane by scenario'!J$7</f>
        <v>28.225641025641011</v>
      </c>
      <c r="K24" s="7">
        <f>$A24*'GWP of methane by scenario'!K$6+(1-$A24)*'GWP of methane by scenario'!K$7</f>
        <v>74.231578947368419</v>
      </c>
      <c r="L24" s="32">
        <f>$A24*'GWP of methane by scenario'!L$6+(1-$A24)*'GWP of methane by scenario'!L$7</f>
        <v>122.72432432432433</v>
      </c>
      <c r="M24" s="32">
        <f>$A24*'GWP of methane by scenario'!M$6+(1-$A24)*'GWP of methane by scenario'!M$7</f>
        <v>173.91111111111113</v>
      </c>
      <c r="N24" s="32">
        <f>$A24*'GWP of methane by scenario'!N$6+(1-$A24)*'GWP of methane by scenario'!N$7</f>
        <v>228.02285714285713</v>
      </c>
      <c r="O24" s="34">
        <f>$A24*'GWP of methane by scenario'!O$6+(1-$A24)*'GWP of methane by scenario'!O$7</f>
        <v>285.31764705882358</v>
      </c>
      <c r="P24" s="65"/>
      <c r="Q24" s="65"/>
      <c r="R24" s="71"/>
      <c r="S24" s="2"/>
    </row>
    <row r="25" spans="1:19" x14ac:dyDescent="0.25">
      <c r="A25" s="72">
        <f t="shared" si="0"/>
        <v>4.9999999999999684E-2</v>
      </c>
      <c r="B25" s="38">
        <f>$A25*'GWP of methane by scenario'!B$6+(1-$A25)*'GWP of methane by scenario'!B$7</f>
        <v>-6.460000000000008</v>
      </c>
      <c r="C25" s="7">
        <f>$A25*'GWP of methane by scenario'!C$6+(1-$A25)*'GWP of methane by scenario'!C$7</f>
        <v>10.810256410256404</v>
      </c>
      <c r="D25" s="7">
        <f>$A25*'GWP of methane by scenario'!D$6+(1-$A25)*'GWP of methane by scenario'!D$7</f>
        <v>28.989473684210527</v>
      </c>
      <c r="E25" s="7">
        <f>$A25*'GWP of methane by scenario'!E$6+(1-$A25)*'GWP of methane by scenario'!E$7</f>
        <v>48.151351351351344</v>
      </c>
      <c r="F25" s="7">
        <f>$A25*'GWP of methane by scenario'!F$6+(1-$A25)*'GWP of methane by scenario'!F$7</f>
        <v>68.37777777777778</v>
      </c>
      <c r="G25" s="32">
        <f>$A25*'GWP of methane by scenario'!G$6+(1-$A25)*'GWP of methane by scenario'!G$7</f>
        <v>89.759999999999991</v>
      </c>
      <c r="H25" s="34">
        <f>$A25*'GWP of methane by scenario'!H$6+(1-$A25)*'GWP of methane by scenario'!H$7</f>
        <v>112.39999999999998</v>
      </c>
      <c r="I25" s="38">
        <f>$A25*'GWP of methane by scenario'!I$6+(1-$A25)*'GWP of methane by scenario'!I$7</f>
        <v>-16.340000000000021</v>
      </c>
      <c r="J25" s="7">
        <f>$A25*'GWP of methane by scenario'!J$6+(1-$A25)*'GWP of methane by scenario'!J$7</f>
        <v>27.343589743589725</v>
      </c>
      <c r="K25" s="7">
        <f>$A25*'GWP of methane by scenario'!K$6+(1-$A25)*'GWP of methane by scenario'!K$7</f>
        <v>73.326315789473682</v>
      </c>
      <c r="L25" s="32">
        <f>$A25*'GWP of methane by scenario'!L$6+(1-$A25)*'GWP of methane by scenario'!L$7</f>
        <v>121.79459459459457</v>
      </c>
      <c r="M25" s="32">
        <f>$A25*'GWP of methane by scenario'!M$6+(1-$A25)*'GWP of methane by scenario'!M$7</f>
        <v>172.95555555555555</v>
      </c>
      <c r="N25" s="32">
        <f>$A25*'GWP of methane by scenario'!N$6+(1-$A25)*'GWP of methane by scenario'!N$7</f>
        <v>227.04</v>
      </c>
      <c r="O25" s="34">
        <f>$A25*'GWP of methane by scenario'!O$6+(1-$A25)*'GWP of methane by scenario'!O$7</f>
        <v>284.30588235294118</v>
      </c>
      <c r="P25" s="65"/>
      <c r="Q25" s="65"/>
      <c r="R25" s="71"/>
      <c r="S25" s="2"/>
    </row>
    <row r="26" spans="1:19" ht="20" thickBot="1" x14ac:dyDescent="0.3">
      <c r="A26" s="72">
        <f t="shared" si="0"/>
        <v>-3.1918911957973251E-16</v>
      </c>
      <c r="B26" s="39">
        <f>$A26*'GWP of methane by scenario'!B$6+(1-$A26)*'GWP of methane by scenario'!B$7</f>
        <v>-6.8000000000000078</v>
      </c>
      <c r="C26" s="25">
        <f>$A26*'GWP of methane by scenario'!C$6+(1-$A26)*'GWP of methane by scenario'!C$7</f>
        <v>10.461538461538453</v>
      </c>
      <c r="D26" s="25">
        <f>$A26*'GWP of methane by scenario'!D$6+(1-$A26)*'GWP of methane by scenario'!D$7</f>
        <v>28.631578947368418</v>
      </c>
      <c r="E26" s="25">
        <f>$A26*'GWP of methane by scenario'!E$6+(1-$A26)*'GWP of methane by scenario'!E$7</f>
        <v>47.783783783783775</v>
      </c>
      <c r="F26" s="25">
        <f>$A26*'GWP of methane by scenario'!F$6+(1-$A26)*'GWP of methane by scenario'!F$7</f>
        <v>67.999999999999986</v>
      </c>
      <c r="G26" s="35">
        <f>$A26*'GWP of methane by scenario'!G$6+(1-$A26)*'GWP of methane by scenario'!G$7</f>
        <v>89.371428571428552</v>
      </c>
      <c r="H26" s="36">
        <f>$A26*'GWP of methane by scenario'!H$6+(1-$A26)*'GWP of methane by scenario'!H$7</f>
        <v>111.99999999999997</v>
      </c>
      <c r="I26" s="39">
        <f>$A26*'GWP of methane by scenario'!I$6+(1-$A26)*'GWP of methane by scenario'!I$7</f>
        <v>-17.200000000000021</v>
      </c>
      <c r="J26" s="25">
        <f>$A26*'GWP of methane by scenario'!J$6+(1-$A26)*'GWP of methane by scenario'!J$7</f>
        <v>26.461538461538442</v>
      </c>
      <c r="K26" s="25">
        <f>$A26*'GWP of methane by scenario'!K$6+(1-$A26)*'GWP of methane by scenario'!K$7</f>
        <v>72.421052631578931</v>
      </c>
      <c r="L26" s="35">
        <f>$A26*'GWP of methane by scenario'!L$6+(1-$A26)*'GWP of methane by scenario'!L$7</f>
        <v>120.86486486486484</v>
      </c>
      <c r="M26" s="35">
        <f>$A26*'GWP of methane by scenario'!M$6+(1-$A26)*'GWP of methane by scenario'!M$7</f>
        <v>171.99999999999997</v>
      </c>
      <c r="N26" s="35">
        <f>$A26*'GWP of methane by scenario'!N$6+(1-$A26)*'GWP of methane by scenario'!N$7</f>
        <v>226.05714285714282</v>
      </c>
      <c r="O26" s="36">
        <f>$A26*'GWP of methane by scenario'!O$6+(1-$A26)*'GWP of methane by scenario'!O$7</f>
        <v>283.29411764705878</v>
      </c>
      <c r="P26" s="65"/>
      <c r="Q26" s="65"/>
      <c r="R26" s="71"/>
      <c r="S26" s="2"/>
    </row>
    <row r="27" spans="1:19" x14ac:dyDescent="0.25">
      <c r="A27" s="13"/>
      <c r="B27" s="13"/>
      <c r="C27" s="13"/>
      <c r="D27" s="13"/>
      <c r="E27" s="13"/>
      <c r="F27" s="13"/>
      <c r="G27" s="13"/>
      <c r="H27" s="13"/>
      <c r="I27" s="13"/>
      <c r="J27" s="13"/>
      <c r="K27" s="13"/>
      <c r="L27" s="13"/>
      <c r="M27" s="13"/>
      <c r="N27" s="13"/>
      <c r="O27" s="13"/>
      <c r="P27" s="13"/>
      <c r="Q27" s="13"/>
      <c r="R27" s="13"/>
    </row>
    <row r="28" spans="1:19" x14ac:dyDescent="0.25">
      <c r="A28" s="13"/>
      <c r="B28" s="13"/>
      <c r="C28" s="13"/>
      <c r="D28" s="13"/>
      <c r="E28" s="13"/>
      <c r="F28" s="13"/>
      <c r="G28" s="13"/>
      <c r="H28" s="13"/>
      <c r="I28" s="13"/>
      <c r="J28" s="13"/>
      <c r="K28" s="13"/>
      <c r="L28" s="13"/>
      <c r="M28" s="13"/>
      <c r="N28" s="13"/>
      <c r="O28" s="13"/>
      <c r="P28" s="13"/>
      <c r="Q28" s="13"/>
      <c r="R28" s="13"/>
    </row>
    <row r="29" spans="1:19" x14ac:dyDescent="0.25">
      <c r="A29" s="13"/>
      <c r="B29" s="13"/>
      <c r="C29" s="13"/>
      <c r="D29" s="13"/>
      <c r="E29" s="13"/>
      <c r="F29" s="13"/>
      <c r="G29" s="13"/>
      <c r="H29" s="13"/>
      <c r="I29" s="13"/>
      <c r="J29" s="13"/>
      <c r="K29" s="13"/>
      <c r="L29" s="13"/>
      <c r="M29" s="13"/>
      <c r="N29" s="13"/>
      <c r="O29" s="13"/>
      <c r="P29" s="13"/>
      <c r="Q29" s="13"/>
      <c r="R29" s="13"/>
    </row>
    <row r="30" spans="1:19" x14ac:dyDescent="0.25">
      <c r="A30" s="13"/>
      <c r="B30" s="13"/>
      <c r="C30" s="13"/>
      <c r="D30" s="13"/>
      <c r="E30" s="13"/>
      <c r="F30" s="13"/>
      <c r="G30" s="13"/>
      <c r="H30" s="13"/>
      <c r="I30" s="13"/>
      <c r="J30" s="13"/>
      <c r="K30" s="13"/>
      <c r="L30" s="13"/>
      <c r="M30" s="13"/>
      <c r="N30" s="13"/>
      <c r="O30" s="13"/>
      <c r="P30" s="13"/>
      <c r="Q30" s="13"/>
      <c r="R30" s="13"/>
    </row>
    <row r="31" spans="1:19" x14ac:dyDescent="0.25">
      <c r="A31" s="13"/>
      <c r="B31" s="13"/>
      <c r="C31" s="13"/>
      <c r="D31" s="13"/>
      <c r="E31" s="13"/>
      <c r="F31" s="13"/>
      <c r="G31" s="13"/>
      <c r="H31" s="13"/>
      <c r="I31" s="13"/>
      <c r="J31" s="13"/>
      <c r="K31" s="13"/>
      <c r="L31" s="13"/>
      <c r="M31" s="13"/>
      <c r="N31" s="13"/>
      <c r="O31" s="13"/>
      <c r="P31" s="13"/>
      <c r="Q31" s="13"/>
      <c r="R31" s="13"/>
    </row>
    <row r="32" spans="1:19" x14ac:dyDescent="0.25">
      <c r="A32" s="13"/>
      <c r="B32" s="13"/>
      <c r="C32" s="13"/>
      <c r="D32" s="13"/>
      <c r="E32" s="13"/>
      <c r="F32" s="13"/>
      <c r="G32" s="13"/>
      <c r="H32" s="13"/>
      <c r="I32" s="13"/>
      <c r="J32" s="13"/>
      <c r="K32" s="13"/>
      <c r="L32" s="13"/>
      <c r="M32" s="13"/>
      <c r="N32" s="13"/>
      <c r="O32" s="13"/>
      <c r="P32" s="13"/>
      <c r="Q32" s="13"/>
      <c r="R32" s="13"/>
    </row>
    <row r="33" spans="1:18" x14ac:dyDescent="0.25">
      <c r="A33" s="13"/>
      <c r="B33" s="13"/>
      <c r="C33" s="13"/>
      <c r="D33" s="13"/>
      <c r="E33" s="13"/>
      <c r="F33" s="13"/>
      <c r="G33" s="13"/>
      <c r="H33" s="13"/>
      <c r="I33" s="13"/>
      <c r="J33" s="13"/>
      <c r="K33" s="13"/>
      <c r="L33" s="13"/>
      <c r="M33" s="13"/>
      <c r="N33" s="13"/>
      <c r="O33" s="13"/>
      <c r="P33" s="13"/>
      <c r="Q33" s="13"/>
      <c r="R33" s="13"/>
    </row>
    <row r="34" spans="1:18" x14ac:dyDescent="0.25">
      <c r="A34" s="13"/>
      <c r="B34" s="13"/>
      <c r="C34" s="13"/>
      <c r="D34" s="13"/>
      <c r="E34" s="13"/>
      <c r="F34" s="13"/>
      <c r="G34" s="13"/>
      <c r="H34" s="13"/>
      <c r="I34" s="13"/>
      <c r="J34" s="13"/>
      <c r="K34" s="13"/>
      <c r="L34" s="13"/>
      <c r="M34" s="13"/>
      <c r="N34" s="13"/>
      <c r="O34" s="13"/>
      <c r="P34" s="13"/>
      <c r="Q34" s="13"/>
      <c r="R34" s="13"/>
    </row>
    <row r="35" spans="1:18" x14ac:dyDescent="0.25">
      <c r="A35" s="13"/>
      <c r="B35" s="13"/>
      <c r="C35" s="13"/>
      <c r="D35" s="13"/>
      <c r="E35" s="13"/>
      <c r="F35" s="13"/>
      <c r="G35" s="13"/>
      <c r="H35" s="13"/>
      <c r="I35" s="13"/>
      <c r="J35" s="13"/>
      <c r="K35" s="13"/>
      <c r="L35" s="13"/>
      <c r="M35" s="13"/>
      <c r="N35" s="13"/>
      <c r="O35" s="13"/>
      <c r="P35" s="13"/>
      <c r="Q35" s="13"/>
      <c r="R35" s="13"/>
    </row>
    <row r="36" spans="1:18" x14ac:dyDescent="0.25">
      <c r="A36" s="13"/>
      <c r="B36" s="13"/>
      <c r="C36" s="13"/>
      <c r="D36" s="13"/>
      <c r="E36" s="13"/>
      <c r="F36" s="13"/>
      <c r="G36" s="13"/>
      <c r="H36" s="13"/>
      <c r="I36" s="13"/>
      <c r="J36" s="13"/>
      <c r="K36" s="13"/>
      <c r="L36" s="13"/>
      <c r="M36" s="13"/>
      <c r="N36" s="13"/>
      <c r="O36" s="13"/>
      <c r="P36" s="13"/>
      <c r="Q36" s="13"/>
      <c r="R36" s="13"/>
    </row>
    <row r="37" spans="1:18" x14ac:dyDescent="0.25">
      <c r="A37" s="13"/>
      <c r="B37" s="13"/>
      <c r="C37" s="13"/>
      <c r="D37" s="13"/>
      <c r="E37" s="13"/>
      <c r="F37" s="13"/>
      <c r="G37" s="13"/>
      <c r="H37" s="13"/>
      <c r="I37" s="13"/>
      <c r="J37" s="13"/>
      <c r="K37" s="13"/>
      <c r="L37" s="13"/>
      <c r="M37" s="13"/>
      <c r="N37" s="13"/>
      <c r="O37" s="13"/>
      <c r="P37" s="13"/>
      <c r="Q37" s="13"/>
      <c r="R37" s="13"/>
    </row>
    <row r="38" spans="1:18" x14ac:dyDescent="0.25">
      <c r="A38" s="13"/>
      <c r="B38" s="13"/>
      <c r="C38" s="13"/>
      <c r="D38" s="13"/>
      <c r="E38" s="13"/>
      <c r="F38" s="13"/>
      <c r="G38" s="13"/>
      <c r="H38" s="13"/>
      <c r="I38" s="13"/>
      <c r="J38" s="13"/>
      <c r="K38" s="13"/>
      <c r="L38" s="13"/>
      <c r="M38" s="13"/>
      <c r="N38" s="13"/>
      <c r="O38" s="13"/>
      <c r="P38" s="13"/>
      <c r="Q38" s="13"/>
      <c r="R38" s="13"/>
    </row>
    <row r="39" spans="1:18" x14ac:dyDescent="0.25">
      <c r="A39" s="13"/>
      <c r="B39" s="13"/>
      <c r="C39" s="13"/>
      <c r="D39" s="13"/>
      <c r="E39" s="13"/>
      <c r="F39" s="13"/>
      <c r="G39" s="13"/>
      <c r="H39" s="13"/>
      <c r="I39" s="13"/>
      <c r="J39" s="13"/>
      <c r="K39" s="13"/>
      <c r="L39" s="13"/>
      <c r="M39" s="13"/>
      <c r="N39" s="13"/>
      <c r="O39" s="13"/>
      <c r="P39" s="13"/>
      <c r="Q39" s="13"/>
      <c r="R39" s="13"/>
    </row>
    <row r="40" spans="1:18" x14ac:dyDescent="0.25">
      <c r="A40" s="13"/>
      <c r="B40" s="13"/>
      <c r="C40" s="13"/>
      <c r="D40" s="13"/>
      <c r="E40" s="13"/>
      <c r="F40" s="13"/>
      <c r="G40" s="13"/>
      <c r="H40" s="13"/>
      <c r="I40" s="13"/>
      <c r="J40" s="13"/>
      <c r="K40" s="13"/>
      <c r="L40" s="13"/>
      <c r="M40" s="13"/>
      <c r="N40" s="13"/>
      <c r="O40" s="13"/>
      <c r="P40" s="13"/>
      <c r="Q40" s="13"/>
      <c r="R40" s="13"/>
    </row>
    <row r="41" spans="1:18" x14ac:dyDescent="0.25">
      <c r="A41" s="13"/>
      <c r="B41" s="13"/>
      <c r="C41" s="13"/>
      <c r="D41" s="13"/>
      <c r="E41" s="13"/>
      <c r="F41" s="13"/>
      <c r="G41" s="13"/>
      <c r="H41" s="13"/>
      <c r="I41" s="13"/>
      <c r="J41" s="13"/>
      <c r="K41" s="13"/>
      <c r="L41" s="13"/>
      <c r="M41" s="13"/>
      <c r="N41" s="13"/>
      <c r="O41" s="13"/>
      <c r="P41" s="13"/>
      <c r="Q41" s="13"/>
      <c r="R41" s="13"/>
    </row>
    <row r="42" spans="1:18" x14ac:dyDescent="0.25">
      <c r="A42" s="13"/>
      <c r="B42" s="13"/>
      <c r="C42" s="13"/>
      <c r="D42" s="13"/>
      <c r="E42" s="13"/>
      <c r="F42" s="13"/>
      <c r="G42" s="13"/>
      <c r="H42" s="13"/>
      <c r="I42" s="13"/>
      <c r="J42" s="13"/>
      <c r="K42" s="13"/>
      <c r="L42" s="13"/>
      <c r="M42" s="13"/>
      <c r="N42" s="13"/>
      <c r="O42" s="13"/>
      <c r="P42" s="13"/>
      <c r="Q42" s="13"/>
      <c r="R42" s="13"/>
    </row>
    <row r="43" spans="1:18" x14ac:dyDescent="0.25">
      <c r="A43" s="13"/>
      <c r="B43" s="13"/>
      <c r="C43" s="13"/>
      <c r="D43" s="13"/>
      <c r="E43" s="13"/>
      <c r="F43" s="13"/>
      <c r="G43" s="13"/>
      <c r="H43" s="13"/>
      <c r="I43" s="13"/>
      <c r="J43" s="13"/>
      <c r="K43" s="13"/>
      <c r="L43" s="13"/>
      <c r="M43" s="13"/>
      <c r="N43" s="13"/>
      <c r="O43" s="13"/>
      <c r="P43" s="13"/>
      <c r="Q43" s="13"/>
      <c r="R43" s="13"/>
    </row>
    <row r="44" spans="1:18" x14ac:dyDescent="0.25">
      <c r="A44" s="13"/>
      <c r="B44" s="13"/>
      <c r="C44" s="13"/>
      <c r="D44" s="13"/>
      <c r="E44" s="13"/>
      <c r="F44" s="13"/>
      <c r="G44" s="13"/>
      <c r="H44" s="13"/>
      <c r="I44" s="13"/>
      <c r="J44" s="13"/>
      <c r="K44" s="13"/>
      <c r="L44" s="13"/>
      <c r="M44" s="13"/>
      <c r="N44" s="13"/>
      <c r="O44" s="13"/>
      <c r="P44" s="13"/>
      <c r="Q44" s="13"/>
      <c r="R44" s="13"/>
    </row>
    <row r="45" spans="1:18" x14ac:dyDescent="0.25">
      <c r="A45" s="13"/>
      <c r="B45" s="13"/>
      <c r="C45" s="13"/>
      <c r="D45" s="13"/>
      <c r="E45" s="13"/>
      <c r="F45" s="13"/>
      <c r="G45" s="13"/>
      <c r="H45" s="13"/>
      <c r="I45" s="13"/>
      <c r="J45" s="13"/>
      <c r="K45" s="13"/>
      <c r="L45" s="13"/>
      <c r="M45" s="13"/>
      <c r="N45" s="13"/>
      <c r="O45" s="13"/>
      <c r="P45" s="13"/>
      <c r="Q45" s="13"/>
      <c r="R45" s="13"/>
    </row>
    <row r="46" spans="1:18" x14ac:dyDescent="0.25">
      <c r="A46" s="13"/>
      <c r="B46" s="13"/>
      <c r="C46" s="13"/>
      <c r="D46" s="13"/>
      <c r="E46" s="13"/>
      <c r="F46" s="13"/>
      <c r="G46" s="13"/>
      <c r="H46" s="13"/>
      <c r="I46" s="13"/>
      <c r="J46" s="13"/>
      <c r="K46" s="13"/>
      <c r="L46" s="13"/>
      <c r="M46" s="13"/>
      <c r="N46" s="13"/>
      <c r="O46" s="13"/>
      <c r="P46" s="13"/>
      <c r="Q46" s="13"/>
      <c r="R46" s="13"/>
    </row>
    <row r="47" spans="1:18" x14ac:dyDescent="0.25">
      <c r="A47" s="13"/>
      <c r="B47" s="13"/>
      <c r="C47" s="13"/>
      <c r="D47" s="13"/>
      <c r="E47" s="13"/>
      <c r="F47" s="13"/>
      <c r="G47" s="13"/>
      <c r="H47" s="13"/>
      <c r="I47" s="13"/>
      <c r="J47" s="13"/>
      <c r="K47" s="13"/>
      <c r="L47" s="13"/>
      <c r="M47" s="13"/>
      <c r="N47" s="13"/>
      <c r="O47" s="13"/>
      <c r="P47" s="13"/>
      <c r="Q47" s="13"/>
      <c r="R47" s="13"/>
    </row>
    <row r="48" spans="1:18" x14ac:dyDescent="0.25">
      <c r="A48" s="13"/>
      <c r="B48" s="13"/>
      <c r="C48" s="13"/>
      <c r="D48" s="13"/>
      <c r="E48" s="13"/>
      <c r="F48" s="13"/>
      <c r="G48" s="13"/>
      <c r="H48" s="13"/>
      <c r="I48" s="13"/>
      <c r="J48" s="13"/>
      <c r="K48" s="13"/>
      <c r="L48" s="13"/>
      <c r="M48" s="13"/>
      <c r="N48" s="13"/>
      <c r="O48" s="13"/>
      <c r="P48" s="13"/>
      <c r="Q48" s="13"/>
      <c r="R48" s="13"/>
    </row>
    <row r="49" spans="1:18" x14ac:dyDescent="0.25">
      <c r="A49" s="13"/>
      <c r="B49" s="13"/>
      <c r="C49" s="13"/>
      <c r="D49" s="13"/>
      <c r="E49" s="13"/>
      <c r="F49" s="13"/>
      <c r="G49" s="13"/>
      <c r="H49" s="13"/>
      <c r="I49" s="13"/>
      <c r="J49" s="13"/>
      <c r="K49" s="13"/>
      <c r="L49" s="13"/>
      <c r="M49" s="13"/>
      <c r="N49" s="13"/>
      <c r="O49" s="13"/>
      <c r="P49" s="13"/>
      <c r="Q49" s="13"/>
      <c r="R49" s="13"/>
    </row>
    <row r="50" spans="1:18" x14ac:dyDescent="0.25">
      <c r="A50" s="13"/>
      <c r="B50" s="13"/>
      <c r="C50" s="13"/>
      <c r="D50" s="13"/>
      <c r="E50" s="13"/>
      <c r="F50" s="13"/>
      <c r="G50" s="13"/>
      <c r="H50" s="13"/>
      <c r="I50" s="13"/>
      <c r="J50" s="13"/>
      <c r="K50" s="13"/>
      <c r="L50" s="13"/>
      <c r="M50" s="13"/>
      <c r="N50" s="13"/>
      <c r="O50" s="13"/>
      <c r="P50" s="13"/>
      <c r="Q50" s="13"/>
      <c r="R50" s="13"/>
    </row>
    <row r="51" spans="1:18" x14ac:dyDescent="0.25">
      <c r="A51" s="13"/>
      <c r="B51" s="13"/>
      <c r="C51" s="13"/>
      <c r="D51" s="13"/>
      <c r="E51" s="13"/>
      <c r="F51" s="13"/>
      <c r="G51" s="13"/>
      <c r="H51" s="13"/>
      <c r="I51" s="13"/>
      <c r="J51" s="13"/>
      <c r="K51" s="13"/>
      <c r="L51" s="13"/>
      <c r="M51" s="13"/>
      <c r="N51" s="13"/>
      <c r="O51" s="13"/>
      <c r="P51" s="13"/>
      <c r="Q51" s="13"/>
      <c r="R51" s="13"/>
    </row>
    <row r="52" spans="1:18" x14ac:dyDescent="0.25">
      <c r="A52" s="13"/>
      <c r="B52" s="13"/>
      <c r="C52" s="13"/>
      <c r="D52" s="13"/>
      <c r="E52" s="13"/>
      <c r="F52" s="13"/>
      <c r="G52" s="13"/>
      <c r="H52" s="13"/>
      <c r="I52" s="13"/>
      <c r="J52" s="13"/>
      <c r="K52" s="13"/>
      <c r="L52" s="13"/>
      <c r="M52" s="13"/>
      <c r="N52" s="13"/>
      <c r="O52" s="13"/>
      <c r="P52" s="13"/>
      <c r="Q52" s="13"/>
      <c r="R52" s="13"/>
    </row>
    <row r="53" spans="1:18" x14ac:dyDescent="0.25">
      <c r="A53" s="13"/>
      <c r="B53" s="13"/>
      <c r="C53" s="13"/>
      <c r="D53" s="13"/>
      <c r="E53" s="13"/>
      <c r="F53" s="13"/>
      <c r="G53" s="13"/>
      <c r="H53" s="13"/>
      <c r="I53" s="13"/>
      <c r="J53" s="13"/>
      <c r="K53" s="13"/>
      <c r="L53" s="13"/>
      <c r="M53" s="13"/>
      <c r="N53" s="13"/>
      <c r="O53" s="13"/>
      <c r="P53" s="13"/>
      <c r="Q53" s="13"/>
      <c r="R53" s="13"/>
    </row>
    <row r="54" spans="1:18" x14ac:dyDescent="0.25">
      <c r="A54" s="13"/>
      <c r="B54" s="13"/>
      <c r="C54" s="13"/>
      <c r="D54" s="13"/>
      <c r="E54" s="13"/>
      <c r="F54" s="13"/>
      <c r="G54" s="13"/>
      <c r="H54" s="13"/>
      <c r="I54" s="13"/>
      <c r="J54" s="13"/>
      <c r="K54" s="13"/>
      <c r="L54" s="13"/>
      <c r="M54" s="13"/>
      <c r="N54" s="13"/>
      <c r="O54" s="13"/>
      <c r="P54" s="13"/>
      <c r="Q54" s="13"/>
      <c r="R54" s="13"/>
    </row>
    <row r="55" spans="1:18" x14ac:dyDescent="0.25">
      <c r="A55" s="27" t="s">
        <v>63</v>
      </c>
      <c r="B55" s="13"/>
      <c r="C55" s="13"/>
      <c r="D55" s="13"/>
      <c r="E55" s="13"/>
      <c r="F55" s="13"/>
      <c r="G55" s="13"/>
      <c r="H55" s="13"/>
      <c r="I55" s="13"/>
      <c r="J55" s="13"/>
      <c r="K55" s="13"/>
      <c r="L55" s="13"/>
      <c r="M55" s="13"/>
      <c r="N55" s="13"/>
      <c r="O55" s="13"/>
      <c r="P55" s="13"/>
      <c r="Q55" s="13"/>
      <c r="R55" s="13"/>
    </row>
    <row r="56" spans="1:18" x14ac:dyDescent="0.25">
      <c r="A56" s="3">
        <v>50</v>
      </c>
      <c r="B56" s="27" t="s">
        <v>65</v>
      </c>
      <c r="C56" s="74"/>
      <c r="D56" s="13"/>
      <c r="E56" s="13"/>
      <c r="F56" s="13"/>
      <c r="G56" s="13"/>
      <c r="H56" s="13"/>
      <c r="I56" s="13"/>
      <c r="J56" s="13"/>
      <c r="K56" s="13"/>
      <c r="L56" s="13"/>
      <c r="M56" s="13"/>
      <c r="N56" s="13"/>
      <c r="O56" s="13"/>
      <c r="P56" s="13"/>
      <c r="Q56" s="13"/>
      <c r="R56" s="13"/>
    </row>
    <row r="57" spans="1:18" x14ac:dyDescent="0.25">
      <c r="A57" s="13"/>
      <c r="B57" s="75"/>
      <c r="C57" s="74"/>
      <c r="D57" s="13"/>
      <c r="E57" s="13"/>
      <c r="F57" s="13"/>
      <c r="G57" s="13"/>
      <c r="H57" s="13"/>
      <c r="I57" s="13"/>
      <c r="J57" s="13"/>
      <c r="K57" s="13"/>
      <c r="L57" s="13"/>
      <c r="M57" s="13"/>
      <c r="N57" s="13"/>
      <c r="O57" s="13"/>
      <c r="P57" s="13"/>
      <c r="Q57" s="13"/>
      <c r="R57" s="13"/>
    </row>
    <row r="58" spans="1:18" ht="20" thickBot="1" x14ac:dyDescent="0.3">
      <c r="A58" s="73" t="s">
        <v>64</v>
      </c>
      <c r="B58" s="66"/>
      <c r="C58" s="12"/>
      <c r="D58" s="13"/>
      <c r="E58" s="13"/>
      <c r="F58" s="13"/>
      <c r="G58" s="13"/>
      <c r="H58" s="13"/>
      <c r="I58" s="13"/>
      <c r="J58" s="13"/>
      <c r="K58" s="13"/>
      <c r="L58" s="13"/>
      <c r="M58" s="13"/>
      <c r="N58" s="13"/>
      <c r="O58" s="13"/>
      <c r="P58" s="13"/>
      <c r="Q58" s="13"/>
      <c r="R58" s="13"/>
    </row>
    <row r="59" spans="1:18" ht="41" thickBot="1" x14ac:dyDescent="0.3">
      <c r="A59" s="13" t="s">
        <v>17</v>
      </c>
      <c r="B59" s="125" t="s">
        <v>3</v>
      </c>
      <c r="C59" s="126"/>
      <c r="D59" s="126"/>
      <c r="E59" s="126"/>
      <c r="F59" s="126"/>
      <c r="G59" s="126"/>
      <c r="H59" s="127"/>
      <c r="I59" s="125" t="s">
        <v>2</v>
      </c>
      <c r="J59" s="126"/>
      <c r="K59" s="126"/>
      <c r="L59" s="126"/>
      <c r="M59" s="126"/>
      <c r="N59" s="126"/>
      <c r="O59" s="127"/>
      <c r="P59" s="29" t="s">
        <v>30</v>
      </c>
      <c r="Q59" s="29" t="s">
        <v>31</v>
      </c>
      <c r="R59" s="29" t="s">
        <v>32</v>
      </c>
    </row>
    <row r="60" spans="1:18" x14ac:dyDescent="0.25">
      <c r="A60" s="72">
        <v>1</v>
      </c>
      <c r="B60" s="28">
        <f>B6+$A$56</f>
        <v>50</v>
      </c>
      <c r="C60" s="28">
        <f t="shared" ref="C60:O60" si="1">C6+$A$56</f>
        <v>67.435897435897431</v>
      </c>
      <c r="D60" s="28">
        <f t="shared" si="1"/>
        <v>85.789473684210535</v>
      </c>
      <c r="E60" s="28">
        <f t="shared" si="1"/>
        <v>105.13513513513514</v>
      </c>
      <c r="F60" s="28">
        <f t="shared" si="1"/>
        <v>125.55555555555556</v>
      </c>
      <c r="G60" s="28">
        <f t="shared" si="1"/>
        <v>147.14285714285714</v>
      </c>
      <c r="H60" s="28">
        <f t="shared" si="1"/>
        <v>170</v>
      </c>
      <c r="I60" s="28">
        <f t="shared" si="1"/>
        <v>50</v>
      </c>
      <c r="J60" s="28">
        <f t="shared" si="1"/>
        <v>94.102564102564116</v>
      </c>
      <c r="K60" s="28">
        <f t="shared" si="1"/>
        <v>140.5263157894737</v>
      </c>
      <c r="L60" s="28">
        <f t="shared" si="1"/>
        <v>189.45945945945948</v>
      </c>
      <c r="M60" s="28">
        <f t="shared" si="1"/>
        <v>241.11111111111111</v>
      </c>
      <c r="N60" s="28">
        <f t="shared" si="1"/>
        <v>295.71428571428572</v>
      </c>
      <c r="O60" s="28">
        <f t="shared" si="1"/>
        <v>353.52941176470591</v>
      </c>
      <c r="P60" s="28">
        <f t="shared" ref="P60:P80" si="2">$A$56</f>
        <v>50</v>
      </c>
      <c r="Q60" s="28">
        <f>$A$56+'GWP of methane by scenario'!B$13</f>
        <v>126.36380718411579</v>
      </c>
      <c r="R60" s="28">
        <f>$A$56+'GWP of methane by scenario'!B$14</f>
        <v>156.80584242395727</v>
      </c>
    </row>
    <row r="61" spans="1:18" x14ac:dyDescent="0.25">
      <c r="A61" s="72">
        <f t="shared" ref="A61:A80" si="3">A60-0.05</f>
        <v>0.95</v>
      </c>
      <c r="B61" s="28">
        <f t="shared" ref="B61:O76" si="4">B7+$A$56</f>
        <v>49.66</v>
      </c>
      <c r="C61" s="28">
        <f t="shared" si="4"/>
        <v>67.087179487179498</v>
      </c>
      <c r="D61" s="28">
        <f t="shared" si="4"/>
        <v>85.431578947368422</v>
      </c>
      <c r="E61" s="28">
        <f t="shared" si="4"/>
        <v>104.76756756756757</v>
      </c>
      <c r="F61" s="28">
        <f t="shared" si="4"/>
        <v>125.17777777777778</v>
      </c>
      <c r="G61" s="28">
        <f t="shared" si="4"/>
        <v>146.75428571428571</v>
      </c>
      <c r="H61" s="28">
        <f t="shared" si="4"/>
        <v>169.60000000000002</v>
      </c>
      <c r="I61" s="28">
        <f t="shared" si="4"/>
        <v>49.14</v>
      </c>
      <c r="J61" s="28">
        <f t="shared" si="4"/>
        <v>93.220512820512823</v>
      </c>
      <c r="K61" s="28">
        <f t="shared" si="4"/>
        <v>139.62105263157895</v>
      </c>
      <c r="L61" s="28">
        <f t="shared" si="4"/>
        <v>188.52972972972975</v>
      </c>
      <c r="M61" s="28">
        <f t="shared" si="4"/>
        <v>240.15555555555557</v>
      </c>
      <c r="N61" s="28">
        <f t="shared" si="4"/>
        <v>294.73142857142858</v>
      </c>
      <c r="O61" s="28">
        <f t="shared" si="4"/>
        <v>352.51764705882357</v>
      </c>
      <c r="P61" s="28">
        <f t="shared" si="2"/>
        <v>50</v>
      </c>
      <c r="Q61" s="28">
        <f>$A$56+'GWP of methane by scenario'!B$13</f>
        <v>126.36380718411579</v>
      </c>
      <c r="R61" s="28">
        <f>$A$56+'GWP of methane by scenario'!B$14</f>
        <v>156.80584242395727</v>
      </c>
    </row>
    <row r="62" spans="1:18" x14ac:dyDescent="0.25">
      <c r="A62" s="72">
        <f t="shared" si="3"/>
        <v>0.89999999999999991</v>
      </c>
      <c r="B62" s="28">
        <f t="shared" si="4"/>
        <v>49.32</v>
      </c>
      <c r="C62" s="28">
        <f t="shared" si="4"/>
        <v>66.738461538461536</v>
      </c>
      <c r="D62" s="28">
        <f t="shared" si="4"/>
        <v>85.073684210526324</v>
      </c>
      <c r="E62" s="28">
        <f t="shared" si="4"/>
        <v>104.4</v>
      </c>
      <c r="F62" s="28">
        <f t="shared" si="4"/>
        <v>124.80000000000001</v>
      </c>
      <c r="G62" s="28">
        <f t="shared" si="4"/>
        <v>146.36571428571426</v>
      </c>
      <c r="H62" s="28">
        <f t="shared" si="4"/>
        <v>169.2</v>
      </c>
      <c r="I62" s="28">
        <f t="shared" si="4"/>
        <v>48.279999999999994</v>
      </c>
      <c r="J62" s="28">
        <f t="shared" si="4"/>
        <v>92.338461538461544</v>
      </c>
      <c r="K62" s="28">
        <f t="shared" si="4"/>
        <v>138.7157894736842</v>
      </c>
      <c r="L62" s="28">
        <f t="shared" si="4"/>
        <v>187.60000000000002</v>
      </c>
      <c r="M62" s="28">
        <f t="shared" si="4"/>
        <v>239.20000000000002</v>
      </c>
      <c r="N62" s="28">
        <f t="shared" si="4"/>
        <v>293.74857142857144</v>
      </c>
      <c r="O62" s="28">
        <f t="shared" si="4"/>
        <v>351.50588235294123</v>
      </c>
      <c r="P62" s="28">
        <f t="shared" si="2"/>
        <v>50</v>
      </c>
      <c r="Q62" s="28">
        <f>$A$56+'GWP of methane by scenario'!B$13</f>
        <v>126.36380718411579</v>
      </c>
      <c r="R62" s="28">
        <f>$A$56+'GWP of methane by scenario'!B$14</f>
        <v>156.80584242395727</v>
      </c>
    </row>
    <row r="63" spans="1:18" x14ac:dyDescent="0.25">
      <c r="A63" s="72">
        <f t="shared" si="3"/>
        <v>0.84999999999999987</v>
      </c>
      <c r="B63" s="28">
        <f t="shared" si="4"/>
        <v>48.98</v>
      </c>
      <c r="C63" s="28">
        <f t="shared" si="4"/>
        <v>66.389743589743588</v>
      </c>
      <c r="D63" s="28">
        <f t="shared" si="4"/>
        <v>84.715789473684225</v>
      </c>
      <c r="E63" s="28">
        <f t="shared" si="4"/>
        <v>104.03243243243244</v>
      </c>
      <c r="F63" s="28">
        <f t="shared" si="4"/>
        <v>124.42222222222222</v>
      </c>
      <c r="G63" s="28">
        <f t="shared" si="4"/>
        <v>145.97714285714284</v>
      </c>
      <c r="H63" s="28">
        <f t="shared" si="4"/>
        <v>168.8</v>
      </c>
      <c r="I63" s="28">
        <f t="shared" si="4"/>
        <v>47.419999999999995</v>
      </c>
      <c r="J63" s="28">
        <f t="shared" si="4"/>
        <v>91.456410256410265</v>
      </c>
      <c r="K63" s="28">
        <f t="shared" si="4"/>
        <v>137.81052631578947</v>
      </c>
      <c r="L63" s="28">
        <f t="shared" si="4"/>
        <v>186.67027027027029</v>
      </c>
      <c r="M63" s="28">
        <f t="shared" si="4"/>
        <v>238.24444444444444</v>
      </c>
      <c r="N63" s="28">
        <f t="shared" si="4"/>
        <v>292.7657142857143</v>
      </c>
      <c r="O63" s="28">
        <f t="shared" si="4"/>
        <v>350.49411764705889</v>
      </c>
      <c r="P63" s="28">
        <f t="shared" si="2"/>
        <v>50</v>
      </c>
      <c r="Q63" s="28">
        <f>$A$56+'GWP of methane by scenario'!B$13</f>
        <v>126.36380718411579</v>
      </c>
      <c r="R63" s="28">
        <f>$A$56+'GWP of methane by scenario'!B$14</f>
        <v>156.80584242395727</v>
      </c>
    </row>
    <row r="64" spans="1:18" x14ac:dyDescent="0.25">
      <c r="A64" s="72">
        <f t="shared" si="3"/>
        <v>0.79999999999999982</v>
      </c>
      <c r="B64" s="28">
        <f t="shared" si="4"/>
        <v>48.64</v>
      </c>
      <c r="C64" s="28">
        <f t="shared" si="4"/>
        <v>66.041025641025641</v>
      </c>
      <c r="D64" s="28">
        <f t="shared" si="4"/>
        <v>84.357894736842113</v>
      </c>
      <c r="E64" s="28">
        <f t="shared" si="4"/>
        <v>103.66486486486487</v>
      </c>
      <c r="F64" s="28">
        <f t="shared" si="4"/>
        <v>124.04444444444445</v>
      </c>
      <c r="G64" s="28">
        <f t="shared" si="4"/>
        <v>145.58857142857141</v>
      </c>
      <c r="H64" s="28">
        <f t="shared" si="4"/>
        <v>168.39999999999998</v>
      </c>
      <c r="I64" s="28">
        <f t="shared" si="4"/>
        <v>46.559999999999995</v>
      </c>
      <c r="J64" s="28">
        <f t="shared" si="4"/>
        <v>90.574358974358972</v>
      </c>
      <c r="K64" s="28">
        <f t="shared" si="4"/>
        <v>136.90526315789475</v>
      </c>
      <c r="L64" s="28">
        <f t="shared" si="4"/>
        <v>185.74054054054056</v>
      </c>
      <c r="M64" s="28">
        <f t="shared" si="4"/>
        <v>237.28888888888889</v>
      </c>
      <c r="N64" s="28">
        <f t="shared" si="4"/>
        <v>291.78285714285715</v>
      </c>
      <c r="O64" s="28">
        <f t="shared" si="4"/>
        <v>349.48235294117649</v>
      </c>
      <c r="P64" s="28">
        <f t="shared" si="2"/>
        <v>50</v>
      </c>
      <c r="Q64" s="28">
        <f>$A$56+'GWP of methane by scenario'!B$13</f>
        <v>126.36380718411579</v>
      </c>
      <c r="R64" s="28">
        <f>$A$56+'GWP of methane by scenario'!B$14</f>
        <v>156.80584242395727</v>
      </c>
    </row>
    <row r="65" spans="1:18" x14ac:dyDescent="0.25">
      <c r="A65" s="72">
        <f t="shared" si="3"/>
        <v>0.74999999999999978</v>
      </c>
      <c r="B65" s="28">
        <f t="shared" si="4"/>
        <v>48.3</v>
      </c>
      <c r="C65" s="28">
        <f t="shared" si="4"/>
        <v>65.692307692307693</v>
      </c>
      <c r="D65" s="28">
        <f t="shared" si="4"/>
        <v>84</v>
      </c>
      <c r="E65" s="28">
        <f t="shared" si="4"/>
        <v>103.29729729729731</v>
      </c>
      <c r="F65" s="28">
        <f t="shared" si="4"/>
        <v>123.66666666666666</v>
      </c>
      <c r="G65" s="28">
        <f t="shared" si="4"/>
        <v>145.19999999999999</v>
      </c>
      <c r="H65" s="28">
        <f t="shared" si="4"/>
        <v>168</v>
      </c>
      <c r="I65" s="28">
        <f t="shared" si="4"/>
        <v>45.699999999999989</v>
      </c>
      <c r="J65" s="28">
        <f t="shared" si="4"/>
        <v>89.692307692307693</v>
      </c>
      <c r="K65" s="28">
        <f t="shared" si="4"/>
        <v>136</v>
      </c>
      <c r="L65" s="28">
        <f t="shared" si="4"/>
        <v>184.81081081081084</v>
      </c>
      <c r="M65" s="28">
        <f t="shared" si="4"/>
        <v>236.33333333333331</v>
      </c>
      <c r="N65" s="28">
        <f t="shared" si="4"/>
        <v>290.8</v>
      </c>
      <c r="O65" s="28">
        <f t="shared" si="4"/>
        <v>348.47058823529414</v>
      </c>
      <c r="P65" s="28">
        <f t="shared" si="2"/>
        <v>50</v>
      </c>
      <c r="Q65" s="28">
        <f>$A$56+'GWP of methane by scenario'!B$13</f>
        <v>126.36380718411579</v>
      </c>
      <c r="R65" s="28">
        <f>$A$56+'GWP of methane by scenario'!B$14</f>
        <v>156.80584242395727</v>
      </c>
    </row>
    <row r="66" spans="1:18" x14ac:dyDescent="0.25">
      <c r="A66" s="72">
        <f t="shared" si="3"/>
        <v>0.69999999999999973</v>
      </c>
      <c r="B66" s="28">
        <f t="shared" si="4"/>
        <v>47.959999999999994</v>
      </c>
      <c r="C66" s="28">
        <f t="shared" si="4"/>
        <v>65.343589743589746</v>
      </c>
      <c r="D66" s="28">
        <f t="shared" si="4"/>
        <v>83.642105263157902</v>
      </c>
      <c r="E66" s="28">
        <f t="shared" si="4"/>
        <v>102.92972972972973</v>
      </c>
      <c r="F66" s="28">
        <f t="shared" si="4"/>
        <v>123.28888888888889</v>
      </c>
      <c r="G66" s="28">
        <f t="shared" si="4"/>
        <v>144.81142857142856</v>
      </c>
      <c r="H66" s="28">
        <f t="shared" si="4"/>
        <v>167.6</v>
      </c>
      <c r="I66" s="28">
        <f t="shared" si="4"/>
        <v>44.839999999999989</v>
      </c>
      <c r="J66" s="28">
        <f t="shared" si="4"/>
        <v>88.810256410256414</v>
      </c>
      <c r="K66" s="28">
        <f t="shared" si="4"/>
        <v>135.09473684210528</v>
      </c>
      <c r="L66" s="28">
        <f t="shared" si="4"/>
        <v>183.88108108108111</v>
      </c>
      <c r="M66" s="28">
        <f t="shared" si="4"/>
        <v>235.37777777777779</v>
      </c>
      <c r="N66" s="28">
        <f t="shared" si="4"/>
        <v>289.81714285714287</v>
      </c>
      <c r="O66" s="28">
        <f t="shared" si="4"/>
        <v>347.4588235294118</v>
      </c>
      <c r="P66" s="28">
        <f t="shared" si="2"/>
        <v>50</v>
      </c>
      <c r="Q66" s="28">
        <f>$A$56+'GWP of methane by scenario'!B$13</f>
        <v>126.36380718411579</v>
      </c>
      <c r="R66" s="28">
        <f>$A$56+'GWP of methane by scenario'!B$14</f>
        <v>156.80584242395727</v>
      </c>
    </row>
    <row r="67" spans="1:18" x14ac:dyDescent="0.25">
      <c r="A67" s="72">
        <f t="shared" si="3"/>
        <v>0.64999999999999969</v>
      </c>
      <c r="B67" s="28">
        <f t="shared" si="4"/>
        <v>47.62</v>
      </c>
      <c r="C67" s="28">
        <f t="shared" si="4"/>
        <v>64.994871794871784</v>
      </c>
      <c r="D67" s="28">
        <f t="shared" si="4"/>
        <v>83.284210526315789</v>
      </c>
      <c r="E67" s="28">
        <f t="shared" si="4"/>
        <v>102.56216216216217</v>
      </c>
      <c r="F67" s="28">
        <f t="shared" si="4"/>
        <v>122.91111111111111</v>
      </c>
      <c r="G67" s="28">
        <f t="shared" si="4"/>
        <v>144.42285714285714</v>
      </c>
      <c r="H67" s="28">
        <f t="shared" si="4"/>
        <v>167.2</v>
      </c>
      <c r="I67" s="28">
        <f t="shared" si="4"/>
        <v>43.97999999999999</v>
      </c>
      <c r="J67" s="28">
        <f t="shared" si="4"/>
        <v>87.928205128205121</v>
      </c>
      <c r="K67" s="28">
        <f t="shared" si="4"/>
        <v>134.18947368421053</v>
      </c>
      <c r="L67" s="28">
        <f t="shared" si="4"/>
        <v>182.95135135135135</v>
      </c>
      <c r="M67" s="28">
        <f t="shared" si="4"/>
        <v>234.42222222222222</v>
      </c>
      <c r="N67" s="28">
        <f t="shared" si="4"/>
        <v>288.83428571428567</v>
      </c>
      <c r="O67" s="28">
        <f t="shared" si="4"/>
        <v>346.44705882352946</v>
      </c>
      <c r="P67" s="28">
        <f t="shared" si="2"/>
        <v>50</v>
      </c>
      <c r="Q67" s="28">
        <f>$A$56+'GWP of methane by scenario'!B$13</f>
        <v>126.36380718411579</v>
      </c>
      <c r="R67" s="28">
        <f>$A$56+'GWP of methane by scenario'!B$14</f>
        <v>156.80584242395727</v>
      </c>
    </row>
    <row r="68" spans="1:18" x14ac:dyDescent="0.25">
      <c r="A68" s="72">
        <f t="shared" si="3"/>
        <v>0.59999999999999964</v>
      </c>
      <c r="B68" s="28">
        <f t="shared" si="4"/>
        <v>47.279999999999994</v>
      </c>
      <c r="C68" s="28">
        <f t="shared" si="4"/>
        <v>64.646153846153851</v>
      </c>
      <c r="D68" s="28">
        <f t="shared" si="4"/>
        <v>82.926315789473691</v>
      </c>
      <c r="E68" s="28">
        <f t="shared" si="4"/>
        <v>102.19459459459461</v>
      </c>
      <c r="F68" s="28">
        <f t="shared" si="4"/>
        <v>122.53333333333333</v>
      </c>
      <c r="G68" s="28">
        <f t="shared" si="4"/>
        <v>144.03428571428572</v>
      </c>
      <c r="H68" s="28">
        <f t="shared" si="4"/>
        <v>166.79999999999998</v>
      </c>
      <c r="I68" s="28">
        <f t="shared" si="4"/>
        <v>43.11999999999999</v>
      </c>
      <c r="J68" s="28">
        <f t="shared" si="4"/>
        <v>87.046153846153842</v>
      </c>
      <c r="K68" s="28">
        <f t="shared" si="4"/>
        <v>133.2842105263158</v>
      </c>
      <c r="L68" s="28">
        <f t="shared" si="4"/>
        <v>182.02162162162162</v>
      </c>
      <c r="M68" s="28">
        <f t="shared" si="4"/>
        <v>233.46666666666667</v>
      </c>
      <c r="N68" s="28">
        <f t="shared" si="4"/>
        <v>287.85142857142858</v>
      </c>
      <c r="O68" s="28">
        <f t="shared" si="4"/>
        <v>345.43529411764712</v>
      </c>
      <c r="P68" s="28">
        <f t="shared" si="2"/>
        <v>50</v>
      </c>
      <c r="Q68" s="28">
        <f>$A$56+'GWP of methane by scenario'!B$13</f>
        <v>126.36380718411579</v>
      </c>
      <c r="R68" s="28">
        <f>$A$56+'GWP of methane by scenario'!B$14</f>
        <v>156.80584242395727</v>
      </c>
    </row>
    <row r="69" spans="1:18" x14ac:dyDescent="0.25">
      <c r="A69" s="72">
        <f t="shared" si="3"/>
        <v>0.5499999999999996</v>
      </c>
      <c r="B69" s="28">
        <f t="shared" si="4"/>
        <v>46.94</v>
      </c>
      <c r="C69" s="28">
        <f t="shared" si="4"/>
        <v>64.297435897435889</v>
      </c>
      <c r="D69" s="28">
        <f t="shared" si="4"/>
        <v>82.568421052631578</v>
      </c>
      <c r="E69" s="28">
        <f t="shared" si="4"/>
        <v>101.82702702702703</v>
      </c>
      <c r="F69" s="28">
        <f t="shared" si="4"/>
        <v>122.15555555555555</v>
      </c>
      <c r="G69" s="28">
        <f t="shared" si="4"/>
        <v>143.64571428571429</v>
      </c>
      <c r="H69" s="28">
        <f t="shared" si="4"/>
        <v>166.4</v>
      </c>
      <c r="I69" s="28">
        <f t="shared" si="4"/>
        <v>42.259999999999984</v>
      </c>
      <c r="J69" s="28">
        <f t="shared" si="4"/>
        <v>86.164102564102564</v>
      </c>
      <c r="K69" s="28">
        <f t="shared" si="4"/>
        <v>132.37894736842105</v>
      </c>
      <c r="L69" s="28">
        <f t="shared" si="4"/>
        <v>181.09189189189189</v>
      </c>
      <c r="M69" s="28">
        <f t="shared" si="4"/>
        <v>232.51111111111112</v>
      </c>
      <c r="N69" s="28">
        <f t="shared" si="4"/>
        <v>286.86857142857144</v>
      </c>
      <c r="O69" s="28">
        <f t="shared" si="4"/>
        <v>344.42352941176472</v>
      </c>
      <c r="P69" s="28">
        <f t="shared" si="2"/>
        <v>50</v>
      </c>
      <c r="Q69" s="28">
        <f>$A$56+'GWP of methane by scenario'!B$13</f>
        <v>126.36380718411579</v>
      </c>
      <c r="R69" s="28">
        <f>$A$56+'GWP of methane by scenario'!B$14</f>
        <v>156.80584242395727</v>
      </c>
    </row>
    <row r="70" spans="1:18" x14ac:dyDescent="0.25">
      <c r="A70" s="72">
        <f t="shared" si="3"/>
        <v>0.49999999999999961</v>
      </c>
      <c r="B70" s="28">
        <f t="shared" si="4"/>
        <v>46.599999999999994</v>
      </c>
      <c r="C70" s="28">
        <f t="shared" si="4"/>
        <v>63.948717948717942</v>
      </c>
      <c r="D70" s="28">
        <f t="shared" si="4"/>
        <v>82.21052631578948</v>
      </c>
      <c r="E70" s="28">
        <f t="shared" si="4"/>
        <v>101.45945945945947</v>
      </c>
      <c r="F70" s="28">
        <f t="shared" si="4"/>
        <v>121.77777777777777</v>
      </c>
      <c r="G70" s="28">
        <f t="shared" si="4"/>
        <v>143.25714285714287</v>
      </c>
      <c r="H70" s="28">
        <f t="shared" si="4"/>
        <v>166</v>
      </c>
      <c r="I70" s="28">
        <f t="shared" si="4"/>
        <v>41.399999999999984</v>
      </c>
      <c r="J70" s="28">
        <f t="shared" si="4"/>
        <v>85.28205128205127</v>
      </c>
      <c r="K70" s="28">
        <f t="shared" si="4"/>
        <v>131.47368421052633</v>
      </c>
      <c r="L70" s="28">
        <f t="shared" si="4"/>
        <v>180.16216216216216</v>
      </c>
      <c r="M70" s="28">
        <f t="shared" si="4"/>
        <v>231.55555555555554</v>
      </c>
      <c r="N70" s="28">
        <f t="shared" si="4"/>
        <v>285.8857142857143</v>
      </c>
      <c r="O70" s="28">
        <f t="shared" si="4"/>
        <v>343.41176470588238</v>
      </c>
      <c r="P70" s="28">
        <f t="shared" si="2"/>
        <v>50</v>
      </c>
      <c r="Q70" s="28">
        <f>$A$56+'GWP of methane by scenario'!B$13</f>
        <v>126.36380718411579</v>
      </c>
      <c r="R70" s="28">
        <f>$A$56+'GWP of methane by scenario'!B$14</f>
        <v>156.80584242395727</v>
      </c>
    </row>
    <row r="71" spans="1:18" x14ac:dyDescent="0.25">
      <c r="A71" s="72">
        <f t="shared" si="3"/>
        <v>0.44999999999999962</v>
      </c>
      <c r="B71" s="28">
        <f t="shared" si="4"/>
        <v>46.259999999999991</v>
      </c>
      <c r="C71" s="28">
        <f t="shared" si="4"/>
        <v>63.599999999999994</v>
      </c>
      <c r="D71" s="28">
        <f t="shared" si="4"/>
        <v>81.852631578947367</v>
      </c>
      <c r="E71" s="28">
        <f t="shared" si="4"/>
        <v>101.09189189189189</v>
      </c>
      <c r="F71" s="28">
        <f t="shared" si="4"/>
        <v>121.4</v>
      </c>
      <c r="G71" s="28">
        <f t="shared" si="4"/>
        <v>142.86857142857141</v>
      </c>
      <c r="H71" s="28">
        <f t="shared" si="4"/>
        <v>165.6</v>
      </c>
      <c r="I71" s="28">
        <f t="shared" si="4"/>
        <v>40.539999999999985</v>
      </c>
      <c r="J71" s="28">
        <f t="shared" si="4"/>
        <v>84.399999999999991</v>
      </c>
      <c r="K71" s="28">
        <f t="shared" si="4"/>
        <v>130.56842105263158</v>
      </c>
      <c r="L71" s="28">
        <f t="shared" si="4"/>
        <v>179.23243243243243</v>
      </c>
      <c r="M71" s="28">
        <f t="shared" si="4"/>
        <v>230.6</v>
      </c>
      <c r="N71" s="28">
        <f t="shared" si="4"/>
        <v>284.90285714285716</v>
      </c>
      <c r="O71" s="28">
        <f t="shared" si="4"/>
        <v>342.4</v>
      </c>
      <c r="P71" s="28">
        <f t="shared" si="2"/>
        <v>50</v>
      </c>
      <c r="Q71" s="28">
        <f>$A$56+'GWP of methane by scenario'!B$13</f>
        <v>126.36380718411579</v>
      </c>
      <c r="R71" s="28">
        <f>$A$56+'GWP of methane by scenario'!B$14</f>
        <v>156.80584242395727</v>
      </c>
    </row>
    <row r="72" spans="1:18" x14ac:dyDescent="0.25">
      <c r="A72" s="72">
        <f t="shared" si="3"/>
        <v>0.39999999999999963</v>
      </c>
      <c r="B72" s="28">
        <f t="shared" si="4"/>
        <v>45.919999999999995</v>
      </c>
      <c r="C72" s="28">
        <f t="shared" si="4"/>
        <v>63.251282051282047</v>
      </c>
      <c r="D72" s="28">
        <f t="shared" si="4"/>
        <v>81.494736842105254</v>
      </c>
      <c r="E72" s="28">
        <f t="shared" si="4"/>
        <v>100.72432432432433</v>
      </c>
      <c r="F72" s="28">
        <f t="shared" si="4"/>
        <v>121.02222222222221</v>
      </c>
      <c r="G72" s="28">
        <f t="shared" si="4"/>
        <v>142.47999999999999</v>
      </c>
      <c r="H72" s="28">
        <f t="shared" si="4"/>
        <v>165.2</v>
      </c>
      <c r="I72" s="28">
        <f t="shared" si="4"/>
        <v>39.679999999999986</v>
      </c>
      <c r="J72" s="28">
        <f t="shared" si="4"/>
        <v>83.517948717948713</v>
      </c>
      <c r="K72" s="28">
        <f t="shared" si="4"/>
        <v>129.66315789473683</v>
      </c>
      <c r="L72" s="28">
        <f t="shared" si="4"/>
        <v>178.3027027027027</v>
      </c>
      <c r="M72" s="28">
        <f t="shared" si="4"/>
        <v>229.64444444444445</v>
      </c>
      <c r="N72" s="28">
        <f t="shared" si="4"/>
        <v>283.91999999999996</v>
      </c>
      <c r="O72" s="28">
        <f t="shared" si="4"/>
        <v>341.38823529411764</v>
      </c>
      <c r="P72" s="28">
        <f t="shared" si="2"/>
        <v>50</v>
      </c>
      <c r="Q72" s="28">
        <f>$A$56+'GWP of methane by scenario'!B$13</f>
        <v>126.36380718411579</v>
      </c>
      <c r="R72" s="28">
        <f>$A$56+'GWP of methane by scenario'!B$14</f>
        <v>156.80584242395727</v>
      </c>
    </row>
    <row r="73" spans="1:18" x14ac:dyDescent="0.25">
      <c r="A73" s="72">
        <f t="shared" si="3"/>
        <v>0.34999999999999964</v>
      </c>
      <c r="B73" s="28">
        <f t="shared" si="4"/>
        <v>45.579999999999991</v>
      </c>
      <c r="C73" s="28">
        <f t="shared" si="4"/>
        <v>62.902564102564099</v>
      </c>
      <c r="D73" s="28">
        <f t="shared" si="4"/>
        <v>81.136842105263156</v>
      </c>
      <c r="E73" s="28">
        <f t="shared" si="4"/>
        <v>100.35675675675675</v>
      </c>
      <c r="F73" s="28">
        <f t="shared" si="4"/>
        <v>120.64444444444445</v>
      </c>
      <c r="G73" s="28">
        <f t="shared" si="4"/>
        <v>142.09142857142857</v>
      </c>
      <c r="H73" s="28">
        <f t="shared" si="4"/>
        <v>164.79999999999998</v>
      </c>
      <c r="I73" s="28">
        <f t="shared" si="4"/>
        <v>38.819999999999979</v>
      </c>
      <c r="J73" s="28">
        <f t="shared" si="4"/>
        <v>82.635897435897419</v>
      </c>
      <c r="K73" s="28">
        <f t="shared" si="4"/>
        <v>128.7578947368421</v>
      </c>
      <c r="L73" s="28">
        <f t="shared" si="4"/>
        <v>177.37297297297297</v>
      </c>
      <c r="M73" s="28">
        <f t="shared" si="4"/>
        <v>228.6888888888889</v>
      </c>
      <c r="N73" s="28">
        <f t="shared" si="4"/>
        <v>282.93714285714282</v>
      </c>
      <c r="O73" s="28">
        <f t="shared" si="4"/>
        <v>340.37647058823529</v>
      </c>
      <c r="P73" s="28">
        <f t="shared" si="2"/>
        <v>50</v>
      </c>
      <c r="Q73" s="28">
        <f>$A$56+'GWP of methane by scenario'!B$13</f>
        <v>126.36380718411579</v>
      </c>
      <c r="R73" s="28">
        <f>$A$56+'GWP of methane by scenario'!B$14</f>
        <v>156.80584242395727</v>
      </c>
    </row>
    <row r="74" spans="1:18" x14ac:dyDescent="0.25">
      <c r="A74" s="72">
        <f t="shared" si="3"/>
        <v>0.29999999999999966</v>
      </c>
      <c r="B74" s="28">
        <f t="shared" si="4"/>
        <v>45.239999999999995</v>
      </c>
      <c r="C74" s="28">
        <f t="shared" si="4"/>
        <v>62.553846153846152</v>
      </c>
      <c r="D74" s="28">
        <f t="shared" si="4"/>
        <v>80.778947368421058</v>
      </c>
      <c r="E74" s="28">
        <f t="shared" si="4"/>
        <v>99.98918918918919</v>
      </c>
      <c r="F74" s="28">
        <f t="shared" si="4"/>
        <v>120.26666666666667</v>
      </c>
      <c r="G74" s="28">
        <f t="shared" si="4"/>
        <v>141.70285714285714</v>
      </c>
      <c r="H74" s="28">
        <f t="shared" si="4"/>
        <v>164.39999999999998</v>
      </c>
      <c r="I74" s="28">
        <f t="shared" si="4"/>
        <v>37.95999999999998</v>
      </c>
      <c r="J74" s="28">
        <f t="shared" si="4"/>
        <v>81.753846153846141</v>
      </c>
      <c r="K74" s="28">
        <f t="shared" si="4"/>
        <v>127.85263157894737</v>
      </c>
      <c r="L74" s="28">
        <f t="shared" si="4"/>
        <v>176.44324324324324</v>
      </c>
      <c r="M74" s="28">
        <f t="shared" si="4"/>
        <v>227.73333333333335</v>
      </c>
      <c r="N74" s="28">
        <f t="shared" si="4"/>
        <v>281.95428571428573</v>
      </c>
      <c r="O74" s="28">
        <f t="shared" si="4"/>
        <v>339.36470588235295</v>
      </c>
      <c r="P74" s="28">
        <f t="shared" si="2"/>
        <v>50</v>
      </c>
      <c r="Q74" s="28">
        <f>$A$56+'GWP of methane by scenario'!B$13</f>
        <v>126.36380718411579</v>
      </c>
      <c r="R74" s="28">
        <f>$A$56+'GWP of methane by scenario'!B$14</f>
        <v>156.80584242395727</v>
      </c>
    </row>
    <row r="75" spans="1:18" x14ac:dyDescent="0.25">
      <c r="A75" s="72">
        <f t="shared" si="3"/>
        <v>0.24999999999999967</v>
      </c>
      <c r="B75" s="28">
        <f t="shared" si="4"/>
        <v>44.899999999999991</v>
      </c>
      <c r="C75" s="28">
        <f t="shared" si="4"/>
        <v>62.205128205128197</v>
      </c>
      <c r="D75" s="28">
        <f t="shared" si="4"/>
        <v>80.421052631578945</v>
      </c>
      <c r="E75" s="28">
        <f t="shared" si="4"/>
        <v>99.621621621621614</v>
      </c>
      <c r="F75" s="28">
        <f t="shared" si="4"/>
        <v>119.88888888888889</v>
      </c>
      <c r="G75" s="28">
        <f t="shared" si="4"/>
        <v>141.31428571428569</v>
      </c>
      <c r="H75" s="28">
        <f t="shared" si="4"/>
        <v>164</v>
      </c>
      <c r="I75" s="28">
        <f t="shared" si="4"/>
        <v>37.09999999999998</v>
      </c>
      <c r="J75" s="28">
        <f t="shared" si="4"/>
        <v>80.871794871794862</v>
      </c>
      <c r="K75" s="28">
        <f t="shared" si="4"/>
        <v>126.94736842105263</v>
      </c>
      <c r="L75" s="28">
        <f t="shared" si="4"/>
        <v>175.51351351351352</v>
      </c>
      <c r="M75" s="28">
        <f t="shared" si="4"/>
        <v>226.77777777777777</v>
      </c>
      <c r="N75" s="28">
        <f t="shared" si="4"/>
        <v>280.97142857142853</v>
      </c>
      <c r="O75" s="28">
        <f t="shared" si="4"/>
        <v>338.35294117647061</v>
      </c>
      <c r="P75" s="28">
        <f t="shared" si="2"/>
        <v>50</v>
      </c>
      <c r="Q75" s="28">
        <f>$A$56+'GWP of methane by scenario'!B$13</f>
        <v>126.36380718411579</v>
      </c>
      <c r="R75" s="28">
        <f>$A$56+'GWP of methane by scenario'!B$14</f>
        <v>156.80584242395727</v>
      </c>
    </row>
    <row r="76" spans="1:18" x14ac:dyDescent="0.25">
      <c r="A76" s="72">
        <f t="shared" si="3"/>
        <v>0.19999999999999968</v>
      </c>
      <c r="B76" s="28">
        <f t="shared" si="4"/>
        <v>44.559999999999995</v>
      </c>
      <c r="C76" s="28">
        <f t="shared" si="4"/>
        <v>61.85641025641025</v>
      </c>
      <c r="D76" s="28">
        <f t="shared" si="4"/>
        <v>80.063157894736833</v>
      </c>
      <c r="E76" s="28">
        <f t="shared" si="4"/>
        <v>99.254054054054052</v>
      </c>
      <c r="F76" s="28">
        <f t="shared" si="4"/>
        <v>119.51111111111111</v>
      </c>
      <c r="G76" s="28">
        <f t="shared" si="4"/>
        <v>140.92571428571426</v>
      </c>
      <c r="H76" s="28">
        <f t="shared" si="4"/>
        <v>163.59999999999997</v>
      </c>
      <c r="I76" s="28">
        <f t="shared" si="4"/>
        <v>36.239999999999981</v>
      </c>
      <c r="J76" s="28">
        <f t="shared" si="4"/>
        <v>79.989743589743568</v>
      </c>
      <c r="K76" s="28">
        <f t="shared" si="4"/>
        <v>126.04210526315788</v>
      </c>
      <c r="L76" s="28">
        <f t="shared" si="4"/>
        <v>174.58378378378376</v>
      </c>
      <c r="M76" s="28">
        <f t="shared" si="4"/>
        <v>225.82222222222222</v>
      </c>
      <c r="N76" s="28">
        <f t="shared" si="4"/>
        <v>279.98857142857139</v>
      </c>
      <c r="O76" s="28">
        <f t="shared" si="4"/>
        <v>337.34117647058821</v>
      </c>
      <c r="P76" s="28">
        <f t="shared" si="2"/>
        <v>50</v>
      </c>
      <c r="Q76" s="28">
        <f>$A$56+'GWP of methane by scenario'!B$13</f>
        <v>126.36380718411579</v>
      </c>
      <c r="R76" s="28">
        <f>$A$56+'GWP of methane by scenario'!B$14</f>
        <v>156.80584242395727</v>
      </c>
    </row>
    <row r="77" spans="1:18" x14ac:dyDescent="0.25">
      <c r="A77" s="72">
        <f t="shared" si="3"/>
        <v>0.14999999999999969</v>
      </c>
      <c r="B77" s="28">
        <f t="shared" ref="B77:O80" si="5">B23+$A$56</f>
        <v>44.219999999999992</v>
      </c>
      <c r="C77" s="28">
        <f t="shared" si="5"/>
        <v>61.507692307692302</v>
      </c>
      <c r="D77" s="28">
        <f t="shared" si="5"/>
        <v>79.705263157894734</v>
      </c>
      <c r="E77" s="28">
        <f t="shared" si="5"/>
        <v>98.88648648648649</v>
      </c>
      <c r="F77" s="28">
        <f t="shared" si="5"/>
        <v>119.13333333333333</v>
      </c>
      <c r="G77" s="28">
        <f t="shared" si="5"/>
        <v>140.53714285714284</v>
      </c>
      <c r="H77" s="28">
        <f t="shared" si="5"/>
        <v>163.19999999999999</v>
      </c>
      <c r="I77" s="28">
        <f t="shared" si="5"/>
        <v>35.379999999999981</v>
      </c>
      <c r="J77" s="28">
        <f t="shared" si="5"/>
        <v>79.10769230769229</v>
      </c>
      <c r="K77" s="28">
        <f t="shared" si="5"/>
        <v>125.13684210526316</v>
      </c>
      <c r="L77" s="28">
        <f t="shared" si="5"/>
        <v>173.65405405405403</v>
      </c>
      <c r="M77" s="28">
        <f t="shared" si="5"/>
        <v>224.86666666666665</v>
      </c>
      <c r="N77" s="28">
        <f t="shared" si="5"/>
        <v>279.00571428571425</v>
      </c>
      <c r="O77" s="28">
        <f t="shared" si="5"/>
        <v>336.32941176470587</v>
      </c>
      <c r="P77" s="28">
        <f t="shared" si="2"/>
        <v>50</v>
      </c>
      <c r="Q77" s="28">
        <f>$A$56+'GWP of methane by scenario'!B$13</f>
        <v>126.36380718411579</v>
      </c>
      <c r="R77" s="28">
        <f>$A$56+'GWP of methane by scenario'!B$14</f>
        <v>156.80584242395727</v>
      </c>
    </row>
    <row r="78" spans="1:18" x14ac:dyDescent="0.25">
      <c r="A78" s="72">
        <f t="shared" si="3"/>
        <v>9.9999999999999686E-2</v>
      </c>
      <c r="B78" s="28">
        <f t="shared" si="5"/>
        <v>43.879999999999995</v>
      </c>
      <c r="C78" s="28">
        <f t="shared" si="5"/>
        <v>61.158974358974348</v>
      </c>
      <c r="D78" s="28">
        <f t="shared" si="5"/>
        <v>79.347368421052636</v>
      </c>
      <c r="E78" s="28">
        <f t="shared" si="5"/>
        <v>98.518918918918914</v>
      </c>
      <c r="F78" s="28">
        <f t="shared" si="5"/>
        <v>118.75555555555556</v>
      </c>
      <c r="G78" s="28">
        <f t="shared" si="5"/>
        <v>140.14857142857142</v>
      </c>
      <c r="H78" s="28">
        <f t="shared" si="5"/>
        <v>162.79999999999998</v>
      </c>
      <c r="I78" s="28">
        <f t="shared" si="5"/>
        <v>34.519999999999982</v>
      </c>
      <c r="J78" s="28">
        <f t="shared" si="5"/>
        <v>78.225641025641011</v>
      </c>
      <c r="K78" s="28">
        <f t="shared" si="5"/>
        <v>124.23157894736842</v>
      </c>
      <c r="L78" s="28">
        <f t="shared" si="5"/>
        <v>172.72432432432433</v>
      </c>
      <c r="M78" s="28">
        <f t="shared" si="5"/>
        <v>223.91111111111113</v>
      </c>
      <c r="N78" s="28">
        <f t="shared" si="5"/>
        <v>278.02285714285711</v>
      </c>
      <c r="O78" s="28">
        <f t="shared" si="5"/>
        <v>335.31764705882358</v>
      </c>
      <c r="P78" s="28">
        <f t="shared" si="2"/>
        <v>50</v>
      </c>
      <c r="Q78" s="28">
        <f>$A$56+'GWP of methane by scenario'!B$13</f>
        <v>126.36380718411579</v>
      </c>
      <c r="R78" s="28">
        <f>$A$56+'GWP of methane by scenario'!B$14</f>
        <v>156.80584242395727</v>
      </c>
    </row>
    <row r="79" spans="1:18" x14ac:dyDescent="0.25">
      <c r="A79" s="72">
        <f t="shared" si="3"/>
        <v>4.9999999999999684E-2</v>
      </c>
      <c r="B79" s="28">
        <f t="shared" si="5"/>
        <v>43.539999999999992</v>
      </c>
      <c r="C79" s="28">
        <f t="shared" si="5"/>
        <v>60.8102564102564</v>
      </c>
      <c r="D79" s="28">
        <f t="shared" si="5"/>
        <v>78.989473684210523</v>
      </c>
      <c r="E79" s="28">
        <f t="shared" si="5"/>
        <v>98.151351351351337</v>
      </c>
      <c r="F79" s="28">
        <f t="shared" si="5"/>
        <v>118.37777777777778</v>
      </c>
      <c r="G79" s="28">
        <f t="shared" si="5"/>
        <v>139.76</v>
      </c>
      <c r="H79" s="28">
        <f t="shared" si="5"/>
        <v>162.39999999999998</v>
      </c>
      <c r="I79" s="28">
        <f t="shared" si="5"/>
        <v>33.659999999999982</v>
      </c>
      <c r="J79" s="28">
        <f t="shared" si="5"/>
        <v>77.343589743589718</v>
      </c>
      <c r="K79" s="28">
        <f t="shared" si="5"/>
        <v>123.32631578947368</v>
      </c>
      <c r="L79" s="28">
        <f t="shared" si="5"/>
        <v>171.79459459459457</v>
      </c>
      <c r="M79" s="28">
        <f t="shared" si="5"/>
        <v>222.95555555555555</v>
      </c>
      <c r="N79" s="28">
        <f t="shared" si="5"/>
        <v>277.03999999999996</v>
      </c>
      <c r="O79" s="28">
        <f t="shared" si="5"/>
        <v>334.30588235294118</v>
      </c>
      <c r="P79" s="28">
        <f t="shared" si="2"/>
        <v>50</v>
      </c>
      <c r="Q79" s="28">
        <f>$A$56+'GWP of methane by scenario'!B$13</f>
        <v>126.36380718411579</v>
      </c>
      <c r="R79" s="28">
        <f>$A$56+'GWP of methane by scenario'!B$14</f>
        <v>156.80584242395727</v>
      </c>
    </row>
    <row r="80" spans="1:18" x14ac:dyDescent="0.25">
      <c r="A80" s="72">
        <f t="shared" si="3"/>
        <v>-3.1918911957973251E-16</v>
      </c>
      <c r="B80" s="28">
        <f t="shared" si="5"/>
        <v>43.199999999999989</v>
      </c>
      <c r="C80" s="28">
        <f t="shared" si="5"/>
        <v>60.461538461538453</v>
      </c>
      <c r="D80" s="28">
        <f t="shared" si="5"/>
        <v>78.631578947368411</v>
      </c>
      <c r="E80" s="28">
        <f t="shared" si="5"/>
        <v>97.783783783783775</v>
      </c>
      <c r="F80" s="28">
        <f t="shared" si="5"/>
        <v>117.99999999999999</v>
      </c>
      <c r="G80" s="28">
        <f t="shared" si="5"/>
        <v>139.37142857142857</v>
      </c>
      <c r="H80" s="28">
        <f t="shared" si="5"/>
        <v>161.99999999999997</v>
      </c>
      <c r="I80" s="28">
        <f t="shared" si="5"/>
        <v>32.799999999999983</v>
      </c>
      <c r="J80" s="28">
        <f t="shared" si="5"/>
        <v>76.461538461538439</v>
      </c>
      <c r="K80" s="28">
        <f t="shared" si="5"/>
        <v>122.42105263157893</v>
      </c>
      <c r="L80" s="28">
        <f t="shared" si="5"/>
        <v>170.86486486486484</v>
      </c>
      <c r="M80" s="28">
        <f t="shared" si="5"/>
        <v>221.99999999999997</v>
      </c>
      <c r="N80" s="28">
        <f t="shared" si="5"/>
        <v>276.05714285714282</v>
      </c>
      <c r="O80" s="28">
        <f t="shared" si="5"/>
        <v>333.29411764705878</v>
      </c>
      <c r="P80" s="28">
        <f t="shared" si="2"/>
        <v>50</v>
      </c>
      <c r="Q80" s="28">
        <f>$A$56+'GWP of methane by scenario'!B$13</f>
        <v>126.36380718411579</v>
      </c>
      <c r="R80" s="28">
        <f>$A$56+'GWP of methane by scenario'!B$14</f>
        <v>156.80584242395727</v>
      </c>
    </row>
    <row r="81" spans="1:18" x14ac:dyDescent="0.25">
      <c r="A81" s="13"/>
      <c r="B81" s="13"/>
      <c r="C81" s="13"/>
      <c r="D81" s="13"/>
      <c r="E81" s="13"/>
      <c r="F81" s="13"/>
      <c r="G81" s="13"/>
      <c r="H81" s="13"/>
      <c r="I81" s="13"/>
      <c r="J81" s="13"/>
      <c r="K81" s="13"/>
      <c r="L81" s="13"/>
      <c r="M81" s="13"/>
      <c r="N81" s="13"/>
      <c r="O81" s="13"/>
      <c r="P81" s="13"/>
      <c r="Q81" s="13"/>
      <c r="R81" s="13"/>
    </row>
    <row r="82" spans="1:18" x14ac:dyDescent="0.25">
      <c r="A82" s="13"/>
      <c r="B82" s="13"/>
      <c r="C82" s="13"/>
      <c r="D82" s="13"/>
      <c r="E82" s="13"/>
      <c r="F82" s="13"/>
      <c r="G82" s="13"/>
      <c r="H82" s="13"/>
      <c r="I82" s="13"/>
      <c r="J82" s="13"/>
      <c r="K82" s="13"/>
      <c r="L82" s="13"/>
      <c r="M82" s="13"/>
      <c r="N82" s="13"/>
      <c r="O82" s="13"/>
      <c r="P82" s="13"/>
      <c r="Q82" s="13"/>
      <c r="R82" s="13"/>
    </row>
  </sheetData>
  <mergeCells count="5">
    <mergeCell ref="B5:H5"/>
    <mergeCell ref="I5:O5"/>
    <mergeCell ref="B59:H59"/>
    <mergeCell ref="I59:O59"/>
    <mergeCell ref="A1:R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49064-0C24-B84B-B473-57157EBFE00B}">
  <sheetPr>
    <tabColor theme="5" tint="0.39997558519241921"/>
  </sheetPr>
  <dimension ref="A1:S83"/>
  <sheetViews>
    <sheetView workbookViewId="0">
      <selection sqref="A1:R1"/>
    </sheetView>
  </sheetViews>
  <sheetFormatPr baseColWidth="10" defaultRowHeight="19" x14ac:dyDescent="0.25"/>
  <cols>
    <col min="1" max="1" width="25.7109375" customWidth="1"/>
    <col min="9" max="9" width="10.7109375" customWidth="1"/>
    <col min="17" max="17" width="10.7109375" customWidth="1"/>
    <col min="25" max="25" width="10.7109375" customWidth="1"/>
  </cols>
  <sheetData>
    <row r="1" spans="1:19" ht="31" customHeight="1" x14ac:dyDescent="0.35">
      <c r="A1" s="121" t="s">
        <v>153</v>
      </c>
      <c r="B1" s="121"/>
      <c r="C1" s="121"/>
      <c r="D1" s="121"/>
      <c r="E1" s="121"/>
      <c r="F1" s="121"/>
      <c r="G1" s="121"/>
      <c r="H1" s="121"/>
      <c r="I1" s="121"/>
      <c r="J1" s="121"/>
      <c r="K1" s="121"/>
      <c r="L1" s="121"/>
      <c r="M1" s="121"/>
      <c r="N1" s="121"/>
      <c r="O1" s="121"/>
      <c r="P1" s="121"/>
      <c r="Q1" s="121"/>
      <c r="R1" s="121"/>
    </row>
    <row r="2" spans="1:19" x14ac:dyDescent="0.25">
      <c r="A2" s="77" t="s">
        <v>92</v>
      </c>
      <c r="B2" s="13"/>
      <c r="C2" s="13"/>
      <c r="D2" s="13"/>
      <c r="E2" s="13"/>
      <c r="F2" s="67"/>
      <c r="G2" s="13"/>
      <c r="H2" s="13"/>
      <c r="I2" s="13"/>
      <c r="J2" s="13"/>
      <c r="K2" s="13"/>
      <c r="L2" s="13"/>
      <c r="M2" s="13"/>
      <c r="N2" s="13"/>
      <c r="O2" s="13"/>
      <c r="P2" s="13"/>
      <c r="Q2" s="13"/>
      <c r="R2" s="13"/>
    </row>
    <row r="3" spans="1:19" ht="20" thickBot="1" x14ac:dyDescent="0.3">
      <c r="A3" s="76" t="s">
        <v>91</v>
      </c>
      <c r="B3" s="13"/>
      <c r="C3" s="13"/>
      <c r="D3" s="13"/>
      <c r="E3" s="13"/>
      <c r="F3" s="13"/>
      <c r="G3" s="13"/>
      <c r="H3" s="13"/>
      <c r="I3" s="13"/>
      <c r="J3" s="13"/>
      <c r="K3" s="13"/>
      <c r="L3" s="13"/>
      <c r="M3" s="13"/>
      <c r="N3" s="13"/>
      <c r="O3" s="13"/>
      <c r="P3" s="13"/>
      <c r="Q3" s="13"/>
      <c r="R3" s="13"/>
    </row>
    <row r="4" spans="1:19" ht="20" thickBot="1" x14ac:dyDescent="0.3">
      <c r="A4" s="13" t="s">
        <v>4</v>
      </c>
      <c r="B4" s="68">
        <f>'GWP of methane by scenario'!B4</f>
        <v>0</v>
      </c>
      <c r="C4" s="69">
        <f>'GWP of methane by scenario'!C4</f>
        <v>2.5000000000000001E-2</v>
      </c>
      <c r="D4" s="69">
        <f>'GWP of methane by scenario'!D4</f>
        <v>0.05</v>
      </c>
      <c r="E4" s="69">
        <f>'GWP of methane by scenario'!E4</f>
        <v>7.5000000000000011E-2</v>
      </c>
      <c r="F4" s="69">
        <f>'GWP of methane by scenario'!F4</f>
        <v>0.1</v>
      </c>
      <c r="G4" s="69">
        <f>'GWP of methane by scenario'!G4</f>
        <v>0.125</v>
      </c>
      <c r="H4" s="70">
        <f>'GWP of methane by scenario'!H4</f>
        <v>0.15</v>
      </c>
      <c r="I4" s="68">
        <f>'GWP of methane by scenario'!B4</f>
        <v>0</v>
      </c>
      <c r="J4" s="69">
        <f>'GWP of methane by scenario'!C4</f>
        <v>2.5000000000000001E-2</v>
      </c>
      <c r="K4" s="69">
        <f>'GWP of methane by scenario'!D4</f>
        <v>0.05</v>
      </c>
      <c r="L4" s="69">
        <f>'GWP of methane by scenario'!E4</f>
        <v>7.5000000000000011E-2</v>
      </c>
      <c r="M4" s="69">
        <f>'GWP of methane by scenario'!F4</f>
        <v>0.1</v>
      </c>
      <c r="N4" s="69">
        <f>'GWP of methane by scenario'!G4</f>
        <v>0.125</v>
      </c>
      <c r="O4" s="70">
        <f>'GWP of methane by scenario'!H4</f>
        <v>0.15</v>
      </c>
      <c r="P4" s="13"/>
      <c r="Q4" s="71"/>
      <c r="R4" s="13"/>
      <c r="S4" s="2"/>
    </row>
    <row r="5" spans="1:19" ht="20" thickBot="1" x14ac:dyDescent="0.3">
      <c r="A5" s="13" t="s">
        <v>17</v>
      </c>
      <c r="B5" s="125" t="s">
        <v>3</v>
      </c>
      <c r="C5" s="126"/>
      <c r="D5" s="126"/>
      <c r="E5" s="126"/>
      <c r="F5" s="126"/>
      <c r="G5" s="126"/>
      <c r="H5" s="127"/>
      <c r="I5" s="125" t="s">
        <v>2</v>
      </c>
      <c r="J5" s="126"/>
      <c r="K5" s="126"/>
      <c r="L5" s="126"/>
      <c r="M5" s="126"/>
      <c r="N5" s="126"/>
      <c r="O5" s="127"/>
      <c r="P5" s="13"/>
      <c r="Q5" s="13"/>
      <c r="R5" s="13"/>
    </row>
    <row r="6" spans="1:19" x14ac:dyDescent="0.25">
      <c r="A6" s="72">
        <v>1</v>
      </c>
      <c r="B6" s="5">
        <f>$A6*'GWP of methane by scenario'!B$6+(1-$A6)*'GWP of methane by scenario'!B$8</f>
        <v>0</v>
      </c>
      <c r="C6" s="6">
        <f>$A6*'GWP of methane by scenario'!C$6+(1-$A6)*'GWP of methane by scenario'!C$8</f>
        <v>17.435897435897438</v>
      </c>
      <c r="D6" s="6">
        <f>$A6*'GWP of methane by scenario'!D$6+(1-$A6)*'GWP of methane by scenario'!D$8</f>
        <v>35.789473684210535</v>
      </c>
      <c r="E6" s="6">
        <f>$A6*'GWP of methane by scenario'!E$6+(1-$A6)*'GWP of methane by scenario'!E$8</f>
        <v>55.135135135135144</v>
      </c>
      <c r="F6" s="44">
        <f>$A6*'GWP of methane by scenario'!F$6+(1-$A6)*'GWP of methane by scenario'!F$8</f>
        <v>75.555555555555557</v>
      </c>
      <c r="G6" s="31">
        <f>$A6*'GWP of methane by scenario'!G$6+(1-$A6)*'GWP of methane by scenario'!G$8</f>
        <v>97.142857142857139</v>
      </c>
      <c r="H6" s="33">
        <f>$A6*'GWP of methane by scenario'!H$6+(1-$A6)*'GWP of methane by scenario'!H$8</f>
        <v>120</v>
      </c>
      <c r="I6" s="5">
        <f>$A6*'GWP of methane by scenario'!I$6+(1-$A6)*'GWP of methane by scenario'!I$8</f>
        <v>0</v>
      </c>
      <c r="J6" s="6">
        <f>$A6*'GWP of methane by scenario'!J$6+(1-$A6)*'GWP of methane by scenario'!J$8</f>
        <v>44.102564102564109</v>
      </c>
      <c r="K6" s="6">
        <f>$A6*'GWP of methane by scenario'!K$6+(1-$A6)*'GWP of methane by scenario'!K$8</f>
        <v>90.526315789473699</v>
      </c>
      <c r="L6" s="31">
        <f>$A6*'GWP of methane by scenario'!L$6+(1-$A6)*'GWP of methane by scenario'!L$8</f>
        <v>139.45945945945948</v>
      </c>
      <c r="M6" s="31">
        <f>$A6*'GWP of methane by scenario'!M$6+(1-$A6)*'GWP of methane by scenario'!M$8</f>
        <v>191.11111111111111</v>
      </c>
      <c r="N6" s="31">
        <f>$A6*'GWP of methane by scenario'!N$6+(1-$A6)*'GWP of methane by scenario'!N$8</f>
        <v>245.71428571428572</v>
      </c>
      <c r="O6" s="33">
        <f>$A6*'GWP of methane by scenario'!O$6+(1-$A6)*'GWP of methane by scenario'!O$8</f>
        <v>303.52941176470591</v>
      </c>
      <c r="P6" s="65"/>
      <c r="Q6" s="65"/>
      <c r="R6" s="71"/>
      <c r="S6" s="2"/>
    </row>
    <row r="7" spans="1:19" x14ac:dyDescent="0.25">
      <c r="A7" s="72">
        <f>A6-0.05</f>
        <v>0.95</v>
      </c>
      <c r="B7" s="38">
        <f>$A7*'GWP of methane by scenario'!B$6+(1-$A7)*'GWP of methane by scenario'!B$8</f>
        <v>-4.7600000000000042</v>
      </c>
      <c r="C7" s="7">
        <f>$A7*'GWP of methane by scenario'!C$6+(1-$A7)*'GWP of methane by scenario'!C$8</f>
        <v>12.553846153846152</v>
      </c>
      <c r="D7" s="7">
        <f>$A7*'GWP of methane by scenario'!D$6+(1-$A7)*'GWP of methane by scenario'!D$8</f>
        <v>30.778947368421058</v>
      </c>
      <c r="E7" s="7">
        <f>$A7*'GWP of methane by scenario'!E$6+(1-$A7)*'GWP of methane by scenario'!E$8</f>
        <v>49.989189189189197</v>
      </c>
      <c r="F7" s="92">
        <f>$A7*'GWP of methane by scenario'!F$6+(1-$A7)*'GWP of methane by scenario'!F$8</f>
        <v>70.266666666666652</v>
      </c>
      <c r="G7" s="32">
        <f>$A7*'GWP of methane by scenario'!G$6+(1-$A7)*'GWP of methane by scenario'!G$8</f>
        <v>91.702857142857127</v>
      </c>
      <c r="H7" s="34">
        <f>$A7*'GWP of methane by scenario'!H$6+(1-$A7)*'GWP of methane by scenario'!H$8</f>
        <v>114.4</v>
      </c>
      <c r="I7" s="38">
        <f>$A7*'GWP of methane by scenario'!I$6+(1-$A7)*'GWP of methane by scenario'!I$8</f>
        <v>-12.040000000000012</v>
      </c>
      <c r="J7" s="7">
        <f>$A7*'GWP of methane by scenario'!J$6+(1-$A7)*'GWP of methane by scenario'!J$8</f>
        <v>31.753846153846148</v>
      </c>
      <c r="K7" s="7">
        <f>$A7*'GWP of methane by scenario'!K$6+(1-$A7)*'GWP of methane by scenario'!K$8</f>
        <v>77.852631578947381</v>
      </c>
      <c r="L7" s="32">
        <f>$A7*'GWP of methane by scenario'!L$6+(1-$A7)*'GWP of methane by scenario'!L$8</f>
        <v>126.44324324324326</v>
      </c>
      <c r="M7" s="32">
        <f>$A7*'GWP of methane by scenario'!M$6+(1-$A7)*'GWP of methane by scenario'!M$8</f>
        <v>177.73333333333332</v>
      </c>
      <c r="N7" s="32">
        <f>$A7*'GWP of methane by scenario'!N$6+(1-$A7)*'GWP of methane by scenario'!N$8</f>
        <v>231.9542857142857</v>
      </c>
      <c r="O7" s="34">
        <f>$A7*'GWP of methane by scenario'!O$6+(1-$A7)*'GWP of methane by scenario'!O$8</f>
        <v>289.36470588235295</v>
      </c>
      <c r="P7" s="65"/>
      <c r="Q7" s="65"/>
      <c r="R7" s="71"/>
      <c r="S7" s="2"/>
    </row>
    <row r="8" spans="1:19" x14ac:dyDescent="0.25">
      <c r="A8" s="72">
        <f t="shared" ref="A8:A26" si="0">A7-0.05</f>
        <v>0.89999999999999991</v>
      </c>
      <c r="B8" s="38">
        <f>$A8*'GWP of methane by scenario'!B$6+(1-$A8)*'GWP of methane by scenario'!B$8</f>
        <v>-9.5200000000000085</v>
      </c>
      <c r="C8" s="7">
        <f>$A8*'GWP of methane by scenario'!C$6+(1-$A8)*'GWP of methane by scenario'!C$8</f>
        <v>7.6717948717948641</v>
      </c>
      <c r="D8" s="7">
        <f>$A8*'GWP of methane by scenario'!D$6+(1-$A8)*'GWP of methane by scenario'!D$8</f>
        <v>25.768421052631577</v>
      </c>
      <c r="E8" s="7">
        <f>$A8*'GWP of methane by scenario'!E$6+(1-$A8)*'GWP of methane by scenario'!E$8</f>
        <v>44.843243243243244</v>
      </c>
      <c r="F8" s="7">
        <f>$A8*'GWP of methane by scenario'!F$6+(1-$A8)*'GWP of methane by scenario'!F$8</f>
        <v>64.977777777777774</v>
      </c>
      <c r="G8" s="32">
        <f>$A8*'GWP of methane by scenario'!G$6+(1-$A8)*'GWP of methane by scenario'!G$8</f>
        <v>86.262857142857129</v>
      </c>
      <c r="H8" s="34">
        <f>$A8*'GWP of methane by scenario'!H$6+(1-$A8)*'GWP of methane by scenario'!H$8</f>
        <v>108.79999999999998</v>
      </c>
      <c r="I8" s="38">
        <f>$A8*'GWP of methane by scenario'!I$6+(1-$A8)*'GWP of methane by scenario'!I$8</f>
        <v>-24.080000000000023</v>
      </c>
      <c r="J8" s="7">
        <f>$A8*'GWP of methane by scenario'!J$6+(1-$A8)*'GWP of methane by scenario'!J$8</f>
        <v>19.405128205128182</v>
      </c>
      <c r="K8" s="7">
        <f>$A8*'GWP of methane by scenario'!K$6+(1-$A8)*'GWP of methane by scenario'!K$8</f>
        <v>65.178947368421035</v>
      </c>
      <c r="L8" s="32">
        <f>$A8*'GWP of methane by scenario'!L$6+(1-$A8)*'GWP of methane by scenario'!L$8</f>
        <v>113.42702702702702</v>
      </c>
      <c r="M8" s="32">
        <f>$A8*'GWP of methane by scenario'!M$6+(1-$A8)*'GWP of methane by scenario'!M$8</f>
        <v>164.35555555555555</v>
      </c>
      <c r="N8" s="32">
        <f>$A8*'GWP of methane by scenario'!N$6+(1-$A8)*'GWP of methane by scenario'!N$8</f>
        <v>218.19428571428571</v>
      </c>
      <c r="O8" s="34">
        <f>$A8*'GWP of methane by scenario'!O$6+(1-$A8)*'GWP of methane by scenario'!O$8</f>
        <v>275.2</v>
      </c>
      <c r="P8" s="65"/>
      <c r="Q8" s="65"/>
      <c r="R8" s="71"/>
      <c r="S8" s="2"/>
    </row>
    <row r="9" spans="1:19" x14ac:dyDescent="0.25">
      <c r="A9" s="72">
        <f t="shared" si="0"/>
        <v>0.84999999999999987</v>
      </c>
      <c r="B9" s="38">
        <f>$A9*'GWP of methane by scenario'!B$6+(1-$A9)*'GWP of methane by scenario'!B$8</f>
        <v>-14.280000000000014</v>
      </c>
      <c r="C9" s="7">
        <f>$A9*'GWP of methane by scenario'!C$6+(1-$A9)*'GWP of methane by scenario'!C$8</f>
        <v>2.7897435897435763</v>
      </c>
      <c r="D9" s="7">
        <f>$A9*'GWP of methane by scenario'!D$6+(1-$A9)*'GWP of methane by scenario'!D$8</f>
        <v>20.757894736842097</v>
      </c>
      <c r="E9" s="7">
        <f>$A9*'GWP of methane by scenario'!E$6+(1-$A9)*'GWP of methane by scenario'!E$8</f>
        <v>39.69729729729729</v>
      </c>
      <c r="F9" s="7">
        <f>$A9*'GWP of methane by scenario'!F$6+(1-$A9)*'GWP of methane by scenario'!F$8</f>
        <v>59.688888888888876</v>
      </c>
      <c r="G9" s="32">
        <f>$A9*'GWP of methane by scenario'!G$6+(1-$A9)*'GWP of methane by scenario'!G$8</f>
        <v>80.822857142857117</v>
      </c>
      <c r="H9" s="34">
        <f>$A9*'GWP of methane by scenario'!H$6+(1-$A9)*'GWP of methane by scenario'!H$8</f>
        <v>103.19999999999999</v>
      </c>
      <c r="I9" s="38">
        <f>$A9*'GWP of methane by scenario'!I$6+(1-$A9)*'GWP of methane by scenario'!I$8</f>
        <v>-36.120000000000033</v>
      </c>
      <c r="J9" s="7">
        <f>$A9*'GWP of methane by scenario'!J$6+(1-$A9)*'GWP of methane by scenario'!J$8</f>
        <v>7.0564102564102242</v>
      </c>
      <c r="K9" s="7">
        <f>$A9*'GWP of methane by scenario'!K$6+(1-$A9)*'GWP of methane by scenario'!K$8</f>
        <v>52.50526315789471</v>
      </c>
      <c r="L9" s="56">
        <f>$A9*'GWP of methane by scenario'!L$6+(1-$A9)*'GWP of methane by scenario'!L$8</f>
        <v>100.41081081081079</v>
      </c>
      <c r="M9" s="32">
        <f>$A9*'GWP of methane by scenario'!M$6+(1-$A9)*'GWP of methane by scenario'!M$8</f>
        <v>150.97777777777776</v>
      </c>
      <c r="N9" s="32">
        <f>$A9*'GWP of methane by scenario'!N$6+(1-$A9)*'GWP of methane by scenario'!N$8</f>
        <v>204.43428571428569</v>
      </c>
      <c r="O9" s="34">
        <f>$A9*'GWP of methane by scenario'!O$6+(1-$A9)*'GWP of methane by scenario'!O$8</f>
        <v>261.03529411764708</v>
      </c>
      <c r="P9" s="65"/>
      <c r="Q9" s="65"/>
      <c r="R9" s="71"/>
      <c r="S9" s="2"/>
    </row>
    <row r="10" spans="1:19" x14ac:dyDescent="0.25">
      <c r="A10" s="72">
        <f t="shared" si="0"/>
        <v>0.79999999999999982</v>
      </c>
      <c r="B10" s="38">
        <f>$A10*'GWP of methane by scenario'!B$6+(1-$A10)*'GWP of methane by scenario'!B$8</f>
        <v>-19.040000000000017</v>
      </c>
      <c r="C10" s="40">
        <f>$A10*'GWP of methane by scenario'!C$6+(1-$A10)*'GWP of methane by scenario'!C$8</f>
        <v>-2.0923076923077115</v>
      </c>
      <c r="D10" s="7">
        <f>$A10*'GWP of methane by scenario'!D$6+(1-$A10)*'GWP of methane by scenario'!D$8</f>
        <v>15.747368421052618</v>
      </c>
      <c r="E10" s="7">
        <f>$A10*'GWP of methane by scenario'!E$6+(1-$A10)*'GWP of methane by scenario'!E$8</f>
        <v>34.551351351351343</v>
      </c>
      <c r="F10" s="7">
        <f>$A10*'GWP of methane by scenario'!F$6+(1-$A10)*'GWP of methane by scenario'!F$8</f>
        <v>54.399999999999984</v>
      </c>
      <c r="G10" s="56">
        <f>$A10*'GWP of methane by scenario'!G$6+(1-$A10)*'GWP of methane by scenario'!G$8</f>
        <v>75.382857142857119</v>
      </c>
      <c r="H10" s="34">
        <f>$A10*'GWP of methane by scenario'!H$6+(1-$A10)*'GWP of methane by scenario'!H$8</f>
        <v>97.599999999999966</v>
      </c>
      <c r="I10" s="38">
        <f>$A10*'GWP of methane by scenario'!I$6+(1-$A10)*'GWP of methane by scenario'!I$8</f>
        <v>-48.160000000000046</v>
      </c>
      <c r="J10" s="40">
        <f>$A10*'GWP of methane by scenario'!J$6+(1-$A10)*'GWP of methane by scenario'!J$8</f>
        <v>-5.2923076923077446</v>
      </c>
      <c r="K10" s="7">
        <f>$A10*'GWP of methane by scenario'!K$6+(1-$A10)*'GWP of methane by scenario'!K$8</f>
        <v>39.831578947368385</v>
      </c>
      <c r="L10" s="7">
        <f>$A10*'GWP of methane by scenario'!L$6+(1-$A10)*'GWP of methane by scenario'!L$8</f>
        <v>87.394594594594565</v>
      </c>
      <c r="M10" s="32">
        <f>$A10*'GWP of methane by scenario'!M$6+(1-$A10)*'GWP of methane by scenario'!M$8</f>
        <v>137.59999999999997</v>
      </c>
      <c r="N10" s="32">
        <f>$A10*'GWP of methane by scenario'!N$6+(1-$A10)*'GWP of methane by scenario'!N$8</f>
        <v>190.67428571428565</v>
      </c>
      <c r="O10" s="34">
        <f>$A10*'GWP of methane by scenario'!O$6+(1-$A10)*'GWP of methane by scenario'!O$8</f>
        <v>246.87058823529406</v>
      </c>
      <c r="P10" s="65"/>
      <c r="Q10" s="65"/>
      <c r="R10" s="71"/>
      <c r="S10" s="2"/>
    </row>
    <row r="11" spans="1:19" x14ac:dyDescent="0.25">
      <c r="A11" s="72">
        <f t="shared" si="0"/>
        <v>0.74999999999999978</v>
      </c>
      <c r="B11" s="38">
        <f>$A11*'GWP of methane by scenario'!B$6+(1-$A11)*'GWP of methane by scenario'!B$8</f>
        <v>-23.800000000000022</v>
      </c>
      <c r="C11" s="40">
        <f>$A11*'GWP of methane by scenario'!C$6+(1-$A11)*'GWP of methane by scenario'!C$8</f>
        <v>-6.9743589743589975</v>
      </c>
      <c r="D11" s="7">
        <f>$A11*'GWP of methane by scenario'!D$6+(1-$A11)*'GWP of methane by scenario'!D$8</f>
        <v>10.73684210526314</v>
      </c>
      <c r="E11" s="7">
        <f>$A11*'GWP of methane by scenario'!E$6+(1-$A11)*'GWP of methane by scenario'!E$8</f>
        <v>29.405405405405389</v>
      </c>
      <c r="F11" s="7">
        <f>$A11*'GWP of methane by scenario'!F$6+(1-$A11)*'GWP of methane by scenario'!F$8</f>
        <v>49.111111111111086</v>
      </c>
      <c r="G11" s="92">
        <f>$A11*'GWP of methane by scenario'!G$6+(1-$A11)*'GWP of methane by scenario'!G$8</f>
        <v>69.942857142857108</v>
      </c>
      <c r="H11" s="34">
        <f>$A11*'GWP of methane by scenario'!H$6+(1-$A11)*'GWP of methane by scenario'!H$8</f>
        <v>91.999999999999972</v>
      </c>
      <c r="I11" s="38">
        <f>$A11*'GWP of methane by scenario'!I$6+(1-$A11)*'GWP of methane by scenario'!I$8</f>
        <v>-60.20000000000006</v>
      </c>
      <c r="J11" s="40">
        <f>$A11*'GWP of methane by scenario'!J$6+(1-$A11)*'GWP of methane by scenario'!J$8</f>
        <v>-17.641025641025699</v>
      </c>
      <c r="K11" s="7">
        <f>$A11*'GWP of methane by scenario'!K$6+(1-$A11)*'GWP of methane by scenario'!K$8</f>
        <v>27.15789473684206</v>
      </c>
      <c r="L11" s="7">
        <f>$A11*'GWP of methane by scenario'!L$6+(1-$A11)*'GWP of methane by scenario'!L$8</f>
        <v>74.378378378378343</v>
      </c>
      <c r="M11" s="32">
        <f>$A11*'GWP of methane by scenario'!M$6+(1-$A11)*'GWP of methane by scenario'!M$8</f>
        <v>124.22222222222216</v>
      </c>
      <c r="N11" s="32">
        <f>$A11*'GWP of methane by scenario'!N$6+(1-$A11)*'GWP of methane by scenario'!N$8</f>
        <v>176.91428571428565</v>
      </c>
      <c r="O11" s="34">
        <f>$A11*'GWP of methane by scenario'!O$6+(1-$A11)*'GWP of methane by scenario'!O$8</f>
        <v>232.70588235294113</v>
      </c>
      <c r="P11" s="65"/>
      <c r="Q11" s="65"/>
      <c r="R11" s="71"/>
      <c r="S11" s="2"/>
    </row>
    <row r="12" spans="1:19" x14ac:dyDescent="0.25">
      <c r="A12" s="72">
        <f t="shared" si="0"/>
        <v>0.69999999999999973</v>
      </c>
      <c r="B12" s="38">
        <f>$A12*'GWP of methane by scenario'!B$6+(1-$A12)*'GWP of methane by scenario'!B$8</f>
        <v>-28.560000000000027</v>
      </c>
      <c r="C12" s="40">
        <f>$A12*'GWP of methane by scenario'!C$6+(1-$A12)*'GWP of methane by scenario'!C$8</f>
        <v>-11.856410256410284</v>
      </c>
      <c r="D12" s="7">
        <f>$A12*'GWP of methane by scenario'!D$6+(1-$A12)*'GWP of methane by scenario'!D$8</f>
        <v>5.7263157894736629</v>
      </c>
      <c r="E12" s="7">
        <f>$A12*'GWP of methane by scenario'!E$6+(1-$A12)*'GWP of methane by scenario'!E$8</f>
        <v>24.259459459459443</v>
      </c>
      <c r="F12" s="7">
        <f>$A12*'GWP of methane by scenario'!F$6+(1-$A12)*'GWP of methane by scenario'!F$8</f>
        <v>43.822222222222194</v>
      </c>
      <c r="G12" s="7">
        <f>$A12*'GWP of methane by scenario'!G$6+(1-$A12)*'GWP of methane by scenario'!G$8</f>
        <v>64.50285714285711</v>
      </c>
      <c r="H12" s="34">
        <f>$A12*'GWP of methane by scenario'!H$6+(1-$A12)*'GWP of methane by scenario'!H$8</f>
        <v>86.399999999999963</v>
      </c>
      <c r="I12" s="38">
        <f>$A12*'GWP of methane by scenario'!I$6+(1-$A12)*'GWP of methane by scenario'!I$8</f>
        <v>-72.240000000000066</v>
      </c>
      <c r="J12" s="40">
        <f>$A12*'GWP of methane by scenario'!J$6+(1-$A12)*'GWP of methane by scenario'!J$8</f>
        <v>-29.989743589743664</v>
      </c>
      <c r="K12" s="7">
        <f>$A12*'GWP of methane by scenario'!K$6+(1-$A12)*'GWP of methane by scenario'!K$8</f>
        <v>14.484210526315728</v>
      </c>
      <c r="L12" s="7">
        <f>$A12*'GWP of methane by scenario'!L$6+(1-$A12)*'GWP of methane by scenario'!L$8</f>
        <v>61.362162162162107</v>
      </c>
      <c r="M12" s="32">
        <f>$A12*'GWP of methane by scenario'!M$6+(1-$A12)*'GWP of methane by scenario'!M$8</f>
        <v>110.84444444444438</v>
      </c>
      <c r="N12" s="32">
        <f>$A12*'GWP of methane by scenario'!N$6+(1-$A12)*'GWP of methane by scenario'!N$8</f>
        <v>163.15428571428563</v>
      </c>
      <c r="O12" s="34">
        <f>$A12*'GWP of methane by scenario'!O$6+(1-$A12)*'GWP of methane by scenario'!O$8</f>
        <v>218.54117647058817</v>
      </c>
      <c r="P12" s="65"/>
      <c r="Q12" s="65"/>
      <c r="R12" s="71"/>
      <c r="S12" s="2"/>
    </row>
    <row r="13" spans="1:19" x14ac:dyDescent="0.25">
      <c r="A13" s="72">
        <f t="shared" si="0"/>
        <v>0.64999999999999969</v>
      </c>
      <c r="B13" s="38">
        <f>$A13*'GWP of methane by scenario'!B$6+(1-$A13)*'GWP of methane by scenario'!B$8</f>
        <v>-33.320000000000029</v>
      </c>
      <c r="C13" s="40">
        <f>$A13*'GWP of methane by scenario'!C$6+(1-$A13)*'GWP of methane by scenario'!C$8</f>
        <v>-16.738461538461571</v>
      </c>
      <c r="D13" s="7">
        <f>$A13*'GWP of methane by scenario'!D$6+(1-$A13)*'GWP of methane by scenario'!D$8</f>
        <v>0.715789473684179</v>
      </c>
      <c r="E13" s="7">
        <f>$A13*'GWP of methane by scenario'!E$6+(1-$A13)*'GWP of methane by scenario'!E$8</f>
        <v>19.113513513513485</v>
      </c>
      <c r="F13" s="7">
        <f>$A13*'GWP of methane by scenario'!F$6+(1-$A13)*'GWP of methane by scenario'!F$8</f>
        <v>38.533333333333296</v>
      </c>
      <c r="G13" s="7">
        <f>$A13*'GWP of methane by scenario'!G$6+(1-$A13)*'GWP of methane by scenario'!G$8</f>
        <v>59.062857142857105</v>
      </c>
      <c r="H13" s="34">
        <f>$A13*'GWP of methane by scenario'!H$6+(1-$A13)*'GWP of methane by scenario'!H$8</f>
        <v>80.799999999999955</v>
      </c>
      <c r="I13" s="38">
        <f>$A13*'GWP of methane by scenario'!I$6+(1-$A13)*'GWP of methane by scenario'!I$8</f>
        <v>-84.280000000000072</v>
      </c>
      <c r="J13" s="40">
        <f>$A13*'GWP of methane by scenario'!J$6+(1-$A13)*'GWP of methane by scenario'!J$8</f>
        <v>-42.33846153846163</v>
      </c>
      <c r="K13" s="7">
        <f>$A13*'GWP of methane by scenario'!K$6+(1-$A13)*'GWP of methane by scenario'!K$8</f>
        <v>1.8105263157893958</v>
      </c>
      <c r="L13" s="7">
        <f>$A13*'GWP of methane by scenario'!L$6+(1-$A13)*'GWP of methane by scenario'!L$8</f>
        <v>48.345945945945878</v>
      </c>
      <c r="M13" s="56">
        <f>$A13*'GWP of methane by scenario'!M$6+(1-$A13)*'GWP of methane by scenario'!M$8</f>
        <v>97.466666666666583</v>
      </c>
      <c r="N13" s="32">
        <f>$A13*'GWP of methane by scenario'!N$6+(1-$A13)*'GWP of methane by scenario'!N$8</f>
        <v>149.39428571428562</v>
      </c>
      <c r="O13" s="34">
        <f>$A13*'GWP of methane by scenario'!O$6+(1-$A13)*'GWP of methane by scenario'!O$8</f>
        <v>204.37647058823521</v>
      </c>
      <c r="P13" s="65"/>
      <c r="Q13" s="65"/>
      <c r="R13" s="71"/>
      <c r="S13" s="2"/>
    </row>
    <row r="14" spans="1:19" x14ac:dyDescent="0.25">
      <c r="A14" s="72">
        <f t="shared" si="0"/>
        <v>0.59999999999999964</v>
      </c>
      <c r="B14" s="38">
        <f>$A14*'GWP of methane by scenario'!B$6+(1-$A14)*'GWP of methane by scenario'!B$8</f>
        <v>-38.080000000000034</v>
      </c>
      <c r="C14" s="40">
        <f>$A14*'GWP of methane by scenario'!C$6+(1-$A14)*'GWP of methane by scenario'!C$8</f>
        <v>-21.620512820512861</v>
      </c>
      <c r="D14" s="40">
        <f>$A14*'GWP of methane by scenario'!D$6+(1-$A14)*'GWP of methane by scenario'!D$8</f>
        <v>-4.2947368421052978</v>
      </c>
      <c r="E14" s="7">
        <f>$A14*'GWP of methane by scenario'!E$6+(1-$A14)*'GWP of methane by scenario'!E$8</f>
        <v>13.967567567567535</v>
      </c>
      <c r="F14" s="7">
        <f>$A14*'GWP of methane by scenario'!F$6+(1-$A14)*'GWP of methane by scenario'!F$8</f>
        <v>33.244444444444404</v>
      </c>
      <c r="G14" s="7">
        <f>$A14*'GWP of methane by scenario'!G$6+(1-$A14)*'GWP of methane by scenario'!G$8</f>
        <v>53.6228571428571</v>
      </c>
      <c r="H14" s="57">
        <f>$A14*'GWP of methane by scenario'!H$6+(1-$A14)*'GWP of methane by scenario'!H$8</f>
        <v>75.19999999999996</v>
      </c>
      <c r="I14" s="38">
        <f>$A14*'GWP of methane by scenario'!I$6+(1-$A14)*'GWP of methane by scenario'!I$8</f>
        <v>-96.320000000000093</v>
      </c>
      <c r="J14" s="40">
        <f>$A14*'GWP of methane by scenario'!J$6+(1-$A14)*'GWP of methane by scenario'!J$8</f>
        <v>-54.687179487179591</v>
      </c>
      <c r="K14" s="40">
        <f>$A14*'GWP of methane by scenario'!K$6+(1-$A14)*'GWP of methane by scenario'!K$8</f>
        <v>-10.863157894736936</v>
      </c>
      <c r="L14" s="7">
        <f>$A14*'GWP of methane by scenario'!L$6+(1-$A14)*'GWP of methane by scenario'!L$8</f>
        <v>35.32972972972965</v>
      </c>
      <c r="M14" s="7">
        <f>$A14*'GWP of methane by scenario'!M$6+(1-$A14)*'GWP of methane by scenario'!M$8</f>
        <v>84.088888888888789</v>
      </c>
      <c r="N14" s="32">
        <f>$A14*'GWP of methane by scenario'!N$6+(1-$A14)*'GWP of methane by scenario'!N$8</f>
        <v>135.63428571428562</v>
      </c>
      <c r="O14" s="34">
        <f>$A14*'GWP of methane by scenario'!O$6+(1-$A14)*'GWP of methane by scenario'!O$8</f>
        <v>190.21176470588227</v>
      </c>
      <c r="P14" s="65"/>
      <c r="Q14" s="65"/>
      <c r="R14" s="71"/>
      <c r="S14" s="2"/>
    </row>
    <row r="15" spans="1:19" x14ac:dyDescent="0.25">
      <c r="A15" s="72">
        <f t="shared" si="0"/>
        <v>0.5499999999999996</v>
      </c>
      <c r="B15" s="38">
        <f>$A15*'GWP of methane by scenario'!B$6+(1-$A15)*'GWP of methane by scenario'!B$8</f>
        <v>-42.840000000000039</v>
      </c>
      <c r="C15" s="40">
        <f>$A15*'GWP of methane by scenario'!C$6+(1-$A15)*'GWP of methane by scenario'!C$8</f>
        <v>-26.502564102564143</v>
      </c>
      <c r="D15" s="40">
        <f>$A15*'GWP of methane by scenario'!D$6+(1-$A15)*'GWP of methane by scenario'!D$8</f>
        <v>-9.3052631578947782</v>
      </c>
      <c r="E15" s="7">
        <f>$A15*'GWP of methane by scenario'!E$6+(1-$A15)*'GWP of methane by scenario'!E$8</f>
        <v>8.8216216216215884</v>
      </c>
      <c r="F15" s="7">
        <f>$A15*'GWP of methane by scenario'!F$6+(1-$A15)*'GWP of methane by scenario'!F$8</f>
        <v>27.955555555555513</v>
      </c>
      <c r="G15" s="7">
        <f>$A15*'GWP of methane by scenario'!G$6+(1-$A15)*'GWP of methane by scenario'!G$8</f>
        <v>48.182857142857095</v>
      </c>
      <c r="H15" s="8">
        <f>$A15*'GWP of methane by scenario'!H$6+(1-$A15)*'GWP of methane by scenario'!H$8</f>
        <v>69.599999999999952</v>
      </c>
      <c r="I15" s="38">
        <f>$A15*'GWP of methane by scenario'!I$6+(1-$A15)*'GWP of methane by scenario'!I$8</f>
        <v>-108.3600000000001</v>
      </c>
      <c r="J15" s="40">
        <f>$A15*'GWP of methane by scenario'!J$6+(1-$A15)*'GWP of methane by scenario'!J$8</f>
        <v>-67.035897435897567</v>
      </c>
      <c r="K15" s="40">
        <f>$A15*'GWP of methane by scenario'!K$6+(1-$A15)*'GWP of methane by scenario'!K$8</f>
        <v>-23.536842105263268</v>
      </c>
      <c r="L15" s="7">
        <f>$A15*'GWP of methane by scenario'!L$6+(1-$A15)*'GWP of methane by scenario'!L$8</f>
        <v>22.313513513513421</v>
      </c>
      <c r="M15" s="7">
        <f>$A15*'GWP of methane by scenario'!M$6+(1-$A15)*'GWP of methane by scenario'!M$8</f>
        <v>70.711111111111009</v>
      </c>
      <c r="N15" s="32">
        <f>$A15*'GWP of methane by scenario'!N$6+(1-$A15)*'GWP of methane by scenario'!N$8</f>
        <v>121.87428571428561</v>
      </c>
      <c r="O15" s="34">
        <f>$A15*'GWP of methane by scenario'!O$6+(1-$A15)*'GWP of methane by scenario'!O$8</f>
        <v>176.04705882352928</v>
      </c>
      <c r="P15" s="65"/>
      <c r="Q15" s="65"/>
      <c r="R15" s="71"/>
      <c r="S15" s="2"/>
    </row>
    <row r="16" spans="1:19" x14ac:dyDescent="0.25">
      <c r="A16" s="72">
        <f t="shared" si="0"/>
        <v>0.49999999999999961</v>
      </c>
      <c r="B16" s="38">
        <f>$A16*'GWP of methane by scenario'!B$6+(1-$A16)*'GWP of methane by scenario'!B$8</f>
        <v>-47.600000000000044</v>
      </c>
      <c r="C16" s="40">
        <f>$A16*'GWP of methane by scenario'!C$6+(1-$A16)*'GWP of methane by scenario'!C$8</f>
        <v>-31.384615384615433</v>
      </c>
      <c r="D16" s="40">
        <f>$A16*'GWP of methane by scenario'!D$6+(1-$A16)*'GWP of methane by scenario'!D$8</f>
        <v>-14.315789473684255</v>
      </c>
      <c r="E16" s="7">
        <f>$A16*'GWP of methane by scenario'!E$6+(1-$A16)*'GWP of methane by scenario'!E$8</f>
        <v>3.6756756756756381</v>
      </c>
      <c r="F16" s="7">
        <f>$A16*'GWP of methane by scenario'!F$6+(1-$A16)*'GWP of methane by scenario'!F$8</f>
        <v>22.666666666666622</v>
      </c>
      <c r="G16" s="7">
        <f>$A16*'GWP of methane by scenario'!G$6+(1-$A16)*'GWP of methane by scenario'!G$8</f>
        <v>42.742857142857098</v>
      </c>
      <c r="H16" s="8">
        <f>$A16*'GWP of methane by scenario'!H$6+(1-$A16)*'GWP of methane by scenario'!H$8</f>
        <v>63.999999999999943</v>
      </c>
      <c r="I16" s="38">
        <f>$A16*'GWP of methane by scenario'!I$6+(1-$A16)*'GWP of methane by scenario'!I$8</f>
        <v>-120.40000000000012</v>
      </c>
      <c r="J16" s="40">
        <f>$A16*'GWP of methane by scenario'!J$6+(1-$A16)*'GWP of methane by scenario'!J$8</f>
        <v>-79.3846153846155</v>
      </c>
      <c r="K16" s="40">
        <f>$A16*'GWP of methane by scenario'!K$6+(1-$A16)*'GWP of methane by scenario'!K$8</f>
        <v>-36.210526315789586</v>
      </c>
      <c r="L16" s="7">
        <f>$A16*'GWP of methane by scenario'!L$6+(1-$A16)*'GWP of methane by scenario'!L$8</f>
        <v>9.2972972972971988</v>
      </c>
      <c r="M16" s="7">
        <f>$A16*'GWP of methane by scenario'!M$6+(1-$A16)*'GWP of methane by scenario'!M$8</f>
        <v>57.333333333333222</v>
      </c>
      <c r="N16" s="32">
        <f>$A16*'GWP of methane by scenario'!N$6+(1-$A16)*'GWP of methane by scenario'!N$8</f>
        <v>108.11428571428559</v>
      </c>
      <c r="O16" s="34">
        <f>$A16*'GWP of methane by scenario'!O$6+(1-$A16)*'GWP of methane by scenario'!O$8</f>
        <v>161.88235294117635</v>
      </c>
      <c r="P16" s="65"/>
      <c r="Q16" s="65"/>
      <c r="R16" s="71"/>
      <c r="S16" s="2"/>
    </row>
    <row r="17" spans="1:19" x14ac:dyDescent="0.25">
      <c r="A17" s="72">
        <f t="shared" si="0"/>
        <v>0.44999999999999962</v>
      </c>
      <c r="B17" s="38">
        <f>$A17*'GWP of methane by scenario'!B$6+(1-$A17)*'GWP of methane by scenario'!B$8</f>
        <v>-52.360000000000035</v>
      </c>
      <c r="C17" s="40">
        <f>$A17*'GWP of methane by scenario'!C$6+(1-$A17)*'GWP of methane by scenario'!C$8</f>
        <v>-36.266666666666708</v>
      </c>
      <c r="D17" s="40">
        <f>$A17*'GWP of methane by scenario'!D$6+(1-$A17)*'GWP of methane by scenario'!D$8</f>
        <v>-19.326315789473725</v>
      </c>
      <c r="E17" s="40">
        <f>$A17*'GWP of methane by scenario'!E$6+(1-$A17)*'GWP of methane by scenario'!E$8</f>
        <v>-1.470270270270305</v>
      </c>
      <c r="F17" s="7">
        <f>$A17*'GWP of methane by scenario'!F$6+(1-$A17)*'GWP of methane by scenario'!F$8</f>
        <v>17.377777777777734</v>
      </c>
      <c r="G17" s="7">
        <f>$A17*'GWP of methane by scenario'!G$6+(1-$A17)*'GWP of methane by scenario'!G$8</f>
        <v>37.302857142857093</v>
      </c>
      <c r="H17" s="8">
        <f>$A17*'GWP of methane by scenario'!H$6+(1-$A17)*'GWP of methane by scenario'!H$8</f>
        <v>58.399999999999949</v>
      </c>
      <c r="I17" s="38">
        <f>$A17*'GWP of methane by scenario'!I$6+(1-$A17)*'GWP of methane by scenario'!I$8</f>
        <v>-132.44000000000008</v>
      </c>
      <c r="J17" s="40">
        <f>$A17*'GWP of methane by scenario'!J$6+(1-$A17)*'GWP of methane by scenario'!J$8</f>
        <v>-91.733333333333462</v>
      </c>
      <c r="K17" s="40">
        <f>$A17*'GWP of methane by scenario'!K$6+(1-$A17)*'GWP of methane by scenario'!K$8</f>
        <v>-48.88421052631589</v>
      </c>
      <c r="L17" s="40">
        <f>$A17*'GWP of methane by scenario'!L$6+(1-$A17)*'GWP of methane by scenario'!L$8</f>
        <v>-3.7189189189190017</v>
      </c>
      <c r="M17" s="7">
        <f>$A17*'GWP of methane by scenario'!M$6+(1-$A17)*'GWP of methane by scenario'!M$8</f>
        <v>43.955555555555449</v>
      </c>
      <c r="N17" s="56">
        <f>$A17*'GWP of methane by scenario'!N$6+(1-$A17)*'GWP of methane by scenario'!N$8</f>
        <v>94.354285714285595</v>
      </c>
      <c r="O17" s="34">
        <f>$A17*'GWP of methane by scenario'!O$6+(1-$A17)*'GWP of methane by scenario'!O$8</f>
        <v>147.71764705882342</v>
      </c>
      <c r="P17" s="65"/>
      <c r="Q17" s="65"/>
      <c r="R17" s="71"/>
      <c r="S17" s="2"/>
    </row>
    <row r="18" spans="1:19" x14ac:dyDescent="0.25">
      <c r="A18" s="72">
        <f t="shared" si="0"/>
        <v>0.39999999999999963</v>
      </c>
      <c r="B18" s="38">
        <f>$A18*'GWP of methane by scenario'!B$6+(1-$A18)*'GWP of methane by scenario'!B$8</f>
        <v>-57.120000000000033</v>
      </c>
      <c r="C18" s="40">
        <f>$A18*'GWP of methane by scenario'!C$6+(1-$A18)*'GWP of methane by scenario'!C$8</f>
        <v>-41.148717948717987</v>
      </c>
      <c r="D18" s="40">
        <f>$A18*'GWP of methane by scenario'!D$6+(1-$A18)*'GWP of methane by scenario'!D$8</f>
        <v>-24.336842105263194</v>
      </c>
      <c r="E18" s="40">
        <f>$A18*'GWP of methane by scenario'!E$6+(1-$A18)*'GWP of methane by scenario'!E$8</f>
        <v>-6.6162162162162446</v>
      </c>
      <c r="F18" s="7">
        <f>$A18*'GWP of methane by scenario'!F$6+(1-$A18)*'GWP of methane by scenario'!F$8</f>
        <v>12.088888888888849</v>
      </c>
      <c r="G18" s="7">
        <f>$A18*'GWP of methane by scenario'!G$6+(1-$A18)*'GWP of methane by scenario'!G$8</f>
        <v>31.862857142857095</v>
      </c>
      <c r="H18" s="8">
        <f>$A18*'GWP of methane by scenario'!H$6+(1-$A18)*'GWP of methane by scenario'!H$8</f>
        <v>52.799999999999955</v>
      </c>
      <c r="I18" s="38">
        <f>$A18*'GWP of methane by scenario'!I$6+(1-$A18)*'GWP of methane by scenario'!I$8</f>
        <v>-144.48000000000008</v>
      </c>
      <c r="J18" s="40">
        <f>$A18*'GWP of methane by scenario'!J$6+(1-$A18)*'GWP of methane by scenario'!J$8</f>
        <v>-104.0820512820514</v>
      </c>
      <c r="K18" s="40">
        <f>$A18*'GWP of methane by scenario'!K$6+(1-$A18)*'GWP of methane by scenario'!K$8</f>
        <v>-61.557894736842208</v>
      </c>
      <c r="L18" s="40">
        <f>$A18*'GWP of methane by scenario'!L$6+(1-$A18)*'GWP of methane by scenario'!L$8</f>
        <v>-16.735135135135216</v>
      </c>
      <c r="M18" s="7">
        <f>$A18*'GWP of methane by scenario'!M$6+(1-$A18)*'GWP of methane by scenario'!M$8</f>
        <v>30.577777777777676</v>
      </c>
      <c r="N18" s="7">
        <f>$A18*'GWP of methane by scenario'!N$6+(1-$A18)*'GWP of methane by scenario'!N$8</f>
        <v>80.594285714285604</v>
      </c>
      <c r="O18" s="34">
        <f>$A18*'GWP of methane by scenario'!O$6+(1-$A18)*'GWP of methane by scenario'!O$8</f>
        <v>133.55294117647048</v>
      </c>
      <c r="P18" s="65"/>
      <c r="Q18" s="65"/>
      <c r="R18" s="71"/>
      <c r="S18" s="2"/>
    </row>
    <row r="19" spans="1:19" x14ac:dyDescent="0.25">
      <c r="A19" s="72">
        <f t="shared" si="0"/>
        <v>0.34999999999999964</v>
      </c>
      <c r="B19" s="38">
        <f>$A19*'GWP of methane by scenario'!B$6+(1-$A19)*'GWP of methane by scenario'!B$8</f>
        <v>-61.880000000000038</v>
      </c>
      <c r="C19" s="40">
        <f>$A19*'GWP of methane by scenario'!C$6+(1-$A19)*'GWP of methane by scenario'!C$8</f>
        <v>-46.030769230769273</v>
      </c>
      <c r="D19" s="40">
        <f>$A19*'GWP of methane by scenario'!D$6+(1-$A19)*'GWP of methane by scenario'!D$8</f>
        <v>-29.347368421052675</v>
      </c>
      <c r="E19" s="40">
        <f>$A19*'GWP of methane by scenario'!E$6+(1-$A19)*'GWP of methane by scenario'!E$8</f>
        <v>-11.762162162162195</v>
      </c>
      <c r="F19" s="7">
        <f>$A19*'GWP of methane by scenario'!F$6+(1-$A19)*'GWP of methane by scenario'!F$8</f>
        <v>6.7999999999999581</v>
      </c>
      <c r="G19" s="7">
        <f>$A19*'GWP of methane by scenario'!G$6+(1-$A19)*'GWP of methane by scenario'!G$8</f>
        <v>26.422857142857097</v>
      </c>
      <c r="H19" s="8">
        <f>$A19*'GWP of methane by scenario'!H$6+(1-$A19)*'GWP of methane by scenario'!H$8</f>
        <v>47.199999999999953</v>
      </c>
      <c r="I19" s="38">
        <f>$A19*'GWP of methane by scenario'!I$6+(1-$A19)*'GWP of methane by scenario'!I$8</f>
        <v>-156.5200000000001</v>
      </c>
      <c r="J19" s="40">
        <f>$A19*'GWP of methane by scenario'!J$6+(1-$A19)*'GWP of methane by scenario'!J$8</f>
        <v>-116.43076923076934</v>
      </c>
      <c r="K19" s="40">
        <f>$A19*'GWP of methane by scenario'!K$6+(1-$A19)*'GWP of methane by scenario'!K$8</f>
        <v>-74.231578947368519</v>
      </c>
      <c r="L19" s="40">
        <f>$A19*'GWP of methane by scenario'!L$6+(1-$A19)*'GWP of methane by scenario'!L$8</f>
        <v>-29.751351351351424</v>
      </c>
      <c r="M19" s="7">
        <f>$A19*'GWP of methane by scenario'!M$6+(1-$A19)*'GWP of methane by scenario'!M$8</f>
        <v>17.199999999999903</v>
      </c>
      <c r="N19" s="7">
        <f>$A19*'GWP of methane by scenario'!N$6+(1-$A19)*'GWP of methane by scenario'!N$8</f>
        <v>66.834285714285599</v>
      </c>
      <c r="O19" s="34">
        <f>$A19*'GWP of methane by scenario'!O$6+(1-$A19)*'GWP of methane by scenario'!O$8</f>
        <v>119.38823529411754</v>
      </c>
      <c r="P19" s="65"/>
      <c r="Q19" s="65"/>
      <c r="R19" s="71"/>
      <c r="S19" s="2"/>
    </row>
    <row r="20" spans="1:19" x14ac:dyDescent="0.25">
      <c r="A20" s="72">
        <f t="shared" si="0"/>
        <v>0.29999999999999966</v>
      </c>
      <c r="B20" s="38">
        <f>$A20*'GWP of methane by scenario'!B$6+(1-$A20)*'GWP of methane by scenario'!B$8</f>
        <v>-66.640000000000043</v>
      </c>
      <c r="C20" s="40">
        <f>$A20*'GWP of methane by scenario'!C$6+(1-$A20)*'GWP of methane by scenario'!C$8</f>
        <v>-50.912820512820559</v>
      </c>
      <c r="D20" s="40">
        <f>$A20*'GWP of methane by scenario'!D$6+(1-$A20)*'GWP of methane by scenario'!D$8</f>
        <v>-34.357894736842148</v>
      </c>
      <c r="E20" s="40">
        <f>$A20*'GWP of methane by scenario'!E$6+(1-$A20)*'GWP of methane by scenario'!E$8</f>
        <v>-16.908108108108141</v>
      </c>
      <c r="F20" s="7">
        <f>$A20*'GWP of methane by scenario'!F$6+(1-$A20)*'GWP of methane by scenario'!F$8</f>
        <v>1.5111111111110667</v>
      </c>
      <c r="G20" s="7">
        <f>$A20*'GWP of methane by scenario'!G$6+(1-$A20)*'GWP of methane by scenario'!G$8</f>
        <v>20.982857142857092</v>
      </c>
      <c r="H20" s="8">
        <f>$A20*'GWP of methane by scenario'!H$6+(1-$A20)*'GWP of methane by scenario'!H$8</f>
        <v>41.599999999999952</v>
      </c>
      <c r="I20" s="38">
        <f>$A20*'GWP of methane by scenario'!I$6+(1-$A20)*'GWP of methane by scenario'!I$8</f>
        <v>-168.56000000000012</v>
      </c>
      <c r="J20" s="40">
        <f>$A20*'GWP of methane by scenario'!J$6+(1-$A20)*'GWP of methane by scenario'!J$8</f>
        <v>-128.77948717948729</v>
      </c>
      <c r="K20" s="40">
        <f>$A20*'GWP of methane by scenario'!K$6+(1-$A20)*'GWP of methane by scenario'!K$8</f>
        <v>-86.905263157894851</v>
      </c>
      <c r="L20" s="40">
        <f>$A20*'GWP of methane by scenario'!L$6+(1-$A20)*'GWP of methane by scenario'!L$8</f>
        <v>-42.767567567567653</v>
      </c>
      <c r="M20" s="7">
        <f>$A20*'GWP of methane by scenario'!M$6+(1-$A20)*'GWP of methane by scenario'!M$8</f>
        <v>3.8222222222221234</v>
      </c>
      <c r="N20" s="7">
        <f>$A20*'GWP of methane by scenario'!N$6+(1-$A20)*'GWP of methane by scenario'!N$8</f>
        <v>53.074285714285608</v>
      </c>
      <c r="O20" s="57">
        <f>$A20*'GWP of methane by scenario'!O$6+(1-$A20)*'GWP of methane by scenario'!O$8</f>
        <v>105.22352941176459</v>
      </c>
      <c r="P20" s="65"/>
      <c r="Q20" s="65"/>
      <c r="R20" s="71"/>
      <c r="S20" s="2"/>
    </row>
    <row r="21" spans="1:19" x14ac:dyDescent="0.25">
      <c r="A21" s="72">
        <f t="shared" si="0"/>
        <v>0.24999999999999967</v>
      </c>
      <c r="B21" s="38">
        <f>$A21*'GWP of methane by scenario'!B$6+(1-$A21)*'GWP of methane by scenario'!B$8</f>
        <v>-71.400000000000034</v>
      </c>
      <c r="C21" s="40">
        <f>$A21*'GWP of methane by scenario'!C$6+(1-$A21)*'GWP of methane by scenario'!C$8</f>
        <v>-55.794871794871838</v>
      </c>
      <c r="D21" s="40">
        <f>$A21*'GWP of methane by scenario'!D$6+(1-$A21)*'GWP of methane by scenario'!D$8</f>
        <v>-39.368421052631618</v>
      </c>
      <c r="E21" s="40">
        <f>$A21*'GWP of methane by scenario'!E$6+(1-$A21)*'GWP of methane by scenario'!E$8</f>
        <v>-22.054054054054085</v>
      </c>
      <c r="F21" s="40">
        <f>$A21*'GWP of methane by scenario'!F$6+(1-$A21)*'GWP of methane by scenario'!F$8</f>
        <v>-3.7777777777778176</v>
      </c>
      <c r="G21" s="7">
        <f>$A21*'GWP of methane by scenario'!G$6+(1-$A21)*'GWP of methane by scenario'!G$8</f>
        <v>15.542857142857098</v>
      </c>
      <c r="H21" s="8">
        <f>$A21*'GWP of methane by scenario'!H$6+(1-$A21)*'GWP of methane by scenario'!H$8</f>
        <v>35.99999999999995</v>
      </c>
      <c r="I21" s="38">
        <f>$A21*'GWP of methane by scenario'!I$6+(1-$A21)*'GWP of methane by scenario'!I$8</f>
        <v>-180.60000000000008</v>
      </c>
      <c r="J21" s="40">
        <f>$A21*'GWP of methane by scenario'!J$6+(1-$A21)*'GWP of methane by scenario'!J$8</f>
        <v>-141.12820512820522</v>
      </c>
      <c r="K21" s="40">
        <f>$A21*'GWP of methane by scenario'!K$6+(1-$A21)*'GWP of methane by scenario'!K$8</f>
        <v>-99.578947368421154</v>
      </c>
      <c r="L21" s="40">
        <f>$A21*'GWP of methane by scenario'!L$6+(1-$A21)*'GWP of methane by scenario'!L$8</f>
        <v>-55.783783783783868</v>
      </c>
      <c r="M21" s="40">
        <f>$A21*'GWP of methane by scenario'!M$6+(1-$A21)*'GWP of methane by scenario'!M$8</f>
        <v>-9.5555555555556566</v>
      </c>
      <c r="N21" s="7">
        <f>$A21*'GWP of methane by scenario'!N$6+(1-$A21)*'GWP of methane by scenario'!N$8</f>
        <v>39.314285714285603</v>
      </c>
      <c r="O21" s="8">
        <f>$A21*'GWP of methane by scenario'!O$6+(1-$A21)*'GWP of methane by scenario'!O$8</f>
        <v>91.058823529411654</v>
      </c>
      <c r="P21" s="65"/>
      <c r="Q21" s="65"/>
      <c r="R21" s="71"/>
      <c r="S21" s="2"/>
    </row>
    <row r="22" spans="1:19" x14ac:dyDescent="0.25">
      <c r="A22" s="72">
        <f t="shared" si="0"/>
        <v>0.19999999999999968</v>
      </c>
      <c r="B22" s="38">
        <f>$A22*'GWP of methane by scenario'!B$6+(1-$A22)*'GWP of methane by scenario'!B$8</f>
        <v>-76.160000000000025</v>
      </c>
      <c r="C22" s="40">
        <f>$A22*'GWP of methane by scenario'!C$6+(1-$A22)*'GWP of methane by scenario'!C$8</f>
        <v>-60.67692307692311</v>
      </c>
      <c r="D22" s="40">
        <f>$A22*'GWP of methane by scenario'!D$6+(1-$A22)*'GWP of methane by scenario'!D$8</f>
        <v>-44.378947368421088</v>
      </c>
      <c r="E22" s="40">
        <f>$A22*'GWP of methane by scenario'!E$6+(1-$A22)*'GWP of methane by scenario'!E$8</f>
        <v>-27.200000000000031</v>
      </c>
      <c r="F22" s="40">
        <f>$A22*'GWP of methane by scenario'!F$6+(1-$A22)*'GWP of methane by scenario'!F$8</f>
        <v>-9.0666666666667037</v>
      </c>
      <c r="G22" s="7">
        <f>$A22*'GWP of methane by scenario'!G$6+(1-$A22)*'GWP of methane by scenario'!G$8</f>
        <v>10.102857142857099</v>
      </c>
      <c r="H22" s="8">
        <f>$A22*'GWP of methane by scenario'!H$6+(1-$A22)*'GWP of methane by scenario'!H$8</f>
        <v>30.399999999999949</v>
      </c>
      <c r="I22" s="38">
        <f>$A22*'GWP of methane by scenario'!I$6+(1-$A22)*'GWP of methane by scenario'!I$8</f>
        <v>-192.64000000000007</v>
      </c>
      <c r="J22" s="40">
        <f>$A22*'GWP of methane by scenario'!J$6+(1-$A22)*'GWP of methane by scenario'!J$8</f>
        <v>-153.47692307692319</v>
      </c>
      <c r="K22" s="40">
        <f>$A22*'GWP of methane by scenario'!K$6+(1-$A22)*'GWP of methane by scenario'!K$8</f>
        <v>-112.25263157894747</v>
      </c>
      <c r="L22" s="40">
        <f>$A22*'GWP of methane by scenario'!L$6+(1-$A22)*'GWP of methane by scenario'!L$8</f>
        <v>-68.800000000000068</v>
      </c>
      <c r="M22" s="40">
        <f>$A22*'GWP of methane by scenario'!M$6+(1-$A22)*'GWP of methane by scenario'!M$8</f>
        <v>-22.933333333333422</v>
      </c>
      <c r="N22" s="7">
        <f>$A22*'GWP of methane by scenario'!N$6+(1-$A22)*'GWP of methane by scenario'!N$8</f>
        <v>25.554285714285609</v>
      </c>
      <c r="O22" s="8">
        <f>$A22*'GWP of methane by scenario'!O$6+(1-$A22)*'GWP of methane by scenario'!O$8</f>
        <v>76.894117647058707</v>
      </c>
      <c r="P22" s="65"/>
      <c r="Q22" s="65"/>
      <c r="R22" s="71"/>
      <c r="S22" s="2"/>
    </row>
    <row r="23" spans="1:19" x14ac:dyDescent="0.25">
      <c r="A23" s="72">
        <f t="shared" si="0"/>
        <v>0.14999999999999969</v>
      </c>
      <c r="B23" s="38">
        <f>$A23*'GWP of methane by scenario'!B$6+(1-$A23)*'GWP of methane by scenario'!B$8</f>
        <v>-80.92000000000003</v>
      </c>
      <c r="C23" s="40">
        <f>$A23*'GWP of methane by scenario'!C$6+(1-$A23)*'GWP of methane by scenario'!C$8</f>
        <v>-65.558974358974396</v>
      </c>
      <c r="D23" s="40">
        <f>$A23*'GWP of methane by scenario'!D$6+(1-$A23)*'GWP of methane by scenario'!D$8</f>
        <v>-49.389473684210564</v>
      </c>
      <c r="E23" s="40">
        <f>$A23*'GWP of methane by scenario'!E$6+(1-$A23)*'GWP of methane by scenario'!E$8</f>
        <v>-32.345945945945978</v>
      </c>
      <c r="F23" s="40">
        <f>$A23*'GWP of methane by scenario'!F$6+(1-$A23)*'GWP of methane by scenario'!F$8</f>
        <v>-14.355555555555593</v>
      </c>
      <c r="G23" s="7">
        <f>$A23*'GWP of methane by scenario'!G$6+(1-$A23)*'GWP of methane by scenario'!G$8</f>
        <v>4.6628571428571011</v>
      </c>
      <c r="H23" s="8">
        <f>$A23*'GWP of methane by scenario'!H$6+(1-$A23)*'GWP of methane by scenario'!H$8</f>
        <v>24.799999999999955</v>
      </c>
      <c r="I23" s="38">
        <f>$A23*'GWP of methane by scenario'!I$6+(1-$A23)*'GWP of methane by scenario'!I$8</f>
        <v>-204.68000000000009</v>
      </c>
      <c r="J23" s="40">
        <f>$A23*'GWP of methane by scenario'!J$6+(1-$A23)*'GWP of methane by scenario'!J$8</f>
        <v>-165.82564102564112</v>
      </c>
      <c r="K23" s="40">
        <f>$A23*'GWP of methane by scenario'!K$6+(1-$A23)*'GWP of methane by scenario'!K$8</f>
        <v>-124.92631578947378</v>
      </c>
      <c r="L23" s="40">
        <f>$A23*'GWP of methane by scenario'!L$6+(1-$A23)*'GWP of methane by scenario'!L$8</f>
        <v>-81.81621621621629</v>
      </c>
      <c r="M23" s="40">
        <f>$A23*'GWP of methane by scenario'!M$6+(1-$A23)*'GWP of methane by scenario'!M$8</f>
        <v>-36.311111111111209</v>
      </c>
      <c r="N23" s="7">
        <f>$A23*'GWP of methane by scenario'!N$6+(1-$A23)*'GWP of methane by scenario'!N$8</f>
        <v>11.794285714285607</v>
      </c>
      <c r="O23" s="8">
        <f>$A23*'GWP of methane by scenario'!O$6+(1-$A23)*'GWP of methane by scenario'!O$8</f>
        <v>62.729411764705766</v>
      </c>
      <c r="P23" s="65"/>
      <c r="Q23" s="65"/>
      <c r="R23" s="71"/>
      <c r="S23" s="2"/>
    </row>
    <row r="24" spans="1:19" x14ac:dyDescent="0.25">
      <c r="A24" s="72">
        <f t="shared" si="0"/>
        <v>9.9999999999999686E-2</v>
      </c>
      <c r="B24" s="38">
        <f>$A24*'GWP of methane by scenario'!B$6+(1-$A24)*'GWP of methane by scenario'!B$8</f>
        <v>-85.680000000000035</v>
      </c>
      <c r="C24" s="40">
        <f>$A24*'GWP of methane by scenario'!C$6+(1-$A24)*'GWP of methane by scenario'!C$8</f>
        <v>-70.441025641025689</v>
      </c>
      <c r="D24" s="40">
        <f>$A24*'GWP of methane by scenario'!D$6+(1-$A24)*'GWP of methane by scenario'!D$8</f>
        <v>-54.400000000000048</v>
      </c>
      <c r="E24" s="40">
        <f>$A24*'GWP of methane by scenario'!E$6+(1-$A24)*'GWP of methane by scenario'!E$8</f>
        <v>-37.491891891891925</v>
      </c>
      <c r="F24" s="40">
        <f>$A24*'GWP of methane by scenario'!F$6+(1-$A24)*'GWP of methane by scenario'!F$8</f>
        <v>-19.644444444444485</v>
      </c>
      <c r="G24" s="40">
        <f>$A24*'GWP of methane by scenario'!G$6+(1-$A24)*'GWP of methane by scenario'!G$8</f>
        <v>-0.77714285714290199</v>
      </c>
      <c r="H24" s="8">
        <f>$A24*'GWP of methane by scenario'!H$6+(1-$A24)*'GWP of methane by scenario'!H$8</f>
        <v>19.199999999999953</v>
      </c>
      <c r="I24" s="38">
        <f>$A24*'GWP of methane by scenario'!I$6+(1-$A24)*'GWP of methane by scenario'!I$8</f>
        <v>-216.72000000000008</v>
      </c>
      <c r="J24" s="40">
        <f>$A24*'GWP of methane by scenario'!J$6+(1-$A24)*'GWP of methane by scenario'!J$8</f>
        <v>-178.17435897435908</v>
      </c>
      <c r="K24" s="40">
        <f>$A24*'GWP of methane by scenario'!K$6+(1-$A24)*'GWP of methane by scenario'!K$8</f>
        <v>-137.60000000000011</v>
      </c>
      <c r="L24" s="40">
        <f>$A24*'GWP of methane by scenario'!L$6+(1-$A24)*'GWP of methane by scenario'!L$8</f>
        <v>-94.832432432432512</v>
      </c>
      <c r="M24" s="40">
        <f>$A24*'GWP of methane by scenario'!M$6+(1-$A24)*'GWP of methane by scenario'!M$8</f>
        <v>-49.688888888888989</v>
      </c>
      <c r="N24" s="40">
        <f>$A24*'GWP of methane by scenario'!N$6+(1-$A24)*'GWP of methane by scenario'!N$8</f>
        <v>-1.9657142857143981</v>
      </c>
      <c r="O24" s="8">
        <f>$A24*'GWP of methane by scenario'!O$6+(1-$A24)*'GWP of methane by scenario'!O$8</f>
        <v>48.564705882352825</v>
      </c>
      <c r="P24" s="65"/>
      <c r="Q24" s="65"/>
      <c r="R24" s="71"/>
      <c r="S24" s="2"/>
    </row>
    <row r="25" spans="1:19" x14ac:dyDescent="0.25">
      <c r="A25" s="72">
        <f t="shared" si="0"/>
        <v>4.9999999999999684E-2</v>
      </c>
      <c r="B25" s="38">
        <f>$A25*'GWP of methane by scenario'!B$6+(1-$A25)*'GWP of methane by scenario'!B$8</f>
        <v>-90.440000000000026</v>
      </c>
      <c r="C25" s="40">
        <f>$A25*'GWP of methane by scenario'!C$6+(1-$A25)*'GWP of methane by scenario'!C$8</f>
        <v>-75.323076923076968</v>
      </c>
      <c r="D25" s="40">
        <f>$A25*'GWP of methane by scenario'!D$6+(1-$A25)*'GWP of methane by scenario'!D$8</f>
        <v>-59.410526315789518</v>
      </c>
      <c r="E25" s="40">
        <f>$A25*'GWP of methane by scenario'!E$6+(1-$A25)*'GWP of methane by scenario'!E$8</f>
        <v>-42.637837837837871</v>
      </c>
      <c r="F25" s="40">
        <f>$A25*'GWP of methane by scenario'!F$6+(1-$A25)*'GWP of methane by scenario'!F$8</f>
        <v>-24.933333333333373</v>
      </c>
      <c r="G25" s="40">
        <f>$A25*'GWP of methane by scenario'!G$6+(1-$A25)*'GWP of methane by scenario'!G$8</f>
        <v>-6.2171428571429006</v>
      </c>
      <c r="H25" s="8">
        <f>$A25*'GWP of methane by scenario'!H$6+(1-$A25)*'GWP of methane by scenario'!H$8</f>
        <v>13.59999999999995</v>
      </c>
      <c r="I25" s="38">
        <f>$A25*'GWP of methane by scenario'!I$6+(1-$A25)*'GWP of methane by scenario'!I$8</f>
        <v>-228.76000000000008</v>
      </c>
      <c r="J25" s="40">
        <f>$A25*'GWP of methane by scenario'!J$6+(1-$A25)*'GWP of methane by scenario'!J$8</f>
        <v>-190.52307692307701</v>
      </c>
      <c r="K25" s="40">
        <f>$A25*'GWP of methane by scenario'!K$6+(1-$A25)*'GWP of methane by scenario'!K$8</f>
        <v>-150.27368421052643</v>
      </c>
      <c r="L25" s="40">
        <f>$A25*'GWP of methane by scenario'!L$6+(1-$A25)*'GWP of methane by scenario'!L$8</f>
        <v>-107.84864864864872</v>
      </c>
      <c r="M25" s="40">
        <f>$A25*'GWP of methane by scenario'!M$6+(1-$A25)*'GWP of methane by scenario'!M$8</f>
        <v>-63.066666666666769</v>
      </c>
      <c r="N25" s="40">
        <f>$A25*'GWP of methane by scenario'!N$6+(1-$A25)*'GWP of methane by scenario'!N$8</f>
        <v>-15.725714285714398</v>
      </c>
      <c r="O25" s="8">
        <f>$A25*'GWP of methane by scenario'!O$6+(1-$A25)*'GWP of methane by scenario'!O$8</f>
        <v>34.399999999999878</v>
      </c>
      <c r="P25" s="65"/>
      <c r="Q25" s="65"/>
      <c r="R25" s="71"/>
      <c r="S25" s="2"/>
    </row>
    <row r="26" spans="1:19" ht="20" thickBot="1" x14ac:dyDescent="0.3">
      <c r="A26" s="72">
        <f t="shared" si="0"/>
        <v>-3.1918911957973251E-16</v>
      </c>
      <c r="B26" s="39">
        <f>$A26*'GWP of methane by scenario'!B$6+(1-$A26)*'GWP of methane by scenario'!B$8</f>
        <v>-95.200000000000017</v>
      </c>
      <c r="C26" s="41">
        <f>$A26*'GWP of methane by scenario'!C$6+(1-$A26)*'GWP of methane by scenario'!C$8</f>
        <v>-80.205128205128233</v>
      </c>
      <c r="D26" s="41">
        <f>$A26*'GWP of methane by scenario'!D$6+(1-$A26)*'GWP of methane by scenario'!D$8</f>
        <v>-64.421052631578988</v>
      </c>
      <c r="E26" s="41">
        <f>$A26*'GWP of methane by scenario'!E$6+(1-$A26)*'GWP of methane by scenario'!E$8</f>
        <v>-47.783783783783804</v>
      </c>
      <c r="F26" s="41">
        <f>$A26*'GWP of methane by scenario'!F$6+(1-$A26)*'GWP of methane by scenario'!F$8</f>
        <v>-30.222222222222261</v>
      </c>
      <c r="G26" s="41">
        <f>$A26*'GWP of methane by scenario'!G$6+(1-$A26)*'GWP of methane by scenario'!G$8</f>
        <v>-11.657142857142899</v>
      </c>
      <c r="H26" s="26">
        <f>$A26*'GWP of methane by scenario'!H$6+(1-$A26)*'GWP of methane by scenario'!H$8</f>
        <v>7.9999999999999485</v>
      </c>
      <c r="I26" s="39">
        <f>$A26*'GWP of methane by scenario'!I$6+(1-$A26)*'GWP of methane by scenario'!I$8</f>
        <v>-240.80000000000007</v>
      </c>
      <c r="J26" s="41">
        <f>$A26*'GWP of methane by scenario'!J$6+(1-$A26)*'GWP of methane by scenario'!J$8</f>
        <v>-202.87179487179498</v>
      </c>
      <c r="K26" s="41">
        <f>$A26*'GWP of methane by scenario'!K$6+(1-$A26)*'GWP of methane by scenario'!K$8</f>
        <v>-162.94736842105272</v>
      </c>
      <c r="L26" s="41">
        <f>$A26*'GWP of methane by scenario'!L$6+(1-$A26)*'GWP of methane by scenario'!L$8</f>
        <v>-120.86486486486493</v>
      </c>
      <c r="M26" s="41">
        <f>$A26*'GWP of methane by scenario'!M$6+(1-$A26)*'GWP of methane by scenario'!M$8</f>
        <v>-76.444444444444528</v>
      </c>
      <c r="N26" s="41">
        <f>$A26*'GWP of methane by scenario'!N$6+(1-$A26)*'GWP of methane by scenario'!N$8</f>
        <v>-29.485714285714398</v>
      </c>
      <c r="O26" s="26">
        <f>$A26*'GWP of methane by scenario'!O$6+(1-$A26)*'GWP of methane by scenario'!O$8</f>
        <v>20.23529411764693</v>
      </c>
      <c r="P26" s="65"/>
      <c r="Q26" s="65"/>
      <c r="R26" s="71"/>
      <c r="S26" s="2"/>
    </row>
    <row r="27" spans="1:19" x14ac:dyDescent="0.25">
      <c r="A27" s="13"/>
      <c r="B27" s="13"/>
      <c r="C27" s="13"/>
      <c r="D27" s="13"/>
      <c r="E27" s="13"/>
      <c r="F27" s="13"/>
      <c r="G27" s="13"/>
      <c r="H27" s="13"/>
      <c r="I27" s="13"/>
      <c r="J27" s="13"/>
      <c r="K27" s="13"/>
      <c r="L27" s="13"/>
      <c r="M27" s="13"/>
      <c r="N27" s="13"/>
      <c r="O27" s="13"/>
      <c r="P27" s="13"/>
      <c r="Q27" s="13"/>
      <c r="R27" s="13"/>
    </row>
    <row r="28" spans="1:19" x14ac:dyDescent="0.25">
      <c r="A28" s="13"/>
      <c r="B28" s="13"/>
      <c r="C28" s="13"/>
      <c r="D28" s="13"/>
      <c r="E28" s="13"/>
      <c r="F28" s="13"/>
      <c r="G28" s="13"/>
      <c r="H28" s="13"/>
      <c r="I28" s="13"/>
      <c r="J28" s="13"/>
      <c r="K28" s="13"/>
      <c r="L28" s="13"/>
      <c r="M28" s="13"/>
      <c r="N28" s="13"/>
      <c r="O28" s="13"/>
      <c r="P28" s="13"/>
      <c r="Q28" s="13"/>
      <c r="R28" s="13"/>
    </row>
    <row r="29" spans="1:19" x14ac:dyDescent="0.25">
      <c r="A29" s="13"/>
      <c r="B29" s="13"/>
      <c r="C29" s="13"/>
      <c r="D29" s="13"/>
      <c r="E29" s="13"/>
      <c r="F29" s="13"/>
      <c r="G29" s="13"/>
      <c r="H29" s="13"/>
      <c r="I29" s="13"/>
      <c r="J29" s="13"/>
      <c r="K29" s="13"/>
      <c r="L29" s="13"/>
      <c r="M29" s="13"/>
      <c r="N29" s="13"/>
      <c r="O29" s="13"/>
      <c r="P29" s="13"/>
      <c r="Q29" s="13"/>
      <c r="R29" s="13"/>
    </row>
    <row r="30" spans="1:19" x14ac:dyDescent="0.25">
      <c r="A30" s="13"/>
      <c r="B30" s="13"/>
      <c r="C30" s="13"/>
      <c r="D30" s="13"/>
      <c r="E30" s="13"/>
      <c r="F30" s="13"/>
      <c r="G30" s="13"/>
      <c r="H30" s="13"/>
      <c r="I30" s="13"/>
      <c r="J30" s="13"/>
      <c r="K30" s="13"/>
      <c r="L30" s="13"/>
      <c r="M30" s="13"/>
      <c r="N30" s="13"/>
      <c r="O30" s="13"/>
      <c r="P30" s="13"/>
      <c r="Q30" s="13"/>
      <c r="R30" s="13"/>
    </row>
    <row r="31" spans="1:19" x14ac:dyDescent="0.25">
      <c r="A31" s="13"/>
      <c r="B31" s="13"/>
      <c r="C31" s="13"/>
      <c r="D31" s="13"/>
      <c r="E31" s="13"/>
      <c r="F31" s="13"/>
      <c r="G31" s="13"/>
      <c r="H31" s="13"/>
      <c r="I31" s="13"/>
      <c r="J31" s="13"/>
      <c r="K31" s="13"/>
      <c r="L31" s="13"/>
      <c r="M31" s="13"/>
      <c r="N31" s="13"/>
      <c r="O31" s="13"/>
      <c r="P31" s="13"/>
      <c r="Q31" s="13"/>
      <c r="R31" s="13"/>
    </row>
    <row r="32" spans="1:19" x14ac:dyDescent="0.25">
      <c r="A32" s="13"/>
      <c r="B32" s="13"/>
      <c r="C32" s="13"/>
      <c r="D32" s="13"/>
      <c r="E32" s="13"/>
      <c r="F32" s="13"/>
      <c r="G32" s="13"/>
      <c r="H32" s="13"/>
      <c r="I32" s="13"/>
      <c r="J32" s="13"/>
      <c r="K32" s="13"/>
      <c r="L32" s="13"/>
      <c r="M32" s="13"/>
      <c r="N32" s="13"/>
      <c r="O32" s="13"/>
      <c r="P32" s="13"/>
      <c r="Q32" s="13"/>
      <c r="R32" s="13"/>
    </row>
    <row r="33" spans="1:18" x14ac:dyDescent="0.25">
      <c r="A33" s="13"/>
      <c r="B33" s="13"/>
      <c r="C33" s="13"/>
      <c r="D33" s="13"/>
      <c r="E33" s="13"/>
      <c r="F33" s="13"/>
      <c r="G33" s="13"/>
      <c r="H33" s="13"/>
      <c r="I33" s="13"/>
      <c r="J33" s="13"/>
      <c r="K33" s="13"/>
      <c r="L33" s="13"/>
      <c r="M33" s="13"/>
      <c r="N33" s="13"/>
      <c r="O33" s="13"/>
      <c r="P33" s="13"/>
      <c r="Q33" s="13"/>
      <c r="R33" s="13"/>
    </row>
    <row r="34" spans="1:18" x14ac:dyDescent="0.25">
      <c r="A34" s="13"/>
      <c r="B34" s="13"/>
      <c r="C34" s="13"/>
      <c r="D34" s="13"/>
      <c r="E34" s="13"/>
      <c r="F34" s="13"/>
      <c r="G34" s="13"/>
      <c r="H34" s="13"/>
      <c r="I34" s="13"/>
      <c r="J34" s="13"/>
      <c r="K34" s="13"/>
      <c r="L34" s="13"/>
      <c r="M34" s="13"/>
      <c r="N34" s="13"/>
      <c r="O34" s="13"/>
      <c r="P34" s="13"/>
      <c r="Q34" s="13"/>
      <c r="R34" s="13"/>
    </row>
    <row r="35" spans="1:18" x14ac:dyDescent="0.25">
      <c r="A35" s="13"/>
      <c r="B35" s="13"/>
      <c r="C35" s="13"/>
      <c r="D35" s="13"/>
      <c r="E35" s="13"/>
      <c r="F35" s="13"/>
      <c r="G35" s="13"/>
      <c r="H35" s="13"/>
      <c r="I35" s="13"/>
      <c r="J35" s="13"/>
      <c r="K35" s="13"/>
      <c r="L35" s="13"/>
      <c r="M35" s="13"/>
      <c r="N35" s="13"/>
      <c r="O35" s="13"/>
      <c r="P35" s="13"/>
      <c r="Q35" s="13"/>
      <c r="R35" s="13"/>
    </row>
    <row r="36" spans="1:18" x14ac:dyDescent="0.25">
      <c r="A36" s="13"/>
      <c r="B36" s="13"/>
      <c r="C36" s="13"/>
      <c r="D36" s="13"/>
      <c r="E36" s="13"/>
      <c r="F36" s="13"/>
      <c r="G36" s="13"/>
      <c r="H36" s="13"/>
      <c r="I36" s="13"/>
      <c r="J36" s="13"/>
      <c r="K36" s="13"/>
      <c r="L36" s="13"/>
      <c r="M36" s="13"/>
      <c r="N36" s="13"/>
      <c r="O36" s="13"/>
      <c r="P36" s="13"/>
      <c r="Q36" s="13"/>
      <c r="R36" s="13"/>
    </row>
    <row r="37" spans="1:18" x14ac:dyDescent="0.25">
      <c r="A37" s="13"/>
      <c r="B37" s="13"/>
      <c r="C37" s="13"/>
      <c r="D37" s="13"/>
      <c r="E37" s="13"/>
      <c r="F37" s="13"/>
      <c r="G37" s="13"/>
      <c r="H37" s="13"/>
      <c r="I37" s="13"/>
      <c r="J37" s="13"/>
      <c r="K37" s="13"/>
      <c r="L37" s="13"/>
      <c r="M37" s="13"/>
      <c r="N37" s="13"/>
      <c r="O37" s="13"/>
      <c r="P37" s="13"/>
      <c r="Q37" s="13"/>
      <c r="R37" s="13"/>
    </row>
    <row r="38" spans="1:18" x14ac:dyDescent="0.25">
      <c r="A38" s="13"/>
      <c r="B38" s="13"/>
      <c r="C38" s="13"/>
      <c r="D38" s="13"/>
      <c r="E38" s="13"/>
      <c r="F38" s="13"/>
      <c r="G38" s="13"/>
      <c r="H38" s="13"/>
      <c r="I38" s="13"/>
      <c r="J38" s="13"/>
      <c r="K38" s="13"/>
      <c r="L38" s="13"/>
      <c r="M38" s="13"/>
      <c r="N38" s="13"/>
      <c r="O38" s="13"/>
      <c r="P38" s="13"/>
      <c r="Q38" s="13"/>
      <c r="R38" s="13"/>
    </row>
    <row r="39" spans="1:18" x14ac:dyDescent="0.25">
      <c r="A39" s="13"/>
      <c r="B39" s="13"/>
      <c r="C39" s="13"/>
      <c r="D39" s="13"/>
      <c r="E39" s="13"/>
      <c r="F39" s="13"/>
      <c r="G39" s="13"/>
      <c r="H39" s="13"/>
      <c r="I39" s="13"/>
      <c r="J39" s="13"/>
      <c r="K39" s="13"/>
      <c r="L39" s="13"/>
      <c r="M39" s="13"/>
      <c r="N39" s="13"/>
      <c r="O39" s="13"/>
      <c r="P39" s="13"/>
      <c r="Q39" s="13"/>
      <c r="R39" s="13"/>
    </row>
    <row r="40" spans="1:18" x14ac:dyDescent="0.25">
      <c r="A40" s="13"/>
      <c r="B40" s="13"/>
      <c r="C40" s="13"/>
      <c r="D40" s="13"/>
      <c r="E40" s="13"/>
      <c r="F40" s="13"/>
      <c r="G40" s="13"/>
      <c r="H40" s="13"/>
      <c r="I40" s="13"/>
      <c r="J40" s="13"/>
      <c r="K40" s="13"/>
      <c r="L40" s="13"/>
      <c r="M40" s="13"/>
      <c r="N40" s="13"/>
      <c r="O40" s="13"/>
      <c r="P40" s="13"/>
      <c r="Q40" s="13"/>
      <c r="R40" s="13"/>
    </row>
    <row r="41" spans="1:18" x14ac:dyDescent="0.25">
      <c r="A41" s="13"/>
      <c r="B41" s="13"/>
      <c r="C41" s="13"/>
      <c r="D41" s="13"/>
      <c r="E41" s="13"/>
      <c r="F41" s="13"/>
      <c r="G41" s="13"/>
      <c r="H41" s="13"/>
      <c r="I41" s="13"/>
      <c r="J41" s="13"/>
      <c r="K41" s="13"/>
      <c r="L41" s="13"/>
      <c r="M41" s="13"/>
      <c r="N41" s="13"/>
      <c r="O41" s="13"/>
      <c r="P41" s="13"/>
      <c r="Q41" s="13"/>
      <c r="R41" s="13"/>
    </row>
    <row r="42" spans="1:18" x14ac:dyDescent="0.25">
      <c r="A42" s="13"/>
      <c r="B42" s="13"/>
      <c r="C42" s="13"/>
      <c r="D42" s="13"/>
      <c r="E42" s="13"/>
      <c r="F42" s="13"/>
      <c r="G42" s="13"/>
      <c r="H42" s="13"/>
      <c r="I42" s="13"/>
      <c r="J42" s="13"/>
      <c r="K42" s="13"/>
      <c r="L42" s="13"/>
      <c r="M42" s="13"/>
      <c r="N42" s="13"/>
      <c r="O42" s="13"/>
      <c r="P42" s="13"/>
      <c r="Q42" s="13"/>
      <c r="R42" s="13"/>
    </row>
    <row r="43" spans="1:18" x14ac:dyDescent="0.25">
      <c r="A43" s="13"/>
      <c r="B43" s="13"/>
      <c r="C43" s="13"/>
      <c r="D43" s="13"/>
      <c r="E43" s="13"/>
      <c r="F43" s="13"/>
      <c r="G43" s="13"/>
      <c r="H43" s="13"/>
      <c r="I43" s="13"/>
      <c r="J43" s="13"/>
      <c r="K43" s="13"/>
      <c r="L43" s="13"/>
      <c r="M43" s="13"/>
      <c r="N43" s="13"/>
      <c r="O43" s="13"/>
      <c r="P43" s="13"/>
      <c r="Q43" s="13"/>
      <c r="R43" s="13"/>
    </row>
    <row r="44" spans="1:18" x14ac:dyDescent="0.25">
      <c r="A44" s="13"/>
      <c r="B44" s="13"/>
      <c r="C44" s="13"/>
      <c r="D44" s="13"/>
      <c r="E44" s="13"/>
      <c r="F44" s="13"/>
      <c r="G44" s="13"/>
      <c r="H44" s="13"/>
      <c r="I44" s="13"/>
      <c r="J44" s="13"/>
      <c r="K44" s="13"/>
      <c r="L44" s="13"/>
      <c r="M44" s="13"/>
      <c r="N44" s="13"/>
      <c r="O44" s="13"/>
      <c r="P44" s="13"/>
      <c r="Q44" s="13"/>
      <c r="R44" s="13"/>
    </row>
    <row r="45" spans="1:18" x14ac:dyDescent="0.25">
      <c r="A45" s="13"/>
      <c r="B45" s="13"/>
      <c r="C45" s="13"/>
      <c r="D45" s="13"/>
      <c r="E45" s="13"/>
      <c r="F45" s="13"/>
      <c r="G45" s="13"/>
      <c r="H45" s="13"/>
      <c r="I45" s="13"/>
      <c r="J45" s="13"/>
      <c r="K45" s="13"/>
      <c r="L45" s="13"/>
      <c r="M45" s="13"/>
      <c r="N45" s="13"/>
      <c r="O45" s="13"/>
      <c r="P45" s="13"/>
      <c r="Q45" s="13"/>
      <c r="R45" s="13"/>
    </row>
    <row r="46" spans="1:18" x14ac:dyDescent="0.25">
      <c r="A46" s="13"/>
      <c r="B46" s="13"/>
      <c r="C46" s="13"/>
      <c r="D46" s="13"/>
      <c r="E46" s="13"/>
      <c r="F46" s="13"/>
      <c r="G46" s="13"/>
      <c r="H46" s="13"/>
      <c r="I46" s="13"/>
      <c r="J46" s="13"/>
      <c r="K46" s="13"/>
      <c r="L46" s="13"/>
      <c r="M46" s="13"/>
      <c r="N46" s="13"/>
      <c r="O46" s="13"/>
      <c r="P46" s="13"/>
      <c r="Q46" s="13"/>
      <c r="R46" s="13"/>
    </row>
    <row r="47" spans="1:18" x14ac:dyDescent="0.25">
      <c r="A47" s="13"/>
      <c r="B47" s="13"/>
      <c r="C47" s="13"/>
      <c r="D47" s="13"/>
      <c r="E47" s="13"/>
      <c r="F47" s="13"/>
      <c r="G47" s="13"/>
      <c r="H47" s="13"/>
      <c r="I47" s="13"/>
      <c r="J47" s="13"/>
      <c r="K47" s="13"/>
      <c r="L47" s="13"/>
      <c r="M47" s="13"/>
      <c r="N47" s="13"/>
      <c r="O47" s="13"/>
      <c r="P47" s="13"/>
      <c r="Q47" s="13"/>
      <c r="R47" s="13"/>
    </row>
    <row r="48" spans="1:18" x14ac:dyDescent="0.25">
      <c r="A48" s="13"/>
      <c r="B48" s="13"/>
      <c r="C48" s="13"/>
      <c r="D48" s="13"/>
      <c r="E48" s="13"/>
      <c r="F48" s="13"/>
      <c r="G48" s="13"/>
      <c r="H48" s="13"/>
      <c r="I48" s="13"/>
      <c r="J48" s="13"/>
      <c r="K48" s="13"/>
      <c r="L48" s="13"/>
      <c r="M48" s="13"/>
      <c r="N48" s="13"/>
      <c r="O48" s="13"/>
      <c r="P48" s="13"/>
      <c r="Q48" s="13"/>
      <c r="R48" s="13"/>
    </row>
    <row r="49" spans="1:18" x14ac:dyDescent="0.25">
      <c r="A49" s="13"/>
      <c r="B49" s="13"/>
      <c r="C49" s="13"/>
      <c r="D49" s="13"/>
      <c r="E49" s="13"/>
      <c r="F49" s="13"/>
      <c r="G49" s="13"/>
      <c r="H49" s="13"/>
      <c r="I49" s="13"/>
      <c r="J49" s="13"/>
      <c r="K49" s="13"/>
      <c r="L49" s="13"/>
      <c r="M49" s="13"/>
      <c r="N49" s="13"/>
      <c r="O49" s="13"/>
      <c r="P49" s="13"/>
      <c r="Q49" s="13"/>
      <c r="R49" s="13"/>
    </row>
    <row r="50" spans="1:18" x14ac:dyDescent="0.25">
      <c r="A50" s="13"/>
      <c r="B50" s="13"/>
      <c r="C50" s="13"/>
      <c r="D50" s="13"/>
      <c r="E50" s="13"/>
      <c r="F50" s="13"/>
      <c r="G50" s="13"/>
      <c r="H50" s="13"/>
      <c r="I50" s="13"/>
      <c r="J50" s="13"/>
      <c r="K50" s="13"/>
      <c r="L50" s="13"/>
      <c r="M50" s="13"/>
      <c r="N50" s="13"/>
      <c r="O50" s="13"/>
      <c r="P50" s="13"/>
      <c r="Q50" s="13"/>
      <c r="R50" s="13"/>
    </row>
    <row r="51" spans="1:18" x14ac:dyDescent="0.25">
      <c r="A51" s="13"/>
      <c r="B51" s="13"/>
      <c r="C51" s="13"/>
      <c r="D51" s="13"/>
      <c r="E51" s="13"/>
      <c r="F51" s="13"/>
      <c r="G51" s="13"/>
      <c r="H51" s="13"/>
      <c r="I51" s="13"/>
      <c r="J51" s="13"/>
      <c r="K51" s="13"/>
      <c r="L51" s="13"/>
      <c r="M51" s="13"/>
      <c r="N51" s="13"/>
      <c r="O51" s="13"/>
      <c r="P51" s="13"/>
      <c r="Q51" s="13"/>
      <c r="R51" s="13"/>
    </row>
    <row r="52" spans="1:18" x14ac:dyDescent="0.25">
      <c r="A52" s="13"/>
      <c r="B52" s="13"/>
      <c r="C52" s="13"/>
      <c r="D52" s="13"/>
      <c r="E52" s="13"/>
      <c r="F52" s="13"/>
      <c r="G52" s="13"/>
      <c r="H52" s="13"/>
      <c r="I52" s="13"/>
      <c r="J52" s="13"/>
      <c r="K52" s="13"/>
      <c r="L52" s="13"/>
      <c r="M52" s="13"/>
      <c r="N52" s="13"/>
      <c r="O52" s="13"/>
      <c r="P52" s="13"/>
      <c r="Q52" s="13"/>
      <c r="R52" s="13"/>
    </row>
    <row r="53" spans="1:18" x14ac:dyDescent="0.25">
      <c r="A53" s="13"/>
      <c r="B53" s="13"/>
      <c r="C53" s="13"/>
      <c r="D53" s="13"/>
      <c r="E53" s="13"/>
      <c r="F53" s="13"/>
      <c r="G53" s="13"/>
      <c r="H53" s="13"/>
      <c r="I53" s="13"/>
      <c r="J53" s="13"/>
      <c r="K53" s="13"/>
      <c r="L53" s="13"/>
      <c r="M53" s="13"/>
      <c r="N53" s="13"/>
      <c r="O53" s="13"/>
      <c r="P53" s="13"/>
      <c r="Q53" s="13"/>
      <c r="R53" s="13"/>
    </row>
    <row r="54" spans="1:18" x14ac:dyDescent="0.25">
      <c r="A54" s="13"/>
      <c r="B54" s="13"/>
      <c r="C54" s="13"/>
      <c r="D54" s="13"/>
      <c r="E54" s="13"/>
      <c r="F54" s="13"/>
      <c r="G54" s="13"/>
      <c r="H54" s="13"/>
      <c r="I54" s="13"/>
      <c r="J54" s="13"/>
      <c r="K54" s="13"/>
      <c r="L54" s="13"/>
      <c r="M54" s="13"/>
      <c r="N54" s="13"/>
      <c r="O54" s="13"/>
      <c r="P54" s="13"/>
      <c r="Q54" s="13"/>
      <c r="R54" s="13"/>
    </row>
    <row r="55" spans="1:18" x14ac:dyDescent="0.25">
      <c r="A55" s="27" t="s">
        <v>63</v>
      </c>
      <c r="B55" s="13"/>
      <c r="C55" s="13"/>
      <c r="D55" s="13"/>
      <c r="E55" s="13"/>
      <c r="F55" s="13"/>
      <c r="G55" s="13"/>
      <c r="H55" s="13"/>
      <c r="I55" s="13"/>
      <c r="J55" s="13"/>
      <c r="K55" s="13"/>
      <c r="L55" s="13"/>
      <c r="M55" s="13"/>
      <c r="N55" s="13"/>
      <c r="O55" s="13"/>
      <c r="P55" s="13"/>
      <c r="Q55" s="13"/>
      <c r="R55" s="13"/>
    </row>
    <row r="56" spans="1:18" x14ac:dyDescent="0.25">
      <c r="A56" s="3">
        <v>250</v>
      </c>
      <c r="B56" s="27" t="s">
        <v>65</v>
      </c>
      <c r="C56" s="74"/>
      <c r="D56" s="13"/>
      <c r="E56" s="13"/>
      <c r="F56" s="13"/>
      <c r="G56" s="13"/>
      <c r="H56" s="13"/>
      <c r="I56" s="13"/>
      <c r="J56" s="13"/>
      <c r="K56" s="13"/>
      <c r="L56" s="13"/>
      <c r="M56" s="13"/>
      <c r="N56" s="13"/>
      <c r="O56" s="13"/>
      <c r="P56" s="13"/>
      <c r="Q56" s="13"/>
      <c r="R56" s="13"/>
    </row>
    <row r="57" spans="1:18" x14ac:dyDescent="0.25">
      <c r="A57" s="13"/>
      <c r="B57" s="75"/>
      <c r="C57" s="74"/>
      <c r="D57" s="13"/>
      <c r="E57" s="13"/>
      <c r="F57" s="13"/>
      <c r="G57" s="13"/>
      <c r="H57" s="13"/>
      <c r="I57" s="13"/>
      <c r="J57" s="13"/>
      <c r="K57" s="13"/>
      <c r="L57" s="13"/>
      <c r="M57" s="13"/>
      <c r="N57" s="13"/>
      <c r="O57" s="13"/>
      <c r="P57" s="13"/>
      <c r="Q57" s="13"/>
      <c r="R57" s="13"/>
    </row>
    <row r="58" spans="1:18" ht="20" thickBot="1" x14ac:dyDescent="0.3">
      <c r="A58" s="73" t="s">
        <v>64</v>
      </c>
      <c r="B58" s="66"/>
      <c r="C58" s="12"/>
      <c r="D58" s="13"/>
      <c r="E58" s="13"/>
      <c r="F58" s="13"/>
      <c r="G58" s="13"/>
      <c r="H58" s="13"/>
      <c r="I58" s="13"/>
      <c r="J58" s="13"/>
      <c r="K58" s="13"/>
      <c r="L58" s="13"/>
      <c r="M58" s="13"/>
      <c r="N58" s="13"/>
      <c r="O58" s="13"/>
      <c r="P58" s="13"/>
      <c r="Q58" s="13"/>
      <c r="R58" s="13"/>
    </row>
    <row r="59" spans="1:18" ht="41" thickBot="1" x14ac:dyDescent="0.3">
      <c r="A59" s="13" t="s">
        <v>17</v>
      </c>
      <c r="B59" s="125" t="s">
        <v>3</v>
      </c>
      <c r="C59" s="126"/>
      <c r="D59" s="126"/>
      <c r="E59" s="126"/>
      <c r="F59" s="126"/>
      <c r="G59" s="126"/>
      <c r="H59" s="127"/>
      <c r="I59" s="125" t="s">
        <v>2</v>
      </c>
      <c r="J59" s="126"/>
      <c r="K59" s="126"/>
      <c r="L59" s="126"/>
      <c r="M59" s="126"/>
      <c r="N59" s="126"/>
      <c r="O59" s="127"/>
      <c r="P59" s="29" t="s">
        <v>30</v>
      </c>
      <c r="Q59" s="29" t="s">
        <v>31</v>
      </c>
      <c r="R59" s="29" t="s">
        <v>32</v>
      </c>
    </row>
    <row r="60" spans="1:18" x14ac:dyDescent="0.25">
      <c r="A60" s="72">
        <v>1</v>
      </c>
      <c r="B60" s="28">
        <f>B6+$A$56</f>
        <v>250</v>
      </c>
      <c r="C60" s="28">
        <f t="shared" ref="C60:O60" si="1">C6+$A$56</f>
        <v>267.43589743589746</v>
      </c>
      <c r="D60" s="28">
        <f t="shared" si="1"/>
        <v>285.78947368421052</v>
      </c>
      <c r="E60" s="28">
        <f t="shared" si="1"/>
        <v>305.13513513513516</v>
      </c>
      <c r="F60" s="28">
        <f t="shared" si="1"/>
        <v>325.55555555555554</v>
      </c>
      <c r="G60" s="28">
        <f t="shared" si="1"/>
        <v>347.14285714285711</v>
      </c>
      <c r="H60" s="28">
        <f t="shared" si="1"/>
        <v>370</v>
      </c>
      <c r="I60" s="28">
        <f t="shared" si="1"/>
        <v>250</v>
      </c>
      <c r="J60" s="28">
        <f t="shared" si="1"/>
        <v>294.10256410256409</v>
      </c>
      <c r="K60" s="28">
        <f t="shared" si="1"/>
        <v>340.5263157894737</v>
      </c>
      <c r="L60" s="28">
        <f t="shared" si="1"/>
        <v>389.45945945945948</v>
      </c>
      <c r="M60" s="28">
        <f t="shared" si="1"/>
        <v>441.11111111111109</v>
      </c>
      <c r="N60" s="28">
        <f t="shared" si="1"/>
        <v>495.71428571428572</v>
      </c>
      <c r="O60" s="28">
        <f t="shared" si="1"/>
        <v>553.52941176470586</v>
      </c>
      <c r="P60" s="28">
        <f t="shared" ref="P60:P80" si="2">$A$56</f>
        <v>250</v>
      </c>
      <c r="Q60" s="28">
        <f>$A$56+'GWP of methane by scenario'!B$13</f>
        <v>326.36380718411579</v>
      </c>
      <c r="R60" s="28">
        <f>$A$56+'GWP of methane by scenario'!B$14</f>
        <v>356.8058424239573</v>
      </c>
    </row>
    <row r="61" spans="1:18" x14ac:dyDescent="0.25">
      <c r="A61" s="72">
        <f t="shared" ref="A61:A80" si="3">A60-0.05</f>
        <v>0.95</v>
      </c>
      <c r="B61" s="28">
        <f t="shared" ref="B61:O80" si="4">B7+$A$56</f>
        <v>245.24</v>
      </c>
      <c r="C61" s="28">
        <f t="shared" si="4"/>
        <v>262.55384615384617</v>
      </c>
      <c r="D61" s="28">
        <f t="shared" si="4"/>
        <v>280.77894736842109</v>
      </c>
      <c r="E61" s="28">
        <f t="shared" si="4"/>
        <v>299.98918918918918</v>
      </c>
      <c r="F61" s="28">
        <f t="shared" si="4"/>
        <v>320.26666666666665</v>
      </c>
      <c r="G61" s="28">
        <f t="shared" si="4"/>
        <v>341.70285714285711</v>
      </c>
      <c r="H61" s="28">
        <f t="shared" si="4"/>
        <v>364.4</v>
      </c>
      <c r="I61" s="28">
        <f t="shared" si="4"/>
        <v>237.95999999999998</v>
      </c>
      <c r="J61" s="28">
        <f t="shared" si="4"/>
        <v>281.75384615384615</v>
      </c>
      <c r="K61" s="28">
        <f t="shared" si="4"/>
        <v>327.85263157894735</v>
      </c>
      <c r="L61" s="28">
        <f t="shared" si="4"/>
        <v>376.44324324324327</v>
      </c>
      <c r="M61" s="28">
        <f t="shared" si="4"/>
        <v>427.73333333333335</v>
      </c>
      <c r="N61" s="28">
        <f t="shared" si="4"/>
        <v>481.95428571428567</v>
      </c>
      <c r="O61" s="28">
        <f t="shared" si="4"/>
        <v>539.36470588235295</v>
      </c>
      <c r="P61" s="28">
        <f t="shared" si="2"/>
        <v>250</v>
      </c>
      <c r="Q61" s="28">
        <f>$A$56+'GWP of methane by scenario'!B$13</f>
        <v>326.36380718411579</v>
      </c>
      <c r="R61" s="28">
        <f>$A$56+'GWP of methane by scenario'!B$14</f>
        <v>356.8058424239573</v>
      </c>
    </row>
    <row r="62" spans="1:18" x14ac:dyDescent="0.25">
      <c r="A62" s="72">
        <f t="shared" si="3"/>
        <v>0.89999999999999991</v>
      </c>
      <c r="B62" s="28">
        <f t="shared" si="4"/>
        <v>240.48</v>
      </c>
      <c r="C62" s="28">
        <f t="shared" si="4"/>
        <v>257.67179487179487</v>
      </c>
      <c r="D62" s="28">
        <f t="shared" si="4"/>
        <v>275.7684210526316</v>
      </c>
      <c r="E62" s="28">
        <f t="shared" si="4"/>
        <v>294.84324324324325</v>
      </c>
      <c r="F62" s="28">
        <f t="shared" si="4"/>
        <v>314.97777777777776</v>
      </c>
      <c r="G62" s="28">
        <f t="shared" si="4"/>
        <v>336.26285714285711</v>
      </c>
      <c r="H62" s="28">
        <f t="shared" si="4"/>
        <v>358.79999999999995</v>
      </c>
      <c r="I62" s="28">
        <f t="shared" si="4"/>
        <v>225.92</v>
      </c>
      <c r="J62" s="28">
        <f t="shared" si="4"/>
        <v>269.40512820512816</v>
      </c>
      <c r="K62" s="28">
        <f t="shared" si="4"/>
        <v>315.17894736842106</v>
      </c>
      <c r="L62" s="28">
        <f t="shared" si="4"/>
        <v>363.42702702702701</v>
      </c>
      <c r="M62" s="28">
        <f t="shared" si="4"/>
        <v>414.35555555555555</v>
      </c>
      <c r="N62" s="28">
        <f t="shared" si="4"/>
        <v>468.19428571428568</v>
      </c>
      <c r="O62" s="28">
        <f t="shared" si="4"/>
        <v>525.20000000000005</v>
      </c>
      <c r="P62" s="28">
        <f t="shared" si="2"/>
        <v>250</v>
      </c>
      <c r="Q62" s="28">
        <f>$A$56+'GWP of methane by scenario'!B$13</f>
        <v>326.36380718411579</v>
      </c>
      <c r="R62" s="28">
        <f>$A$56+'GWP of methane by scenario'!B$14</f>
        <v>356.8058424239573</v>
      </c>
    </row>
    <row r="63" spans="1:18" x14ac:dyDescent="0.25">
      <c r="A63" s="72">
        <f t="shared" si="3"/>
        <v>0.84999999999999987</v>
      </c>
      <c r="B63" s="28">
        <f t="shared" si="4"/>
        <v>235.72</v>
      </c>
      <c r="C63" s="28">
        <f t="shared" si="4"/>
        <v>252.78974358974358</v>
      </c>
      <c r="D63" s="28">
        <f t="shared" si="4"/>
        <v>270.7578947368421</v>
      </c>
      <c r="E63" s="28">
        <f t="shared" si="4"/>
        <v>289.69729729729727</v>
      </c>
      <c r="F63" s="28">
        <f t="shared" si="4"/>
        <v>309.68888888888887</v>
      </c>
      <c r="G63" s="28">
        <f t="shared" si="4"/>
        <v>330.82285714285712</v>
      </c>
      <c r="H63" s="28">
        <f t="shared" si="4"/>
        <v>353.2</v>
      </c>
      <c r="I63" s="28">
        <f t="shared" si="4"/>
        <v>213.87999999999997</v>
      </c>
      <c r="J63" s="28">
        <f t="shared" si="4"/>
        <v>257.05641025641023</v>
      </c>
      <c r="K63" s="28">
        <f t="shared" si="4"/>
        <v>302.50526315789472</v>
      </c>
      <c r="L63" s="28">
        <f t="shared" si="4"/>
        <v>350.4108108108108</v>
      </c>
      <c r="M63" s="28">
        <f t="shared" si="4"/>
        <v>400.97777777777776</v>
      </c>
      <c r="N63" s="28">
        <f t="shared" si="4"/>
        <v>454.43428571428569</v>
      </c>
      <c r="O63" s="28">
        <f t="shared" si="4"/>
        <v>511.03529411764708</v>
      </c>
      <c r="P63" s="28">
        <f t="shared" si="2"/>
        <v>250</v>
      </c>
      <c r="Q63" s="28">
        <f>$A$56+'GWP of methane by scenario'!B$13</f>
        <v>326.36380718411579</v>
      </c>
      <c r="R63" s="28">
        <f>$A$56+'GWP of methane by scenario'!B$14</f>
        <v>356.8058424239573</v>
      </c>
    </row>
    <row r="64" spans="1:18" x14ac:dyDescent="0.25">
      <c r="A64" s="72">
        <f t="shared" si="3"/>
        <v>0.79999999999999982</v>
      </c>
      <c r="B64" s="28">
        <f t="shared" si="4"/>
        <v>230.95999999999998</v>
      </c>
      <c r="C64" s="28">
        <f t="shared" si="4"/>
        <v>247.90769230769229</v>
      </c>
      <c r="D64" s="28">
        <f t="shared" si="4"/>
        <v>265.74736842105261</v>
      </c>
      <c r="E64" s="28">
        <f t="shared" si="4"/>
        <v>284.55135135135134</v>
      </c>
      <c r="F64" s="28">
        <f t="shared" si="4"/>
        <v>304.39999999999998</v>
      </c>
      <c r="G64" s="28">
        <f t="shared" si="4"/>
        <v>325.38285714285712</v>
      </c>
      <c r="H64" s="28">
        <f t="shared" si="4"/>
        <v>347.59999999999997</v>
      </c>
      <c r="I64" s="28">
        <f t="shared" si="4"/>
        <v>201.83999999999995</v>
      </c>
      <c r="J64" s="28">
        <f t="shared" si="4"/>
        <v>244.70769230769224</v>
      </c>
      <c r="K64" s="28">
        <f t="shared" si="4"/>
        <v>289.83157894736837</v>
      </c>
      <c r="L64" s="28">
        <f t="shared" si="4"/>
        <v>337.39459459459454</v>
      </c>
      <c r="M64" s="28">
        <f t="shared" si="4"/>
        <v>387.59999999999997</v>
      </c>
      <c r="N64" s="28">
        <f t="shared" si="4"/>
        <v>440.67428571428565</v>
      </c>
      <c r="O64" s="28">
        <f t="shared" si="4"/>
        <v>496.87058823529406</v>
      </c>
      <c r="P64" s="28">
        <f t="shared" si="2"/>
        <v>250</v>
      </c>
      <c r="Q64" s="28">
        <f>$A$56+'GWP of methane by scenario'!B$13</f>
        <v>326.36380718411579</v>
      </c>
      <c r="R64" s="28">
        <f>$A$56+'GWP of methane by scenario'!B$14</f>
        <v>356.8058424239573</v>
      </c>
    </row>
    <row r="65" spans="1:18" x14ac:dyDescent="0.25">
      <c r="A65" s="72">
        <f t="shared" si="3"/>
        <v>0.74999999999999978</v>
      </c>
      <c r="B65" s="28">
        <f t="shared" si="4"/>
        <v>226.2</v>
      </c>
      <c r="C65" s="28">
        <f t="shared" si="4"/>
        <v>243.02564102564099</v>
      </c>
      <c r="D65" s="28">
        <f t="shared" si="4"/>
        <v>260.73684210526312</v>
      </c>
      <c r="E65" s="28">
        <f t="shared" si="4"/>
        <v>279.40540540540542</v>
      </c>
      <c r="F65" s="28">
        <f t="shared" si="4"/>
        <v>299.11111111111109</v>
      </c>
      <c r="G65" s="28">
        <f t="shared" si="4"/>
        <v>319.94285714285712</v>
      </c>
      <c r="H65" s="28">
        <f t="shared" si="4"/>
        <v>342</v>
      </c>
      <c r="I65" s="28">
        <f t="shared" si="4"/>
        <v>189.79999999999995</v>
      </c>
      <c r="J65" s="28">
        <f t="shared" si="4"/>
        <v>232.35897435897431</v>
      </c>
      <c r="K65" s="28">
        <f t="shared" si="4"/>
        <v>277.15789473684208</v>
      </c>
      <c r="L65" s="28">
        <f t="shared" si="4"/>
        <v>324.37837837837833</v>
      </c>
      <c r="M65" s="28">
        <f t="shared" si="4"/>
        <v>374.22222222222217</v>
      </c>
      <c r="N65" s="28">
        <f t="shared" si="4"/>
        <v>426.91428571428565</v>
      </c>
      <c r="O65" s="28">
        <f t="shared" si="4"/>
        <v>482.7058823529411</v>
      </c>
      <c r="P65" s="28">
        <f t="shared" si="2"/>
        <v>250</v>
      </c>
      <c r="Q65" s="28">
        <f>$A$56+'GWP of methane by scenario'!B$13</f>
        <v>326.36380718411579</v>
      </c>
      <c r="R65" s="28">
        <f>$A$56+'GWP of methane by scenario'!B$14</f>
        <v>356.8058424239573</v>
      </c>
    </row>
    <row r="66" spans="1:18" x14ac:dyDescent="0.25">
      <c r="A66" s="72">
        <f t="shared" si="3"/>
        <v>0.69999999999999973</v>
      </c>
      <c r="B66" s="28">
        <f t="shared" si="4"/>
        <v>221.43999999999997</v>
      </c>
      <c r="C66" s="28">
        <f t="shared" si="4"/>
        <v>238.14358974358973</v>
      </c>
      <c r="D66" s="28">
        <f t="shared" si="4"/>
        <v>255.72631578947366</v>
      </c>
      <c r="E66" s="28">
        <f t="shared" si="4"/>
        <v>274.25945945945944</v>
      </c>
      <c r="F66" s="28">
        <f t="shared" si="4"/>
        <v>293.82222222222219</v>
      </c>
      <c r="G66" s="28">
        <f t="shared" si="4"/>
        <v>314.50285714285712</v>
      </c>
      <c r="H66" s="28">
        <f t="shared" si="4"/>
        <v>336.4</v>
      </c>
      <c r="I66" s="28">
        <f t="shared" si="4"/>
        <v>177.75999999999993</v>
      </c>
      <c r="J66" s="28">
        <f t="shared" si="4"/>
        <v>220.01025641025635</v>
      </c>
      <c r="K66" s="28">
        <f t="shared" si="4"/>
        <v>264.48421052631574</v>
      </c>
      <c r="L66" s="28">
        <f t="shared" si="4"/>
        <v>311.36216216216212</v>
      </c>
      <c r="M66" s="28">
        <f t="shared" si="4"/>
        <v>360.84444444444438</v>
      </c>
      <c r="N66" s="28">
        <f t="shared" si="4"/>
        <v>413.15428571428561</v>
      </c>
      <c r="O66" s="28">
        <f t="shared" si="4"/>
        <v>468.5411764705882</v>
      </c>
      <c r="P66" s="28">
        <f t="shared" si="2"/>
        <v>250</v>
      </c>
      <c r="Q66" s="28">
        <f>$A$56+'GWP of methane by scenario'!B$13</f>
        <v>326.36380718411579</v>
      </c>
      <c r="R66" s="28">
        <f>$A$56+'GWP of methane by scenario'!B$14</f>
        <v>356.8058424239573</v>
      </c>
    </row>
    <row r="67" spans="1:18" x14ac:dyDescent="0.25">
      <c r="A67" s="72">
        <f t="shared" si="3"/>
        <v>0.64999999999999969</v>
      </c>
      <c r="B67" s="28">
        <f t="shared" si="4"/>
        <v>216.67999999999998</v>
      </c>
      <c r="C67" s="28">
        <f t="shared" si="4"/>
        <v>233.26153846153844</v>
      </c>
      <c r="D67" s="28">
        <f t="shared" si="4"/>
        <v>250.71578947368417</v>
      </c>
      <c r="E67" s="28">
        <f t="shared" si="4"/>
        <v>269.11351351351351</v>
      </c>
      <c r="F67" s="28">
        <f t="shared" si="4"/>
        <v>288.5333333333333</v>
      </c>
      <c r="G67" s="28">
        <f t="shared" si="4"/>
        <v>309.06285714285713</v>
      </c>
      <c r="H67" s="28">
        <f t="shared" si="4"/>
        <v>330.79999999999995</v>
      </c>
      <c r="I67" s="28">
        <f t="shared" si="4"/>
        <v>165.71999999999991</v>
      </c>
      <c r="J67" s="28">
        <f t="shared" si="4"/>
        <v>207.66153846153838</v>
      </c>
      <c r="K67" s="28">
        <f t="shared" si="4"/>
        <v>251.81052631578939</v>
      </c>
      <c r="L67" s="28">
        <f t="shared" si="4"/>
        <v>298.34594594594586</v>
      </c>
      <c r="M67" s="28">
        <f t="shared" si="4"/>
        <v>347.46666666666658</v>
      </c>
      <c r="N67" s="28">
        <f t="shared" si="4"/>
        <v>399.39428571428562</v>
      </c>
      <c r="O67" s="28">
        <f t="shared" si="4"/>
        <v>454.37647058823518</v>
      </c>
      <c r="P67" s="28">
        <f t="shared" si="2"/>
        <v>250</v>
      </c>
      <c r="Q67" s="28">
        <f>$A$56+'GWP of methane by scenario'!B$13</f>
        <v>326.36380718411579</v>
      </c>
      <c r="R67" s="28">
        <f>$A$56+'GWP of methane by scenario'!B$14</f>
        <v>356.8058424239573</v>
      </c>
    </row>
    <row r="68" spans="1:18" x14ac:dyDescent="0.25">
      <c r="A68" s="72">
        <f t="shared" si="3"/>
        <v>0.59999999999999964</v>
      </c>
      <c r="B68" s="28">
        <f t="shared" si="4"/>
        <v>211.91999999999996</v>
      </c>
      <c r="C68" s="28">
        <f t="shared" si="4"/>
        <v>228.37948717948714</v>
      </c>
      <c r="D68" s="28">
        <f t="shared" si="4"/>
        <v>245.70526315789471</v>
      </c>
      <c r="E68" s="28">
        <f t="shared" si="4"/>
        <v>263.96756756756753</v>
      </c>
      <c r="F68" s="28">
        <f t="shared" si="4"/>
        <v>283.24444444444441</v>
      </c>
      <c r="G68" s="28">
        <f t="shared" si="4"/>
        <v>303.62285714285713</v>
      </c>
      <c r="H68" s="28">
        <f t="shared" si="4"/>
        <v>325.19999999999993</v>
      </c>
      <c r="I68" s="28">
        <f t="shared" si="4"/>
        <v>153.67999999999989</v>
      </c>
      <c r="J68" s="28">
        <f t="shared" si="4"/>
        <v>195.31282051282039</v>
      </c>
      <c r="K68" s="28">
        <f t="shared" si="4"/>
        <v>239.13684210526307</v>
      </c>
      <c r="L68" s="28">
        <f t="shared" si="4"/>
        <v>285.32972972972965</v>
      </c>
      <c r="M68" s="28">
        <f t="shared" si="4"/>
        <v>334.08888888888879</v>
      </c>
      <c r="N68" s="28">
        <f t="shared" si="4"/>
        <v>385.63428571428562</v>
      </c>
      <c r="O68" s="28">
        <f t="shared" si="4"/>
        <v>440.21176470588227</v>
      </c>
      <c r="P68" s="28">
        <f t="shared" si="2"/>
        <v>250</v>
      </c>
      <c r="Q68" s="28">
        <f>$A$56+'GWP of methane by scenario'!B$13</f>
        <v>326.36380718411579</v>
      </c>
      <c r="R68" s="28">
        <f>$A$56+'GWP of methane by scenario'!B$14</f>
        <v>356.8058424239573</v>
      </c>
    </row>
    <row r="69" spans="1:18" x14ac:dyDescent="0.25">
      <c r="A69" s="72">
        <f t="shared" si="3"/>
        <v>0.5499999999999996</v>
      </c>
      <c r="B69" s="28">
        <f t="shared" si="4"/>
        <v>207.15999999999997</v>
      </c>
      <c r="C69" s="28">
        <f t="shared" si="4"/>
        <v>223.49743589743585</v>
      </c>
      <c r="D69" s="28">
        <f t="shared" si="4"/>
        <v>240.69473684210521</v>
      </c>
      <c r="E69" s="28">
        <f t="shared" si="4"/>
        <v>258.8216216216216</v>
      </c>
      <c r="F69" s="28">
        <f t="shared" si="4"/>
        <v>277.95555555555552</v>
      </c>
      <c r="G69" s="28">
        <f t="shared" si="4"/>
        <v>298.18285714285707</v>
      </c>
      <c r="H69" s="28">
        <f t="shared" si="4"/>
        <v>319.59999999999997</v>
      </c>
      <c r="I69" s="28">
        <f t="shared" si="4"/>
        <v>141.6399999999999</v>
      </c>
      <c r="J69" s="28">
        <f t="shared" si="4"/>
        <v>182.96410256410243</v>
      </c>
      <c r="K69" s="28">
        <f t="shared" si="4"/>
        <v>226.46315789473672</v>
      </c>
      <c r="L69" s="28">
        <f t="shared" si="4"/>
        <v>272.31351351351344</v>
      </c>
      <c r="M69" s="28">
        <f t="shared" si="4"/>
        <v>320.71111111111099</v>
      </c>
      <c r="N69" s="28">
        <f t="shared" si="4"/>
        <v>371.87428571428563</v>
      </c>
      <c r="O69" s="28">
        <f t="shared" si="4"/>
        <v>426.04705882352926</v>
      </c>
      <c r="P69" s="28">
        <f t="shared" si="2"/>
        <v>250</v>
      </c>
      <c r="Q69" s="28">
        <f>$A$56+'GWP of methane by scenario'!B$13</f>
        <v>326.36380718411579</v>
      </c>
      <c r="R69" s="28">
        <f>$A$56+'GWP of methane by scenario'!B$14</f>
        <v>356.8058424239573</v>
      </c>
    </row>
    <row r="70" spans="1:18" x14ac:dyDescent="0.25">
      <c r="A70" s="72">
        <f t="shared" si="3"/>
        <v>0.49999999999999961</v>
      </c>
      <c r="B70" s="28">
        <f t="shared" si="4"/>
        <v>202.39999999999995</v>
      </c>
      <c r="C70" s="28">
        <f t="shared" si="4"/>
        <v>218.61538461538456</v>
      </c>
      <c r="D70" s="28">
        <f t="shared" si="4"/>
        <v>235.68421052631575</v>
      </c>
      <c r="E70" s="28">
        <f t="shared" si="4"/>
        <v>253.67567567567565</v>
      </c>
      <c r="F70" s="28">
        <f t="shared" si="4"/>
        <v>272.66666666666663</v>
      </c>
      <c r="G70" s="28">
        <f t="shared" si="4"/>
        <v>292.74285714285708</v>
      </c>
      <c r="H70" s="28">
        <f t="shared" si="4"/>
        <v>313.99999999999994</v>
      </c>
      <c r="I70" s="28">
        <f t="shared" si="4"/>
        <v>129.59999999999988</v>
      </c>
      <c r="J70" s="28">
        <f t="shared" si="4"/>
        <v>170.6153846153845</v>
      </c>
      <c r="K70" s="28">
        <f t="shared" si="4"/>
        <v>213.78947368421041</v>
      </c>
      <c r="L70" s="28">
        <f t="shared" si="4"/>
        <v>259.29729729729718</v>
      </c>
      <c r="M70" s="28">
        <f t="shared" si="4"/>
        <v>307.3333333333332</v>
      </c>
      <c r="N70" s="28">
        <f t="shared" si="4"/>
        <v>358.11428571428559</v>
      </c>
      <c r="O70" s="28">
        <f t="shared" si="4"/>
        <v>411.88235294117635</v>
      </c>
      <c r="P70" s="28">
        <f t="shared" si="2"/>
        <v>250</v>
      </c>
      <c r="Q70" s="28">
        <f>$A$56+'GWP of methane by scenario'!B$13</f>
        <v>326.36380718411579</v>
      </c>
      <c r="R70" s="28">
        <f>$A$56+'GWP of methane by scenario'!B$14</f>
        <v>356.8058424239573</v>
      </c>
    </row>
    <row r="71" spans="1:18" x14ac:dyDescent="0.25">
      <c r="A71" s="72">
        <f t="shared" si="3"/>
        <v>0.44999999999999962</v>
      </c>
      <c r="B71" s="28">
        <f t="shared" si="4"/>
        <v>197.63999999999996</v>
      </c>
      <c r="C71" s="28">
        <f t="shared" si="4"/>
        <v>213.73333333333329</v>
      </c>
      <c r="D71" s="28">
        <f t="shared" si="4"/>
        <v>230.67368421052629</v>
      </c>
      <c r="E71" s="28">
        <f t="shared" si="4"/>
        <v>248.5297297297297</v>
      </c>
      <c r="F71" s="28">
        <f t="shared" si="4"/>
        <v>267.37777777777774</v>
      </c>
      <c r="G71" s="28">
        <f t="shared" si="4"/>
        <v>287.30285714285708</v>
      </c>
      <c r="H71" s="28">
        <f t="shared" si="4"/>
        <v>308.39999999999998</v>
      </c>
      <c r="I71" s="28">
        <f t="shared" si="4"/>
        <v>117.55999999999992</v>
      </c>
      <c r="J71" s="28">
        <f t="shared" si="4"/>
        <v>158.26666666666654</v>
      </c>
      <c r="K71" s="28">
        <f t="shared" si="4"/>
        <v>201.11578947368412</v>
      </c>
      <c r="L71" s="28">
        <f t="shared" si="4"/>
        <v>246.281081081081</v>
      </c>
      <c r="M71" s="28">
        <f t="shared" si="4"/>
        <v>293.95555555555546</v>
      </c>
      <c r="N71" s="28">
        <f t="shared" si="4"/>
        <v>344.3542857142856</v>
      </c>
      <c r="O71" s="28">
        <f t="shared" si="4"/>
        <v>397.71764705882345</v>
      </c>
      <c r="P71" s="28">
        <f t="shared" si="2"/>
        <v>250</v>
      </c>
      <c r="Q71" s="28">
        <f>$A$56+'GWP of methane by scenario'!B$13</f>
        <v>326.36380718411579</v>
      </c>
      <c r="R71" s="28">
        <f>$A$56+'GWP of methane by scenario'!B$14</f>
        <v>356.8058424239573</v>
      </c>
    </row>
    <row r="72" spans="1:18" x14ac:dyDescent="0.25">
      <c r="A72" s="72">
        <f t="shared" si="3"/>
        <v>0.39999999999999963</v>
      </c>
      <c r="B72" s="28">
        <f t="shared" si="4"/>
        <v>192.87999999999997</v>
      </c>
      <c r="C72" s="28">
        <f t="shared" si="4"/>
        <v>208.851282051282</v>
      </c>
      <c r="D72" s="28">
        <f t="shared" si="4"/>
        <v>225.6631578947368</v>
      </c>
      <c r="E72" s="28">
        <f t="shared" si="4"/>
        <v>243.38378378378377</v>
      </c>
      <c r="F72" s="28">
        <f t="shared" si="4"/>
        <v>262.08888888888885</v>
      </c>
      <c r="G72" s="28">
        <f t="shared" si="4"/>
        <v>281.86285714285708</v>
      </c>
      <c r="H72" s="28">
        <f t="shared" si="4"/>
        <v>302.79999999999995</v>
      </c>
      <c r="I72" s="28">
        <f t="shared" si="4"/>
        <v>105.51999999999992</v>
      </c>
      <c r="J72" s="28">
        <f t="shared" si="4"/>
        <v>145.9179487179486</v>
      </c>
      <c r="K72" s="28">
        <f t="shared" si="4"/>
        <v>188.4421052631578</v>
      </c>
      <c r="L72" s="28">
        <f t="shared" si="4"/>
        <v>233.26486486486479</v>
      </c>
      <c r="M72" s="28">
        <f t="shared" si="4"/>
        <v>280.57777777777767</v>
      </c>
      <c r="N72" s="28">
        <f t="shared" si="4"/>
        <v>330.5942857142856</v>
      </c>
      <c r="O72" s="28">
        <f t="shared" si="4"/>
        <v>383.55294117647048</v>
      </c>
      <c r="P72" s="28">
        <f t="shared" si="2"/>
        <v>250</v>
      </c>
      <c r="Q72" s="28">
        <f>$A$56+'GWP of methane by scenario'!B$13</f>
        <v>326.36380718411579</v>
      </c>
      <c r="R72" s="28">
        <f>$A$56+'GWP of methane by scenario'!B$14</f>
        <v>356.8058424239573</v>
      </c>
    </row>
    <row r="73" spans="1:18" x14ac:dyDescent="0.25">
      <c r="A73" s="72">
        <f t="shared" si="3"/>
        <v>0.34999999999999964</v>
      </c>
      <c r="B73" s="28">
        <f t="shared" si="4"/>
        <v>188.11999999999995</v>
      </c>
      <c r="C73" s="28">
        <f t="shared" si="4"/>
        <v>203.96923076923073</v>
      </c>
      <c r="D73" s="28">
        <f t="shared" si="4"/>
        <v>220.65263157894734</v>
      </c>
      <c r="E73" s="28">
        <f t="shared" si="4"/>
        <v>238.23783783783782</v>
      </c>
      <c r="F73" s="28">
        <f t="shared" si="4"/>
        <v>256.79999999999995</v>
      </c>
      <c r="G73" s="28">
        <f t="shared" si="4"/>
        <v>276.42285714285708</v>
      </c>
      <c r="H73" s="28">
        <f t="shared" si="4"/>
        <v>297.19999999999993</v>
      </c>
      <c r="I73" s="28">
        <f t="shared" si="4"/>
        <v>93.479999999999905</v>
      </c>
      <c r="J73" s="28">
        <f t="shared" si="4"/>
        <v>133.56923076923067</v>
      </c>
      <c r="K73" s="28">
        <f t="shared" si="4"/>
        <v>175.76842105263148</v>
      </c>
      <c r="L73" s="28">
        <f t="shared" si="4"/>
        <v>220.24864864864858</v>
      </c>
      <c r="M73" s="28">
        <f t="shared" si="4"/>
        <v>267.19999999999993</v>
      </c>
      <c r="N73" s="28">
        <f t="shared" si="4"/>
        <v>316.83428571428561</v>
      </c>
      <c r="O73" s="28">
        <f t="shared" si="4"/>
        <v>369.38823529411752</v>
      </c>
      <c r="P73" s="28">
        <f t="shared" si="2"/>
        <v>250</v>
      </c>
      <c r="Q73" s="28">
        <f>$A$56+'GWP of methane by scenario'!B$13</f>
        <v>326.36380718411579</v>
      </c>
      <c r="R73" s="28">
        <f>$A$56+'GWP of methane by scenario'!B$14</f>
        <v>356.8058424239573</v>
      </c>
    </row>
    <row r="74" spans="1:18" x14ac:dyDescent="0.25">
      <c r="A74" s="72">
        <f t="shared" si="3"/>
        <v>0.29999999999999966</v>
      </c>
      <c r="B74" s="28">
        <f t="shared" si="4"/>
        <v>183.35999999999996</v>
      </c>
      <c r="C74" s="28">
        <f t="shared" si="4"/>
        <v>199.08717948717944</v>
      </c>
      <c r="D74" s="28">
        <f t="shared" si="4"/>
        <v>215.64210526315784</v>
      </c>
      <c r="E74" s="28">
        <f t="shared" si="4"/>
        <v>233.09189189189186</v>
      </c>
      <c r="F74" s="28">
        <f t="shared" si="4"/>
        <v>251.51111111111106</v>
      </c>
      <c r="G74" s="28">
        <f t="shared" si="4"/>
        <v>270.98285714285709</v>
      </c>
      <c r="H74" s="28">
        <f t="shared" si="4"/>
        <v>291.59999999999997</v>
      </c>
      <c r="I74" s="28">
        <f t="shared" si="4"/>
        <v>81.439999999999884</v>
      </c>
      <c r="J74" s="28">
        <f t="shared" si="4"/>
        <v>121.22051282051271</v>
      </c>
      <c r="K74" s="28">
        <f t="shared" si="4"/>
        <v>163.09473684210514</v>
      </c>
      <c r="L74" s="28">
        <f t="shared" si="4"/>
        <v>207.23243243243235</v>
      </c>
      <c r="M74" s="28">
        <f t="shared" si="4"/>
        <v>253.82222222222214</v>
      </c>
      <c r="N74" s="28">
        <f t="shared" si="4"/>
        <v>303.07428571428562</v>
      </c>
      <c r="O74" s="28">
        <f t="shared" si="4"/>
        <v>355.22352941176462</v>
      </c>
      <c r="P74" s="28">
        <f t="shared" si="2"/>
        <v>250</v>
      </c>
      <c r="Q74" s="28">
        <f>$A$56+'GWP of methane by scenario'!B$13</f>
        <v>326.36380718411579</v>
      </c>
      <c r="R74" s="28">
        <f>$A$56+'GWP of methane by scenario'!B$14</f>
        <v>356.8058424239573</v>
      </c>
    </row>
    <row r="75" spans="1:18" x14ac:dyDescent="0.25">
      <c r="A75" s="72">
        <f t="shared" si="3"/>
        <v>0.24999999999999967</v>
      </c>
      <c r="B75" s="28">
        <f t="shared" si="4"/>
        <v>178.59999999999997</v>
      </c>
      <c r="C75" s="28">
        <f t="shared" si="4"/>
        <v>194.20512820512818</v>
      </c>
      <c r="D75" s="28">
        <f t="shared" si="4"/>
        <v>210.63157894736838</v>
      </c>
      <c r="E75" s="28">
        <f t="shared" si="4"/>
        <v>227.94594594594591</v>
      </c>
      <c r="F75" s="28">
        <f t="shared" si="4"/>
        <v>246.22222222222217</v>
      </c>
      <c r="G75" s="28">
        <f t="shared" si="4"/>
        <v>265.54285714285709</v>
      </c>
      <c r="H75" s="28">
        <f t="shared" si="4"/>
        <v>285.99999999999994</v>
      </c>
      <c r="I75" s="28">
        <f t="shared" si="4"/>
        <v>69.39999999999992</v>
      </c>
      <c r="J75" s="28">
        <f t="shared" si="4"/>
        <v>108.87179487179478</v>
      </c>
      <c r="K75" s="28">
        <f t="shared" si="4"/>
        <v>150.42105263157885</v>
      </c>
      <c r="L75" s="28">
        <f t="shared" si="4"/>
        <v>194.21621621621614</v>
      </c>
      <c r="M75" s="28">
        <f t="shared" si="4"/>
        <v>240.44444444444434</v>
      </c>
      <c r="N75" s="28">
        <f t="shared" si="4"/>
        <v>289.31428571428557</v>
      </c>
      <c r="O75" s="28">
        <f t="shared" si="4"/>
        <v>341.05882352941165</v>
      </c>
      <c r="P75" s="28">
        <f t="shared" si="2"/>
        <v>250</v>
      </c>
      <c r="Q75" s="28">
        <f>$A$56+'GWP of methane by scenario'!B$13</f>
        <v>326.36380718411579</v>
      </c>
      <c r="R75" s="28">
        <f>$A$56+'GWP of methane by scenario'!B$14</f>
        <v>356.8058424239573</v>
      </c>
    </row>
    <row r="76" spans="1:18" x14ac:dyDescent="0.25">
      <c r="A76" s="72">
        <f t="shared" si="3"/>
        <v>0.19999999999999968</v>
      </c>
      <c r="B76" s="28">
        <f t="shared" si="4"/>
        <v>173.83999999999997</v>
      </c>
      <c r="C76" s="28">
        <f t="shared" si="4"/>
        <v>189.32307692307688</v>
      </c>
      <c r="D76" s="28">
        <f t="shared" si="4"/>
        <v>205.62105263157892</v>
      </c>
      <c r="E76" s="28">
        <f t="shared" si="4"/>
        <v>222.79999999999995</v>
      </c>
      <c r="F76" s="28">
        <f t="shared" si="4"/>
        <v>240.93333333333331</v>
      </c>
      <c r="G76" s="28">
        <f t="shared" si="4"/>
        <v>260.10285714285709</v>
      </c>
      <c r="H76" s="28">
        <f t="shared" si="4"/>
        <v>280.39999999999998</v>
      </c>
      <c r="I76" s="28">
        <f t="shared" si="4"/>
        <v>57.359999999999928</v>
      </c>
      <c r="J76" s="28">
        <f t="shared" si="4"/>
        <v>96.523076923076815</v>
      </c>
      <c r="K76" s="28">
        <f t="shared" si="4"/>
        <v>137.74736842105253</v>
      </c>
      <c r="L76" s="28">
        <f t="shared" si="4"/>
        <v>181.19999999999993</v>
      </c>
      <c r="M76" s="28">
        <f t="shared" si="4"/>
        <v>227.06666666666658</v>
      </c>
      <c r="N76" s="28">
        <f t="shared" si="4"/>
        <v>275.55428571428558</v>
      </c>
      <c r="O76" s="28">
        <f t="shared" si="4"/>
        <v>326.89411764705869</v>
      </c>
      <c r="P76" s="28">
        <f t="shared" si="2"/>
        <v>250</v>
      </c>
      <c r="Q76" s="28">
        <f>$A$56+'GWP of methane by scenario'!B$13</f>
        <v>326.36380718411579</v>
      </c>
      <c r="R76" s="28">
        <f>$A$56+'GWP of methane by scenario'!B$14</f>
        <v>356.8058424239573</v>
      </c>
    </row>
    <row r="77" spans="1:18" x14ac:dyDescent="0.25">
      <c r="A77" s="72">
        <f t="shared" si="3"/>
        <v>0.14999999999999969</v>
      </c>
      <c r="B77" s="28">
        <f t="shared" si="4"/>
        <v>169.07999999999998</v>
      </c>
      <c r="C77" s="28">
        <f t="shared" si="4"/>
        <v>184.44102564102559</v>
      </c>
      <c r="D77" s="28">
        <f t="shared" si="4"/>
        <v>200.61052631578943</v>
      </c>
      <c r="E77" s="28">
        <f t="shared" si="4"/>
        <v>217.65405405405403</v>
      </c>
      <c r="F77" s="28">
        <f t="shared" si="4"/>
        <v>235.64444444444442</v>
      </c>
      <c r="G77" s="28">
        <f t="shared" si="4"/>
        <v>254.66285714285709</v>
      </c>
      <c r="H77" s="28">
        <f t="shared" si="4"/>
        <v>274.79999999999995</v>
      </c>
      <c r="I77" s="28">
        <f t="shared" si="4"/>
        <v>45.319999999999908</v>
      </c>
      <c r="J77" s="28">
        <f t="shared" si="4"/>
        <v>84.174358974358881</v>
      </c>
      <c r="K77" s="28">
        <f t="shared" si="4"/>
        <v>125.07368421052622</v>
      </c>
      <c r="L77" s="28">
        <f t="shared" si="4"/>
        <v>168.18378378378372</v>
      </c>
      <c r="M77" s="28">
        <f t="shared" si="4"/>
        <v>213.68888888888878</v>
      </c>
      <c r="N77" s="28">
        <f t="shared" si="4"/>
        <v>261.79428571428559</v>
      </c>
      <c r="O77" s="28">
        <f t="shared" si="4"/>
        <v>312.72941176470579</v>
      </c>
      <c r="P77" s="28">
        <f t="shared" si="2"/>
        <v>250</v>
      </c>
      <c r="Q77" s="28">
        <f>$A$56+'GWP of methane by scenario'!B$13</f>
        <v>326.36380718411579</v>
      </c>
      <c r="R77" s="28">
        <f>$A$56+'GWP of methane by scenario'!B$14</f>
        <v>356.8058424239573</v>
      </c>
    </row>
    <row r="78" spans="1:18" x14ac:dyDescent="0.25">
      <c r="A78" s="72">
        <f t="shared" si="3"/>
        <v>9.9999999999999686E-2</v>
      </c>
      <c r="B78" s="28">
        <f t="shared" si="4"/>
        <v>164.31999999999996</v>
      </c>
      <c r="C78" s="28">
        <f t="shared" si="4"/>
        <v>179.5589743589743</v>
      </c>
      <c r="D78" s="28">
        <f t="shared" si="4"/>
        <v>195.59999999999997</v>
      </c>
      <c r="E78" s="28">
        <f t="shared" si="4"/>
        <v>212.50810810810808</v>
      </c>
      <c r="F78" s="28">
        <f t="shared" si="4"/>
        <v>230.35555555555553</v>
      </c>
      <c r="G78" s="28">
        <f t="shared" si="4"/>
        <v>249.22285714285709</v>
      </c>
      <c r="H78" s="28">
        <f t="shared" si="4"/>
        <v>269.19999999999993</v>
      </c>
      <c r="I78" s="28">
        <f t="shared" si="4"/>
        <v>33.279999999999916</v>
      </c>
      <c r="J78" s="28">
        <f t="shared" si="4"/>
        <v>71.82564102564092</v>
      </c>
      <c r="K78" s="28">
        <f t="shared" si="4"/>
        <v>112.39999999999989</v>
      </c>
      <c r="L78" s="28">
        <f t="shared" si="4"/>
        <v>155.16756756756749</v>
      </c>
      <c r="M78" s="28">
        <f t="shared" si="4"/>
        <v>200.31111111111102</v>
      </c>
      <c r="N78" s="28">
        <f t="shared" si="4"/>
        <v>248.0342857142856</v>
      </c>
      <c r="O78" s="28">
        <f t="shared" si="4"/>
        <v>298.56470588235283</v>
      </c>
      <c r="P78" s="28">
        <f t="shared" si="2"/>
        <v>250</v>
      </c>
      <c r="Q78" s="28">
        <f>$A$56+'GWP of methane by scenario'!B$13</f>
        <v>326.36380718411579</v>
      </c>
      <c r="R78" s="28">
        <f>$A$56+'GWP of methane by scenario'!B$14</f>
        <v>356.8058424239573</v>
      </c>
    </row>
    <row r="79" spans="1:18" x14ac:dyDescent="0.25">
      <c r="A79" s="72">
        <f t="shared" si="3"/>
        <v>4.9999999999999684E-2</v>
      </c>
      <c r="B79" s="28">
        <f t="shared" si="4"/>
        <v>159.55999999999997</v>
      </c>
      <c r="C79" s="28">
        <f t="shared" si="4"/>
        <v>174.67692307692303</v>
      </c>
      <c r="D79" s="28">
        <f t="shared" ref="C79:O80" si="5">D25+$A$56</f>
        <v>190.58947368421047</v>
      </c>
      <c r="E79" s="28">
        <f t="shared" si="5"/>
        <v>207.36216216216212</v>
      </c>
      <c r="F79" s="28">
        <f t="shared" si="5"/>
        <v>225.06666666666663</v>
      </c>
      <c r="G79" s="28">
        <f t="shared" si="5"/>
        <v>243.7828571428571</v>
      </c>
      <c r="H79" s="28">
        <f t="shared" si="5"/>
        <v>263.59999999999997</v>
      </c>
      <c r="I79" s="28">
        <f t="shared" si="5"/>
        <v>21.239999999999924</v>
      </c>
      <c r="J79" s="28">
        <f t="shared" si="5"/>
        <v>59.476923076922986</v>
      </c>
      <c r="K79" s="28">
        <f t="shared" si="5"/>
        <v>99.726315789473574</v>
      </c>
      <c r="L79" s="28">
        <f t="shared" si="5"/>
        <v>142.15135135135128</v>
      </c>
      <c r="M79" s="28">
        <f t="shared" si="5"/>
        <v>186.93333333333322</v>
      </c>
      <c r="N79" s="28">
        <f t="shared" si="5"/>
        <v>234.27428571428561</v>
      </c>
      <c r="O79" s="28">
        <f t="shared" si="5"/>
        <v>284.39999999999986</v>
      </c>
      <c r="P79" s="28">
        <f t="shared" si="2"/>
        <v>250</v>
      </c>
      <c r="Q79" s="28">
        <f>$A$56+'GWP of methane by scenario'!B$13</f>
        <v>326.36380718411579</v>
      </c>
      <c r="R79" s="28">
        <f>$A$56+'GWP of methane by scenario'!B$14</f>
        <v>356.8058424239573</v>
      </c>
    </row>
    <row r="80" spans="1:18" x14ac:dyDescent="0.25">
      <c r="A80" s="72">
        <f t="shared" si="3"/>
        <v>-3.1918911957973251E-16</v>
      </c>
      <c r="B80" s="28">
        <f t="shared" si="4"/>
        <v>154.79999999999998</v>
      </c>
      <c r="C80" s="28">
        <f t="shared" si="5"/>
        <v>169.79487179487177</v>
      </c>
      <c r="D80" s="28">
        <f t="shared" si="5"/>
        <v>185.57894736842101</v>
      </c>
      <c r="E80" s="28">
        <f t="shared" si="5"/>
        <v>202.2162162162162</v>
      </c>
      <c r="F80" s="28">
        <f t="shared" si="5"/>
        <v>219.77777777777774</v>
      </c>
      <c r="G80" s="28">
        <f t="shared" si="5"/>
        <v>238.3428571428571</v>
      </c>
      <c r="H80" s="28">
        <f t="shared" si="5"/>
        <v>257.99999999999994</v>
      </c>
      <c r="I80" s="28">
        <f t="shared" si="5"/>
        <v>9.1999999999999318</v>
      </c>
      <c r="J80" s="28">
        <f t="shared" si="5"/>
        <v>47.128205128205025</v>
      </c>
      <c r="K80" s="28">
        <f t="shared" si="5"/>
        <v>87.052631578947285</v>
      </c>
      <c r="L80" s="28">
        <f t="shared" si="5"/>
        <v>129.13513513513507</v>
      </c>
      <c r="M80" s="28">
        <f t="shared" si="5"/>
        <v>173.55555555555549</v>
      </c>
      <c r="N80" s="28">
        <f t="shared" si="5"/>
        <v>220.51428571428559</v>
      </c>
      <c r="O80" s="28">
        <f t="shared" si="5"/>
        <v>270.23529411764696</v>
      </c>
      <c r="P80" s="28">
        <f t="shared" si="2"/>
        <v>250</v>
      </c>
      <c r="Q80" s="28">
        <f>$A$56+'GWP of methane by scenario'!B$13</f>
        <v>326.36380718411579</v>
      </c>
      <c r="R80" s="28">
        <f>$A$56+'GWP of methane by scenario'!B$14</f>
        <v>356.8058424239573</v>
      </c>
    </row>
    <row r="81" spans="1:18" x14ac:dyDescent="0.25">
      <c r="A81" s="13"/>
      <c r="B81" s="13"/>
      <c r="C81" s="13"/>
      <c r="D81" s="13"/>
      <c r="E81" s="13"/>
      <c r="F81" s="13"/>
      <c r="G81" s="13"/>
      <c r="H81" s="13"/>
      <c r="I81" s="13"/>
      <c r="J81" s="13"/>
      <c r="K81" s="13"/>
      <c r="L81" s="13"/>
      <c r="M81" s="13"/>
      <c r="N81" s="13"/>
      <c r="O81" s="13"/>
      <c r="P81" s="13"/>
      <c r="Q81" s="13"/>
      <c r="R81" s="13"/>
    </row>
    <row r="82" spans="1:18" x14ac:dyDescent="0.25">
      <c r="A82" s="13"/>
      <c r="B82" s="13"/>
      <c r="C82" s="13"/>
      <c r="D82" s="13"/>
      <c r="E82" s="13"/>
      <c r="F82" s="13"/>
      <c r="G82" s="13"/>
      <c r="H82" s="13"/>
      <c r="I82" s="13"/>
      <c r="J82" s="13"/>
      <c r="K82" s="13"/>
      <c r="L82" s="13"/>
      <c r="M82" s="13"/>
      <c r="N82" s="13"/>
      <c r="O82" s="13"/>
      <c r="P82" s="13"/>
      <c r="Q82" s="13"/>
      <c r="R82" s="13"/>
    </row>
    <row r="83" spans="1:18" x14ac:dyDescent="0.25">
      <c r="B83" s="13"/>
      <c r="C83" s="13"/>
      <c r="D83" s="13"/>
      <c r="E83" s="13"/>
      <c r="F83" s="13"/>
      <c r="G83" s="13"/>
      <c r="H83" s="13"/>
      <c r="I83" s="13"/>
      <c r="J83" s="13"/>
      <c r="K83" s="13"/>
      <c r="L83" s="13"/>
      <c r="M83" s="13"/>
      <c r="N83" s="13"/>
      <c r="O83" s="13"/>
      <c r="P83" s="13"/>
      <c r="Q83" s="13"/>
      <c r="R83" s="13"/>
    </row>
  </sheetData>
  <mergeCells count="5">
    <mergeCell ref="I5:O5"/>
    <mergeCell ref="B5:H5"/>
    <mergeCell ref="B59:H59"/>
    <mergeCell ref="I59:O59"/>
    <mergeCell ref="A1:R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Cover</vt:lpstr>
      <vt:lpstr>Methane leakage assumptions</vt:lpstr>
      <vt:lpstr>GWP of methane by scenario</vt:lpstr>
      <vt:lpstr>Figures--&gt;</vt:lpstr>
      <vt:lpstr>Figure 1 - GWP, intl prod</vt:lpstr>
      <vt:lpstr>Figure 2 - vented vs intl prod</vt:lpstr>
      <vt:lpstr>Figure 3 - 99% eff flare</vt:lpstr>
      <vt:lpstr>Figure S1 - 86% eff flare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Grubert, Emily</dc:creator>
  <cp:lastModifiedBy>Microsoft Office User</cp:lastModifiedBy>
  <dcterms:created xsi:type="dcterms:W3CDTF">2019-05-16T19:38:26Z</dcterms:created>
  <dcterms:modified xsi:type="dcterms:W3CDTF">2022-09-02T18:28:39Z</dcterms:modified>
</cp:coreProperties>
</file>