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ill\Documents\Documents\Solaflect\Politics\Solar and the Grid\Submission to PUC April 2022\"/>
    </mc:Choice>
  </mc:AlternateContent>
  <xr:revisionPtr revIDLastSave="0" documentId="13_ncr:1_{04897BBE-47EA-486D-A1AE-ABEE367ACDC6}" xr6:coauthVersionLast="47" xr6:coauthVersionMax="47" xr10:uidLastSave="{00000000-0000-0000-0000-000000000000}"/>
  <bookViews>
    <workbookView xWindow="-120" yWindow="-120" windowWidth="29040" windowHeight="15840" xr2:uid="{FB489435-9E7F-4A12-AB31-8A5A16E583C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6" i="1" l="1"/>
  <c r="D111" i="1"/>
  <c r="D112" i="1" s="1"/>
  <c r="D74" i="1"/>
  <c r="D119" i="1" l="1"/>
  <c r="D120" i="1" s="1"/>
  <c r="D114" i="1"/>
  <c r="D116" i="1" s="1"/>
  <c r="D104" i="1"/>
  <c r="D94" i="1"/>
  <c r="D95" i="1" s="1"/>
  <c r="D80" i="1"/>
  <c r="D82" i="1" s="1"/>
  <c r="D84" i="1" s="1"/>
  <c r="D86" i="1" s="1"/>
  <c r="D70" i="1"/>
  <c r="D71" i="1" s="1"/>
  <c r="D61" i="1"/>
  <c r="D52" i="1"/>
  <c r="D53" i="1" s="1"/>
  <c r="D19" i="1"/>
  <c r="D15" i="1"/>
  <c r="D43" i="1" s="1"/>
  <c r="D96" i="1" l="1"/>
  <c r="D97" i="1" s="1"/>
  <c r="D100" i="1" s="1"/>
  <c r="D103" i="1" s="1"/>
  <c r="D62" i="1"/>
  <c r="D20" i="1"/>
  <c r="D101" i="1" l="1"/>
  <c r="D105" i="1" s="1"/>
  <c r="D31" i="1"/>
  <c r="D33" i="1"/>
  <c r="D34" i="1" s="1"/>
  <c r="D35" i="1" s="1"/>
  <c r="D9" i="1" s="1"/>
  <c r="D41" i="1"/>
  <c r="D54" i="1"/>
  <c r="D55" i="1" s="1"/>
  <c r="D63" i="1"/>
  <c r="D64" i="1" s="1"/>
  <c r="D42" i="1" l="1"/>
  <c r="D7" i="1" s="1"/>
  <c r="D44" i="1"/>
  <c r="D8" i="1" s="1"/>
</calcChain>
</file>

<file path=xl/sharedStrings.xml><?xml version="1.0" encoding="utf-8"?>
<sst xmlns="http://schemas.openxmlformats.org/spreadsheetml/2006/main" count="196" uniqueCount="175">
  <si>
    <t>Prepared by Bill Bender, D.Phil. Economics; President Solaflect Energy</t>
  </si>
  <si>
    <t>Best case carbon savings by changing from propane furnace to efficient heat pump</t>
  </si>
  <si>
    <t>Cell D45</t>
  </si>
  <si>
    <t>Carbon savings by changing from propane furnace to small heat pump</t>
  </si>
  <si>
    <t>Cell D44</t>
  </si>
  <si>
    <t>Item</t>
  </si>
  <si>
    <t>Value</t>
  </si>
  <si>
    <t>Units</t>
  </si>
  <si>
    <t>Notes</t>
  </si>
  <si>
    <t>Source</t>
  </si>
  <si>
    <t>Annual Emissions from Most Efficient Size of Single Zone Heat Pump</t>
  </si>
  <si>
    <t>Single Zone Heat Pump Efficiency</t>
  </si>
  <si>
    <t>7.53 - 12.47</t>
  </si>
  <si>
    <t>MMBtu/MWh</t>
  </si>
  <si>
    <t>Leat efficient 6,000  BTU nameplate capacity, most efficient 24,000 BTU nameplate capacity</t>
  </si>
  <si>
    <t>CO2 Cost Effectiveness Model DRAFT Higher RES 30Dec2020, Assumptions tab, lines 86-91</t>
  </si>
  <si>
    <t>Heat Pump Efficiency (efficient single zone heat pump)</t>
  </si>
  <si>
    <t>Select most efficient as conservative calculation</t>
  </si>
  <si>
    <t>CO2 Cost Effectiveness Model DRAFT Higher RES 30Dec2020 24,000 BTU Single Zone Heat Pump</t>
  </si>
  <si>
    <t>Heat Pump Efficiency (less efficient single zone heat pump)</t>
  </si>
  <si>
    <t>Less efficient single zone heat pump</t>
  </si>
  <si>
    <t>CO2 Cost Effectiveness Model DRAFT Higher RES 30Dec2020 6,000 BTU Single Zone Heat Pump</t>
  </si>
  <si>
    <t>Heat Pump Annual Electricity Consumption</t>
  </si>
  <si>
    <t>MWh</t>
  </si>
  <si>
    <t>CO2 Cost Effectiveness Model DRAFT Higher RES 30Dec2020, Assumptions tab, J91</t>
  </si>
  <si>
    <t>Marginal Emissions Rate of ISO-NE</t>
  </si>
  <si>
    <r>
      <t>lbs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/MWh</t>
    </r>
  </si>
  <si>
    <t>Calculated from ISO-NE report (Bender White Paper)</t>
  </si>
  <si>
    <r>
      <t>Annual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Emissions from One Heat Pump</t>
    </r>
  </si>
  <si>
    <r>
      <t>lbs CO</t>
    </r>
    <r>
      <rPr>
        <vertAlign val="subscript"/>
        <sz val="11"/>
        <color theme="1"/>
        <rFont val="Calibri"/>
        <family val="2"/>
        <scheme val="minor"/>
      </rPr>
      <t>2</t>
    </r>
  </si>
  <si>
    <t>MMBtu delivered annually</t>
  </si>
  <si>
    <t>MMBtu</t>
  </si>
  <si>
    <t>Agrees with CO2 Cost Effectiveness Model DRAFT Higher RES 30Dec2020, Cold-Climate Heat Pump tab, cell D18 if 24,000 BTU Heat Pump is selected in cell C8</t>
  </si>
  <si>
    <t>Fugitive emissions of methane</t>
  </si>
  <si>
    <t>EIA</t>
  </si>
  <si>
    <t>Annual Emissions from Oil Furnace producing Same Heat</t>
  </si>
  <si>
    <t>BTUs per gallon #2 heating oil</t>
  </si>
  <si>
    <t>BTUs</t>
  </si>
  <si>
    <t>https://www.eia.gov/dnav/pet/pet_cons_821dst_dcu_SVT_a.htm</t>
  </si>
  <si>
    <t>Furnace efficiency</t>
  </si>
  <si>
    <t>Assumption</t>
  </si>
  <si>
    <t>Gallons per year of oil to provide same BTUs as heat pump</t>
  </si>
  <si>
    <t>D20 * 1,000,000 / (D29 * D30)</t>
  </si>
  <si>
    <t>Heating Oil carbon content</t>
  </si>
  <si>
    <r>
      <t>lbs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/MMBtu</t>
    </r>
  </si>
  <si>
    <t>CO2 Cost Effectiveness Model DRAFT Higher RES 30Dec2020, Assumptions tab, B105 (from EIA)</t>
  </si>
  <si>
    <t>Heating Oil Emissions is used instead of heat pump</t>
  </si>
  <si>
    <t>1 - (D19 / D33)</t>
  </si>
  <si>
    <t>Annual Emissions from Propane Furnace producing Same Heat</t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</si>
  <si>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emissions from propane</t>
    </r>
  </si>
  <si>
    <t>CO2 Cost Effectiveness Model DRAFT Higher RES 30Dec2020, Assumptions tab, B104 (from EIA)</t>
  </si>
  <si>
    <t>Propane furnace efficiency</t>
  </si>
  <si>
    <r>
      <t>Annual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emissions from propane furnace equal to heat pump</t>
    </r>
  </si>
  <si>
    <t>D20 * D39 / D40</t>
  </si>
  <si>
    <t>Carbon savings by converting from propane furnace to most efficient heat pump</t>
  </si>
  <si>
    <t>1 - (D19 / D41)</t>
  </si>
  <si>
    <r>
      <t>Annual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emissions from less efficient heat pump</t>
    </r>
  </si>
  <si>
    <t>D19 * (D16 / D15)</t>
  </si>
  <si>
    <t>Carbon savings by converting from propane furnace to less efficient heat pump</t>
  </si>
  <si>
    <t>1 - (D43 / D41)</t>
  </si>
  <si>
    <t>Statewide Energy Calculations</t>
  </si>
  <si>
    <t xml:space="preserve">    Distallate Fuel Oil</t>
  </si>
  <si>
    <t>Residential sales of distallate fuel oil 2020</t>
  </si>
  <si>
    <t>Gallons</t>
  </si>
  <si>
    <t>MMBTUs in VT distallate fuel oil sales</t>
  </si>
  <si>
    <t>MMBTUs</t>
  </si>
  <si>
    <t>D51 * (D29 / 1,000,000)</t>
  </si>
  <si>
    <t>MMBTUs delivered</t>
  </si>
  <si>
    <t>D52 * D30</t>
  </si>
  <si>
    <t>Heat pumps  to displace distallate oil</t>
  </si>
  <si>
    <t>Number of heat pumps</t>
  </si>
  <si>
    <t>24,000 BTU single zone</t>
  </si>
  <si>
    <t>Energy required</t>
  </si>
  <si>
    <t>TWh</t>
  </si>
  <si>
    <t>(D54 * D17) / 1,000,000</t>
  </si>
  <si>
    <t xml:space="preserve">    Natural Gas</t>
  </si>
  <si>
    <t>Natural gas consumption 2020</t>
  </si>
  <si>
    <t>Million cubic feet</t>
  </si>
  <si>
    <t>https://www.eia.gov/dnav/ng/ng_sum_snd_a_EPG0_VC0_Mmcf_a.htm</t>
  </si>
  <si>
    <t>BTUs per cubic foot of natural gas</t>
  </si>
  <si>
    <r>
      <t>BTU / ft</t>
    </r>
    <r>
      <rPr>
        <vertAlign val="superscript"/>
        <sz val="11"/>
        <color theme="1"/>
        <rFont val="Calibri"/>
        <family val="2"/>
        <scheme val="minor"/>
      </rPr>
      <t>3</t>
    </r>
  </si>
  <si>
    <t>MMBTUs in VT natural gas consumption 2020</t>
  </si>
  <si>
    <t>D59 * D60</t>
  </si>
  <si>
    <t>D61 * D40</t>
  </si>
  <si>
    <t>Heat pumps to displace natural gas consumption</t>
  </si>
  <si>
    <t>(D63 * D17) / 1,000,000</t>
  </si>
  <si>
    <t xml:space="preserve">    EVs</t>
  </si>
  <si>
    <t>Miles driven in Vermont</t>
  </si>
  <si>
    <t>Billion miles</t>
  </si>
  <si>
    <t>https://vtrans.vermont.gov/sites/aot/files/planning/documents/planning/The%20Vermont%20Transportation%20Energy%20Profile_2019_Final.pdf, page 6. Note that label on Table in incorrect; it is billion miles, not million miles (which would be 10 miles per person per year). Also see https://www.bts.dot.gov/sites/bts.dot.gov/files/states2020/Vermont.pdf, page 2.</t>
  </si>
  <si>
    <t>Miles per kWh</t>
  </si>
  <si>
    <t>High estimate (conservative for energy calculation)</t>
  </si>
  <si>
    <t>kWh needed for current miles driven</t>
  </si>
  <si>
    <t>Billion kWh</t>
  </si>
  <si>
    <t>TWh needed for current miles driven</t>
  </si>
  <si>
    <t>Most Efficient Combined Cycle Natural Gas Plant</t>
  </si>
  <si>
    <t>Best CC heat rate for natural gas per kWh</t>
  </si>
  <si>
    <t>BTUs/kWh</t>
  </si>
  <si>
    <t>https://evcvaluation.com/declining-natural-gas-fired-heat-rates/</t>
  </si>
  <si>
    <t>Best CC heat rate for natural gas per MWh</t>
  </si>
  <si>
    <t>BTUs/MWh</t>
  </si>
  <si>
    <t>D79 *1000</t>
  </si>
  <si>
    <t>Natural gas energy</t>
  </si>
  <si>
    <t xml:space="preserve"> </t>
  </si>
  <si>
    <r>
      <t>BTUs/MCF (1000 ft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</si>
  <si>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https://www.eia.gov/energyexplained/units-and-calculators/british-thermal-units.php</t>
  </si>
  <si>
    <t>MCF natural gas per MWh</t>
  </si>
  <si>
    <t>MCF/MWh</t>
  </si>
  <si>
    <t>D80 / D81</t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</si>
  <si>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emissions natural gas</t>
    </r>
  </si>
  <si>
    <r>
      <t>Lbs CO2/MCF (1000 ft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</si>
  <si>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https://www.epa.gov/energy/greenhouse-gas-equivalencies-calculator</t>
  </si>
  <si>
    <r>
      <t>Lbs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per MWh natural gas</t>
    </r>
  </si>
  <si>
    <t>Lbs CO2 per MWh</t>
  </si>
  <si>
    <t>Best case natural gas plant compared to ISO-NE marginal emissions rate</t>
  </si>
  <si>
    <t>D84 / D18</t>
  </si>
  <si>
    <t>ISO-New England</t>
  </si>
  <si>
    <t>Net Energy for Load (2020)</t>
  </si>
  <si>
    <t>GWh</t>
  </si>
  <si>
    <t>https://www.iso-ne.com/isoexpress/web/reports/load-and-demand/-/tree/net-ener-peak-load</t>
  </si>
  <si>
    <t>Fossil Generation in New England</t>
  </si>
  <si>
    <t>Percent fossil generation for New England load</t>
  </si>
  <si>
    <t>Fossil generation to be replaced</t>
  </si>
  <si>
    <t>D93 * D92</t>
  </si>
  <si>
    <t>Wind installations required to displace New England fossil generation</t>
  </si>
  <si>
    <t>GW installations</t>
  </si>
  <si>
    <t>D94 / (12*365)</t>
  </si>
  <si>
    <t>bbender@solaflect.com</t>
  </si>
  <si>
    <t>Heat Pump direct emissions savings (excludes fugitive emissions)</t>
  </si>
  <si>
    <t>Renewables required to double electricity supply and eliminate fossil generation</t>
  </si>
  <si>
    <t>Vermont's approximate share</t>
  </si>
  <si>
    <t>MWh/year per MW solar installed</t>
  </si>
  <si>
    <t>Acres per MW solar</t>
  </si>
  <si>
    <t>Acres</t>
  </si>
  <si>
    <t>MW solar required to supply Vermont's electricity</t>
  </si>
  <si>
    <t>Amount required per year if linear to 2050</t>
  </si>
  <si>
    <t>MW solar per year</t>
  </si>
  <si>
    <t>Cost per watt</t>
  </si>
  <si>
    <t>Total investment required</t>
  </si>
  <si>
    <t>Billion dollars</t>
  </si>
  <si>
    <t>Lost Federal dollars over last five years if extra 1 GW of solar had been built</t>
  </si>
  <si>
    <t>Millions of dollars</t>
  </si>
  <si>
    <t>https://www.bts.gov/content/average-fuel-efficiency-us-light-duty-vehicles</t>
  </si>
  <si>
    <t>Miles per gallon</t>
  </si>
  <si>
    <t>US fleet average MPG</t>
  </si>
  <si>
    <t>https://www.eia.gov/environment/emissions/co2_vol_mass.php</t>
  </si>
  <si>
    <t>Pounds CO2 per gallon</t>
  </si>
  <si>
    <t>CO2 per gallon gasoline</t>
  </si>
  <si>
    <t>D68 / D69</t>
  </si>
  <si>
    <t>D70</t>
  </si>
  <si>
    <t>CO2 emitted by EV compared to average gasoline light duty vehicle</t>
  </si>
  <si>
    <t>Acres required per year</t>
  </si>
  <si>
    <t>AMU</t>
  </si>
  <si>
    <t>CO2 / Methane atomic weights</t>
  </si>
  <si>
    <t>20 year methane GWP</t>
  </si>
  <si>
    <t>20 year ratio fugitive emissions to combustion</t>
  </si>
  <si>
    <t>20 year GWP/ Ratio atomic weights</t>
  </si>
  <si>
    <t>Fugitive emissions ratio</t>
  </si>
  <si>
    <t>20 year contribution of fugitive emissions</t>
  </si>
  <si>
    <t>100 year methane GWP</t>
  </si>
  <si>
    <t>100 year GWP/ Ratio atomic weights</t>
  </si>
  <si>
    <t>100 year ratio fugitive emissions to combustion</t>
  </si>
  <si>
    <t>100 year contribution of fugitive emissions</t>
  </si>
  <si>
    <t>Fugitive emissions of natural gas</t>
  </si>
  <si>
    <r>
      <t>Methane atomic weight (CH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</si>
  <si>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atomic weight</t>
    </r>
  </si>
  <si>
    <r>
      <t>Ratio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/Methane weights</t>
    </r>
  </si>
  <si>
    <t>Carbon savings by changing from oil furnace to efficient heat pump</t>
  </si>
  <si>
    <t>Heat Pump direct emissions savings (includes minimum estimate of fugitive emissions)</t>
  </si>
  <si>
    <t>20 year GWP of methane</t>
  </si>
  <si>
    <t>Best case estimate with 20 year GWP of methane</t>
  </si>
  <si>
    <t>Assumes fugitive emissions identical for propane and natural gas</t>
  </si>
  <si>
    <t>Vermont Climate Change Data</t>
  </si>
  <si>
    <t>Wind required per year instead of solar</t>
  </si>
  <si>
    <t>MW wind per year; overly optimistic capacity factor (even for offshore wind) of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</si>
</sst>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3" formatCode="_(* #,##0.00_);_(* \(#,##0.00\);_(* &quot;-&quot;??_);_(@_)"/>
    <numFmt numFmtId="164" formatCode="0.0%"/>
    <numFmt numFmtId="165" formatCode="_(* #,##0_);_(* \(#,##0\);_(* &quot;-&quot;??_);_(@_)"/>
    <numFmt numFmtId="166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49" fontId="0" fillId="0" borderId="0" xfId="0" applyNumberFormat="1" applyAlignment="1">
      <alignment wrapText="1"/>
    </xf>
    <xf numFmtId="0" fontId="5" fillId="0" borderId="0" xfId="0" applyFont="1"/>
    <xf numFmtId="9" fontId="0" fillId="0" borderId="0" xfId="0" applyNumberFormat="1"/>
    <xf numFmtId="9" fontId="2" fillId="0" borderId="0" xfId="0" applyNumberFormat="1" applyFont="1"/>
    <xf numFmtId="0" fontId="6" fillId="0" borderId="0" xfId="0" applyFont="1"/>
    <xf numFmtId="0" fontId="0" fillId="0" borderId="0" xfId="0" quotePrefix="1" applyAlignment="1">
      <alignment horizontal="right"/>
    </xf>
    <xf numFmtId="2" fontId="0" fillId="0" borderId="0" xfId="0" applyNumberFormat="1"/>
    <xf numFmtId="164" fontId="0" fillId="0" borderId="0" xfId="2" applyNumberFormat="1" applyFont="1"/>
    <xf numFmtId="3" fontId="0" fillId="0" borderId="0" xfId="0" applyNumberFormat="1"/>
    <xf numFmtId="43" fontId="0" fillId="0" borderId="0" xfId="0" applyNumberFormat="1"/>
    <xf numFmtId="9" fontId="0" fillId="0" borderId="0" xfId="2" applyFont="1"/>
    <xf numFmtId="0" fontId="0" fillId="0" borderId="0" xfId="0" quotePrefix="1"/>
    <xf numFmtId="43" fontId="0" fillId="0" borderId="0" xfId="1" applyFont="1"/>
    <xf numFmtId="9" fontId="2" fillId="0" borderId="0" xfId="2" applyFont="1"/>
    <xf numFmtId="0" fontId="3" fillId="0" borderId="0" xfId="3"/>
    <xf numFmtId="165" fontId="0" fillId="0" borderId="0" xfId="1" applyNumberFormat="1" applyFont="1"/>
    <xf numFmtId="49" fontId="0" fillId="0" borderId="0" xfId="1" applyNumberFormat="1" applyFont="1" applyAlignment="1">
      <alignment wrapText="1"/>
    </xf>
    <xf numFmtId="165" fontId="0" fillId="0" borderId="0" xfId="0" applyNumberFormat="1"/>
    <xf numFmtId="10" fontId="0" fillId="0" borderId="0" xfId="0" applyNumberFormat="1"/>
    <xf numFmtId="166" fontId="0" fillId="0" borderId="0" xfId="0" applyNumberFormat="1"/>
    <xf numFmtId="8" fontId="0" fillId="0" borderId="0" xfId="0" applyNumberFormat="1"/>
    <xf numFmtId="49" fontId="0" fillId="0" borderId="0" xfId="0" applyNumberFormat="1" applyAlignment="1">
      <alignment horizontal="left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ll/Documents/Documents/Solaflect/Politics/Solar%20and%20the%20Grid/CO2%20Cost%20Effectiveness%20Model%20DRAFT%20Higher%20RES%2030Dec2020%20w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Assumptions"/>
      <sheetName val="Bender Heat Pump Analysis"/>
      <sheetName val="Summary Findings"/>
      <sheetName val="ElecEfficiency2019"/>
      <sheetName val="Advanced Wood Heat"/>
      <sheetName val="Electric Vehicles"/>
      <sheetName val="Net Metering_IncentCost"/>
      <sheetName val="Net Metering_Resource"/>
      <sheetName val="Tier II Resources"/>
      <sheetName val="Cold-Climate Heat Pump"/>
      <sheetName val="Electric Buses"/>
      <sheetName val="Weatherization"/>
      <sheetName val="Heat Pump Water Heater"/>
      <sheetName val="RES_Fossil_Fuel_Free"/>
      <sheetName val="Price Forecasts - PSD"/>
      <sheetName val="Price Forecasts - EIA AEO"/>
      <sheetName val="EV Price and Efficiency Calcs"/>
    </sheetNames>
    <sheetDataSet>
      <sheetData sheetId="0"/>
      <sheetData sheetId="1">
        <row r="91">
          <cell r="N91">
            <v>7.5309527435897436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so-ne.com/isoexpress/web/reports/load-and-demand/-/tree/net-ener-peak-load" TargetMode="External"/><Relationship Id="rId2" Type="http://schemas.openxmlformats.org/officeDocument/2006/relationships/hyperlink" Target="https://vtrans.vermont.gov/sites/aot/files/planning/documents/planning/The%20Vermont%20Transportation%20Energy%20Profile_2019_Final.pdf,%20page%206.%20Note%20that%20label%20on%20Table%20in%20incorrect;%20it%20is%20billion%20miles,%20not%20million%20miles%20(which%20would%20be%2010%20miles%20per%20person%20per%20year)." TargetMode="External"/><Relationship Id="rId1" Type="http://schemas.openxmlformats.org/officeDocument/2006/relationships/hyperlink" Target="https://www.eia.gov/dnav/pet/pet_cons_821dst_dcu_SVT_a.htm" TargetMode="External"/><Relationship Id="rId4" Type="http://schemas.openxmlformats.org/officeDocument/2006/relationships/hyperlink" Target="mailto:bbender@solaflec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1897A-5717-4D42-8C94-4CB98726256F}">
  <sheetPr codeName="Sheet1"/>
  <dimension ref="A1:J120"/>
  <sheetViews>
    <sheetView tabSelected="1" topLeftCell="A16" workbookViewId="0">
      <selection activeCell="J41" sqref="J41"/>
    </sheetView>
  </sheetViews>
  <sheetFormatPr defaultRowHeight="15" x14ac:dyDescent="0.25"/>
  <cols>
    <col min="1" max="1" width="53.28515625" customWidth="1"/>
    <col min="3" max="3" width="10.85546875" bestFit="1" customWidth="1"/>
    <col min="4" max="4" width="15.140625" bestFit="1" customWidth="1"/>
    <col min="6" max="7" width="12.140625" customWidth="1"/>
    <col min="8" max="8" width="32.42578125" style="2" customWidth="1"/>
    <col min="15" max="15" width="10.5703125" customWidth="1"/>
  </cols>
  <sheetData>
    <row r="1" spans="1:10" ht="18.75" x14ac:dyDescent="0.3">
      <c r="A1" s="1" t="s">
        <v>172</v>
      </c>
    </row>
    <row r="3" spans="1:10" x14ac:dyDescent="0.25">
      <c r="A3" s="3" t="s">
        <v>0</v>
      </c>
    </row>
    <row r="4" spans="1:10" x14ac:dyDescent="0.25">
      <c r="A4" s="16" t="s">
        <v>127</v>
      </c>
    </row>
    <row r="5" spans="1:10" x14ac:dyDescent="0.25">
      <c r="A5" s="3"/>
    </row>
    <row r="7" spans="1:10" x14ac:dyDescent="0.25">
      <c r="A7" t="s">
        <v>1</v>
      </c>
      <c r="D7" s="4">
        <f>D42</f>
        <v>0.17898466523442536</v>
      </c>
      <c r="F7" t="s">
        <v>171</v>
      </c>
      <c r="J7" t="s">
        <v>2</v>
      </c>
    </row>
    <row r="8" spans="1:10" x14ac:dyDescent="0.25">
      <c r="A8" t="s">
        <v>3</v>
      </c>
      <c r="D8" s="5">
        <f>D44</f>
        <v>-0.3594642767133589</v>
      </c>
      <c r="J8" t="s">
        <v>4</v>
      </c>
    </row>
    <row r="9" spans="1:10" x14ac:dyDescent="0.25">
      <c r="A9" t="s">
        <v>167</v>
      </c>
      <c r="D9" s="5">
        <f>D35</f>
        <v>-2.8738274386962304E-2</v>
      </c>
      <c r="F9" t="s">
        <v>170</v>
      </c>
    </row>
    <row r="11" spans="1:10" x14ac:dyDescent="0.25">
      <c r="A11" t="s">
        <v>5</v>
      </c>
      <c r="D11" t="s">
        <v>6</v>
      </c>
      <c r="F11" t="s">
        <v>7</v>
      </c>
      <c r="H11" s="2" t="s">
        <v>8</v>
      </c>
      <c r="J11" t="s">
        <v>9</v>
      </c>
    </row>
    <row r="13" spans="1:10" ht="15.75" x14ac:dyDescent="0.25">
      <c r="A13" s="6" t="s">
        <v>10</v>
      </c>
    </row>
    <row r="14" spans="1:10" ht="45" x14ac:dyDescent="0.25">
      <c r="A14" t="s">
        <v>11</v>
      </c>
      <c r="D14" s="7" t="s">
        <v>12</v>
      </c>
      <c r="F14" t="s">
        <v>13</v>
      </c>
      <c r="H14" s="2" t="s">
        <v>14</v>
      </c>
      <c r="J14" t="s">
        <v>15</v>
      </c>
    </row>
    <row r="15" spans="1:10" ht="30" x14ac:dyDescent="0.25">
      <c r="A15" t="s">
        <v>16</v>
      </c>
      <c r="D15" s="8">
        <f>[1]Assumptions!N91</f>
        <v>7.5309527435897436</v>
      </c>
      <c r="F15" t="s">
        <v>13</v>
      </c>
      <c r="H15" s="2" t="s">
        <v>17</v>
      </c>
      <c r="J15" t="s">
        <v>18</v>
      </c>
    </row>
    <row r="16" spans="1:10" ht="30" x14ac:dyDescent="0.25">
      <c r="A16" t="s">
        <v>19</v>
      </c>
      <c r="D16" s="8">
        <v>12.47</v>
      </c>
      <c r="F16" t="s">
        <v>13</v>
      </c>
      <c r="H16" s="2" t="s">
        <v>20</v>
      </c>
      <c r="J16" t="s">
        <v>21</v>
      </c>
    </row>
    <row r="17" spans="1:10" x14ac:dyDescent="0.25">
      <c r="A17" t="s">
        <v>22</v>
      </c>
      <c r="D17" s="8">
        <v>3.78</v>
      </c>
      <c r="F17" t="s">
        <v>23</v>
      </c>
      <c r="J17" t="s">
        <v>24</v>
      </c>
    </row>
    <row r="18" spans="1:10" ht="18" x14ac:dyDescent="0.35">
      <c r="A18" t="s">
        <v>25</v>
      </c>
      <c r="D18" s="8">
        <v>905</v>
      </c>
      <c r="F18" t="s">
        <v>26</v>
      </c>
      <c r="J18" t="s">
        <v>27</v>
      </c>
    </row>
    <row r="19" spans="1:10" ht="18" x14ac:dyDescent="0.35">
      <c r="A19" t="s">
        <v>28</v>
      </c>
      <c r="D19" s="8">
        <f>D18*D17</f>
        <v>3420.8999999999996</v>
      </c>
      <c r="F19" t="s">
        <v>29</v>
      </c>
    </row>
    <row r="20" spans="1:10" x14ac:dyDescent="0.25">
      <c r="A20" t="s">
        <v>30</v>
      </c>
      <c r="D20" s="8">
        <f>D15*D17</f>
        <v>28.467001370769228</v>
      </c>
      <c r="F20" t="s">
        <v>31</v>
      </c>
      <c r="J20" t="s">
        <v>32</v>
      </c>
    </row>
    <row r="21" spans="1:10" x14ac:dyDescent="0.25">
      <c r="D21" s="8"/>
    </row>
    <row r="22" spans="1:10" x14ac:dyDescent="0.25">
      <c r="A22" t="s">
        <v>33</v>
      </c>
      <c r="D22" s="9">
        <v>1.4E-2</v>
      </c>
      <c r="J22" t="s">
        <v>34</v>
      </c>
    </row>
    <row r="23" spans="1:10" x14ac:dyDescent="0.25">
      <c r="D23" s="8"/>
    </row>
    <row r="24" spans="1:10" x14ac:dyDescent="0.25">
      <c r="D24" s="8"/>
    </row>
    <row r="25" spans="1:10" x14ac:dyDescent="0.25">
      <c r="D25" s="8"/>
    </row>
    <row r="26" spans="1:10" x14ac:dyDescent="0.25">
      <c r="D26" s="8"/>
    </row>
    <row r="27" spans="1:10" ht="15.75" x14ac:dyDescent="0.25">
      <c r="A27" s="6" t="s">
        <v>35</v>
      </c>
      <c r="D27" s="8"/>
    </row>
    <row r="28" spans="1:10" x14ac:dyDescent="0.25">
      <c r="D28" s="8"/>
    </row>
    <row r="29" spans="1:10" x14ac:dyDescent="0.25">
      <c r="A29" t="s">
        <v>36</v>
      </c>
      <c r="D29" s="10">
        <v>138500</v>
      </c>
      <c r="F29" t="s">
        <v>37</v>
      </c>
      <c r="G29" s="10"/>
      <c r="J29" t="s">
        <v>38</v>
      </c>
    </row>
    <row r="30" spans="1:10" x14ac:dyDescent="0.25">
      <c r="A30" t="s">
        <v>39</v>
      </c>
      <c r="D30" s="4">
        <v>0.8</v>
      </c>
      <c r="G30" s="4"/>
      <c r="J30" t="s">
        <v>40</v>
      </c>
    </row>
    <row r="31" spans="1:10" x14ac:dyDescent="0.25">
      <c r="A31" t="s">
        <v>41</v>
      </c>
      <c r="D31" s="11">
        <f>D20*1000000/(D29*D30)</f>
        <v>256.92239504304359</v>
      </c>
      <c r="J31" t="s">
        <v>42</v>
      </c>
    </row>
    <row r="32" spans="1:10" ht="18" x14ac:dyDescent="0.35">
      <c r="A32" t="s">
        <v>43</v>
      </c>
      <c r="D32" s="8">
        <v>161.30000000000001</v>
      </c>
      <c r="F32" t="s">
        <v>44</v>
      </c>
      <c r="J32" t="s">
        <v>45</v>
      </c>
    </row>
    <row r="33" spans="1:10" ht="18" x14ac:dyDescent="0.35">
      <c r="A33" t="s">
        <v>46</v>
      </c>
      <c r="D33" s="8">
        <f>(D20/D30) * D32</f>
        <v>5739.6591513813455</v>
      </c>
      <c r="F33" t="s">
        <v>29</v>
      </c>
    </row>
    <row r="34" spans="1:10" x14ac:dyDescent="0.25">
      <c r="A34" t="s">
        <v>128</v>
      </c>
      <c r="D34" s="12">
        <f>1 - (D19/D33)</f>
        <v>0.40398899834031043</v>
      </c>
      <c r="J34" s="13" t="s">
        <v>47</v>
      </c>
    </row>
    <row r="35" spans="1:10" x14ac:dyDescent="0.25">
      <c r="A35" t="s">
        <v>168</v>
      </c>
      <c r="D35" s="15">
        <f>D34-D116</f>
        <v>-2.8738274386962304E-2</v>
      </c>
      <c r="F35" t="s">
        <v>169</v>
      </c>
      <c r="J35" s="13"/>
    </row>
    <row r="36" spans="1:10" x14ac:dyDescent="0.25">
      <c r="D36" s="12"/>
      <c r="J36" s="13"/>
    </row>
    <row r="37" spans="1:10" ht="15.75" x14ac:dyDescent="0.25">
      <c r="A37" s="6" t="s">
        <v>48</v>
      </c>
      <c r="D37" s="12"/>
      <c r="J37" s="13"/>
    </row>
    <row r="38" spans="1:10" ht="15.75" x14ac:dyDescent="0.25">
      <c r="A38" s="6"/>
      <c r="D38" s="12"/>
      <c r="J38" s="13"/>
    </row>
    <row r="39" spans="1:10" ht="18" x14ac:dyDescent="0.35">
      <c r="A39" t="s">
        <v>49</v>
      </c>
      <c r="D39">
        <v>139.05000000000001</v>
      </c>
      <c r="F39" t="s">
        <v>44</v>
      </c>
      <c r="J39" t="s">
        <v>50</v>
      </c>
    </row>
    <row r="40" spans="1:10" x14ac:dyDescent="0.25">
      <c r="A40" t="s">
        <v>51</v>
      </c>
      <c r="D40" s="12">
        <v>0.95</v>
      </c>
      <c r="J40" s="13" t="s">
        <v>40</v>
      </c>
    </row>
    <row r="41" spans="1:10" ht="18" x14ac:dyDescent="0.35">
      <c r="A41" t="s">
        <v>52</v>
      </c>
      <c r="D41" s="14">
        <f>D20*D39/D40</f>
        <v>4166.6700427425912</v>
      </c>
      <c r="F41" t="s">
        <v>29</v>
      </c>
      <c r="J41" s="13" t="s">
        <v>53</v>
      </c>
    </row>
    <row r="42" spans="1:10" x14ac:dyDescent="0.25">
      <c r="A42" t="s">
        <v>54</v>
      </c>
      <c r="D42" s="12">
        <f>1-(D19/D41)</f>
        <v>0.17898466523442536</v>
      </c>
      <c r="J42" s="13" t="s">
        <v>55</v>
      </c>
    </row>
    <row r="43" spans="1:10" ht="18" x14ac:dyDescent="0.35">
      <c r="A43" t="s">
        <v>56</v>
      </c>
      <c r="D43" s="14">
        <f>D19*D16/D15</f>
        <v>5664.4390759602766</v>
      </c>
      <c r="F43" t="s">
        <v>29</v>
      </c>
      <c r="G43" s="11"/>
      <c r="J43" s="13" t="s">
        <v>57</v>
      </c>
    </row>
    <row r="44" spans="1:10" x14ac:dyDescent="0.25">
      <c r="A44" t="s">
        <v>58</v>
      </c>
      <c r="D44" s="15">
        <f>1-(D43/D41)</f>
        <v>-0.3594642767133589</v>
      </c>
      <c r="J44" s="13" t="s">
        <v>59</v>
      </c>
    </row>
    <row r="45" spans="1:10" x14ac:dyDescent="0.25">
      <c r="D45" s="12"/>
      <c r="J45" s="13"/>
    </row>
    <row r="46" spans="1:10" x14ac:dyDescent="0.25">
      <c r="D46" s="12"/>
      <c r="J46" s="13"/>
    </row>
    <row r="47" spans="1:10" x14ac:dyDescent="0.25">
      <c r="D47" s="12"/>
      <c r="J47" s="13"/>
    </row>
    <row r="48" spans="1:10" ht="15.75" x14ac:dyDescent="0.25">
      <c r="A48" s="6" t="s">
        <v>60</v>
      </c>
      <c r="D48" s="12"/>
      <c r="J48" s="13"/>
    </row>
    <row r="49" spans="1:10" x14ac:dyDescent="0.25">
      <c r="D49" s="12"/>
      <c r="J49" s="13"/>
    </row>
    <row r="50" spans="1:10" ht="15.75" x14ac:dyDescent="0.25">
      <c r="A50" s="6" t="s">
        <v>61</v>
      </c>
      <c r="D50" s="12"/>
      <c r="J50" s="13"/>
    </row>
    <row r="51" spans="1:10" x14ac:dyDescent="0.25">
      <c r="A51" t="s">
        <v>62</v>
      </c>
      <c r="D51" s="10">
        <v>79600000</v>
      </c>
      <c r="F51" t="s">
        <v>63</v>
      </c>
      <c r="J51" s="16" t="s">
        <v>38</v>
      </c>
    </row>
    <row r="52" spans="1:10" x14ac:dyDescent="0.25">
      <c r="A52" t="s">
        <v>64</v>
      </c>
      <c r="D52" s="17">
        <f>D51*(D29/1000000)</f>
        <v>11024600.000000002</v>
      </c>
      <c r="F52" t="s">
        <v>65</v>
      </c>
      <c r="G52" s="17"/>
      <c r="H52" s="18"/>
      <c r="J52" t="s">
        <v>66</v>
      </c>
    </row>
    <row r="53" spans="1:10" x14ac:dyDescent="0.25">
      <c r="A53" t="s">
        <v>67</v>
      </c>
      <c r="D53" s="17">
        <f>D52*D30</f>
        <v>8819680.0000000019</v>
      </c>
      <c r="F53" t="s">
        <v>65</v>
      </c>
      <c r="G53" s="17"/>
      <c r="H53" s="18"/>
      <c r="J53" t="s">
        <v>68</v>
      </c>
    </row>
    <row r="54" spans="1:10" x14ac:dyDescent="0.25">
      <c r="A54" t="s">
        <v>69</v>
      </c>
      <c r="D54" s="19">
        <f>D53/D20</f>
        <v>309821.1815543141</v>
      </c>
      <c r="F54" t="s">
        <v>70</v>
      </c>
      <c r="G54" s="11"/>
      <c r="J54" t="s">
        <v>71</v>
      </c>
    </row>
    <row r="55" spans="1:10" x14ac:dyDescent="0.25">
      <c r="A55" t="s">
        <v>72</v>
      </c>
      <c r="D55" s="14">
        <f>D54*D17/1000000</f>
        <v>1.1711240662753073</v>
      </c>
      <c r="F55" t="s">
        <v>73</v>
      </c>
      <c r="G55" s="14"/>
      <c r="H55" s="18"/>
      <c r="J55" t="s">
        <v>74</v>
      </c>
    </row>
    <row r="56" spans="1:10" x14ac:dyDescent="0.25">
      <c r="D56" s="14"/>
      <c r="G56" s="14"/>
      <c r="H56" s="18"/>
    </row>
    <row r="57" spans="1:10" ht="15.75" x14ac:dyDescent="0.25">
      <c r="A57" s="6" t="s">
        <v>75</v>
      </c>
      <c r="D57" s="14"/>
      <c r="G57" s="14"/>
      <c r="H57" s="18"/>
    </row>
    <row r="58" spans="1:10" ht="15.75" x14ac:dyDescent="0.25">
      <c r="A58" s="6"/>
      <c r="D58" s="14"/>
      <c r="G58" s="14"/>
      <c r="H58" s="18"/>
    </row>
    <row r="59" spans="1:10" x14ac:dyDescent="0.25">
      <c r="A59" t="s">
        <v>76</v>
      </c>
      <c r="D59" s="17">
        <v>13056</v>
      </c>
      <c r="F59" t="s">
        <v>77</v>
      </c>
      <c r="G59" s="14"/>
      <c r="H59" s="18"/>
      <c r="J59" t="s">
        <v>78</v>
      </c>
    </row>
    <row r="60" spans="1:10" ht="17.25" x14ac:dyDescent="0.25">
      <c r="A60" t="s">
        <v>79</v>
      </c>
      <c r="D60" s="17">
        <v>1037</v>
      </c>
      <c r="F60" t="s">
        <v>80</v>
      </c>
      <c r="G60" s="14"/>
      <c r="H60" s="18"/>
    </row>
    <row r="61" spans="1:10" x14ac:dyDescent="0.25">
      <c r="A61" t="s">
        <v>81</v>
      </c>
      <c r="D61" s="17">
        <f>D59*D60</f>
        <v>13539072</v>
      </c>
      <c r="F61" t="s">
        <v>65</v>
      </c>
      <c r="G61" s="14"/>
      <c r="H61" s="18"/>
      <c r="J61" t="s">
        <v>82</v>
      </c>
    </row>
    <row r="62" spans="1:10" x14ac:dyDescent="0.25">
      <c r="A62" t="s">
        <v>67</v>
      </c>
      <c r="D62" s="17">
        <f>D61*D40</f>
        <v>12862118.399999999</v>
      </c>
      <c r="G62" s="14"/>
      <c r="H62" s="18"/>
      <c r="J62" t="s">
        <v>83</v>
      </c>
    </row>
    <row r="63" spans="1:10" x14ac:dyDescent="0.25">
      <c r="A63" t="s">
        <v>84</v>
      </c>
      <c r="D63" s="17">
        <f>D61/D20</f>
        <v>475605.83651435538</v>
      </c>
      <c r="G63" s="14"/>
      <c r="H63" s="18"/>
      <c r="J63" t="s">
        <v>71</v>
      </c>
    </row>
    <row r="64" spans="1:10" x14ac:dyDescent="0.25">
      <c r="A64" t="s">
        <v>72</v>
      </c>
      <c r="D64" s="14">
        <f>D63*D17/1000000</f>
        <v>1.7977900620242633</v>
      </c>
      <c r="F64" t="s">
        <v>73</v>
      </c>
      <c r="G64" s="14"/>
      <c r="H64" s="18"/>
      <c r="J64" t="s">
        <v>85</v>
      </c>
    </row>
    <row r="65" spans="1:10" x14ac:dyDescent="0.25">
      <c r="D65" s="14"/>
      <c r="G65" s="14"/>
      <c r="H65" s="18"/>
    </row>
    <row r="66" spans="1:10" ht="15.75" x14ac:dyDescent="0.25">
      <c r="A66" s="6" t="s">
        <v>86</v>
      </c>
      <c r="D66" s="14"/>
      <c r="G66" s="14"/>
      <c r="H66" s="18"/>
    </row>
    <row r="67" spans="1:10" ht="15.75" x14ac:dyDescent="0.25">
      <c r="A67" s="6"/>
      <c r="D67" s="14"/>
      <c r="G67" s="14"/>
      <c r="H67" s="18"/>
    </row>
    <row r="68" spans="1:10" x14ac:dyDescent="0.25">
      <c r="A68" t="s">
        <v>87</v>
      </c>
      <c r="D68" s="14">
        <v>7.42</v>
      </c>
      <c r="F68" t="s">
        <v>88</v>
      </c>
      <c r="G68" s="14"/>
      <c r="H68" s="18"/>
      <c r="J68" s="16" t="s">
        <v>89</v>
      </c>
    </row>
    <row r="69" spans="1:10" x14ac:dyDescent="0.25">
      <c r="A69" t="s">
        <v>90</v>
      </c>
      <c r="D69" s="14">
        <v>4</v>
      </c>
      <c r="F69" t="s">
        <v>91</v>
      </c>
      <c r="G69" s="14"/>
      <c r="H69" s="18"/>
    </row>
    <row r="70" spans="1:10" x14ac:dyDescent="0.25">
      <c r="A70" t="s">
        <v>92</v>
      </c>
      <c r="D70" s="14">
        <f>D68/D69</f>
        <v>1.855</v>
      </c>
      <c r="F70" t="s">
        <v>93</v>
      </c>
      <c r="G70" s="14"/>
      <c r="H70" s="18"/>
      <c r="J70" t="s">
        <v>148</v>
      </c>
    </row>
    <row r="71" spans="1:10" x14ac:dyDescent="0.25">
      <c r="A71" t="s">
        <v>94</v>
      </c>
      <c r="D71" s="14">
        <f>D70</f>
        <v>1.855</v>
      </c>
      <c r="F71" t="s">
        <v>73</v>
      </c>
      <c r="G71" s="14"/>
      <c r="H71" s="18"/>
      <c r="J71" s="23" t="s">
        <v>149</v>
      </c>
    </row>
    <row r="72" spans="1:10" x14ac:dyDescent="0.25">
      <c r="A72" t="s">
        <v>144</v>
      </c>
      <c r="D72" s="14">
        <v>22.9</v>
      </c>
      <c r="F72" t="s">
        <v>143</v>
      </c>
      <c r="G72" s="14"/>
      <c r="H72" s="18"/>
      <c r="J72" t="s">
        <v>142</v>
      </c>
    </row>
    <row r="73" spans="1:10" x14ac:dyDescent="0.25">
      <c r="A73" t="s">
        <v>147</v>
      </c>
      <c r="D73" s="14">
        <v>19.37</v>
      </c>
      <c r="F73" t="s">
        <v>146</v>
      </c>
      <c r="G73" s="17"/>
      <c r="H73" s="18"/>
      <c r="J73" t="s">
        <v>145</v>
      </c>
    </row>
    <row r="74" spans="1:10" x14ac:dyDescent="0.25">
      <c r="A74" t="s">
        <v>150</v>
      </c>
      <c r="D74" s="9">
        <f>D18/1000/4/(D73/D72)</f>
        <v>0.26748193082085697</v>
      </c>
    </row>
    <row r="75" spans="1:10" x14ac:dyDescent="0.25">
      <c r="D75" s="9"/>
    </row>
    <row r="77" spans="1:10" ht="15.75" x14ac:dyDescent="0.25">
      <c r="A77" s="6" t="s">
        <v>95</v>
      </c>
      <c r="H77"/>
      <c r="I77" s="2"/>
    </row>
    <row r="79" spans="1:10" x14ac:dyDescent="0.25">
      <c r="A79" t="s">
        <v>96</v>
      </c>
      <c r="D79" s="17">
        <v>6654</v>
      </c>
      <c r="F79" t="s">
        <v>97</v>
      </c>
      <c r="J79" t="s">
        <v>98</v>
      </c>
    </row>
    <row r="80" spans="1:10" x14ac:dyDescent="0.25">
      <c r="A80" t="s">
        <v>99</v>
      </c>
      <c r="D80" s="17">
        <f>D79*1000</f>
        <v>6654000</v>
      </c>
      <c r="F80" t="s">
        <v>100</v>
      </c>
      <c r="J80" t="s">
        <v>101</v>
      </c>
    </row>
    <row r="81" spans="1:10" ht="17.25" x14ac:dyDescent="0.25">
      <c r="A81" t="s">
        <v>102</v>
      </c>
      <c r="D81" s="10">
        <v>1037000</v>
      </c>
      <c r="E81" t="s">
        <v>103</v>
      </c>
      <c r="F81" t="s">
        <v>104</v>
      </c>
      <c r="J81" t="s">
        <v>105</v>
      </c>
    </row>
    <row r="82" spans="1:10" x14ac:dyDescent="0.25">
      <c r="A82" t="s">
        <v>106</v>
      </c>
      <c r="D82" s="14">
        <f>D80/D81</f>
        <v>6.4165863066538087</v>
      </c>
      <c r="F82" t="s">
        <v>107</v>
      </c>
      <c r="J82" t="s">
        <v>108</v>
      </c>
    </row>
    <row r="83" spans="1:10" ht="18.75" x14ac:dyDescent="0.35">
      <c r="A83" t="s">
        <v>109</v>
      </c>
      <c r="D83">
        <v>121</v>
      </c>
      <c r="F83" t="s">
        <v>110</v>
      </c>
      <c r="J83" t="s">
        <v>111</v>
      </c>
    </row>
    <row r="84" spans="1:10" ht="18" x14ac:dyDescent="0.35">
      <c r="A84" t="s">
        <v>112</v>
      </c>
      <c r="D84" s="11">
        <f>D82*D83</f>
        <v>776.40694310511083</v>
      </c>
      <c r="F84" t="s">
        <v>113</v>
      </c>
    </row>
    <row r="86" spans="1:10" x14ac:dyDescent="0.25">
      <c r="A86" t="s">
        <v>114</v>
      </c>
      <c r="D86" s="12">
        <f>D84/D18</f>
        <v>0.85790822442553683</v>
      </c>
      <c r="J86" t="s">
        <v>115</v>
      </c>
    </row>
    <row r="90" spans="1:10" ht="15.75" x14ac:dyDescent="0.25">
      <c r="A90" s="6" t="s">
        <v>116</v>
      </c>
    </row>
    <row r="92" spans="1:10" x14ac:dyDescent="0.25">
      <c r="A92" t="s">
        <v>117</v>
      </c>
      <c r="D92" s="10">
        <v>116858.55899799877</v>
      </c>
      <c r="F92" t="s">
        <v>118</v>
      </c>
      <c r="J92" s="16" t="s">
        <v>119</v>
      </c>
    </row>
    <row r="93" spans="1:10" x14ac:dyDescent="0.25">
      <c r="A93" t="s">
        <v>120</v>
      </c>
      <c r="D93" s="20">
        <v>0.46700000000000003</v>
      </c>
      <c r="F93" t="s">
        <v>121</v>
      </c>
    </row>
    <row r="94" spans="1:10" x14ac:dyDescent="0.25">
      <c r="A94" t="s">
        <v>122</v>
      </c>
      <c r="D94" s="17">
        <f>D93*D92</f>
        <v>54572.947052065429</v>
      </c>
      <c r="F94" t="s">
        <v>118</v>
      </c>
      <c r="J94" t="s">
        <v>123</v>
      </c>
    </row>
    <row r="95" spans="1:10" x14ac:dyDescent="0.25">
      <c r="A95" t="s">
        <v>124</v>
      </c>
      <c r="D95" s="11">
        <f>D94/(12*365)</f>
        <v>12.459576952526353</v>
      </c>
      <c r="F95" t="s">
        <v>125</v>
      </c>
      <c r="J95" t="s">
        <v>126</v>
      </c>
    </row>
    <row r="96" spans="1:10" x14ac:dyDescent="0.25">
      <c r="A96" t="s">
        <v>129</v>
      </c>
      <c r="D96" s="19">
        <f>(D94+D92)/1000</f>
        <v>171.4315060500642</v>
      </c>
      <c r="F96" t="s">
        <v>73</v>
      </c>
    </row>
    <row r="97" spans="1:6" x14ac:dyDescent="0.25">
      <c r="A97" t="s">
        <v>130</v>
      </c>
      <c r="D97" s="11">
        <f>(5000/D92)*D96</f>
        <v>7.335</v>
      </c>
      <c r="F97" t="s">
        <v>73</v>
      </c>
    </row>
    <row r="98" spans="1:6" x14ac:dyDescent="0.25">
      <c r="A98" t="s">
        <v>131</v>
      </c>
      <c r="D98" s="10">
        <v>1200</v>
      </c>
    </row>
    <row r="99" spans="1:6" x14ac:dyDescent="0.25">
      <c r="A99" t="s">
        <v>132</v>
      </c>
      <c r="D99">
        <v>5</v>
      </c>
      <c r="F99" t="s">
        <v>133</v>
      </c>
    </row>
    <row r="100" spans="1:6" x14ac:dyDescent="0.25">
      <c r="A100" t="s">
        <v>134</v>
      </c>
      <c r="D100" s="11">
        <f>D97*1000*1000/D98</f>
        <v>6112.5</v>
      </c>
    </row>
    <row r="101" spans="1:6" x14ac:dyDescent="0.25">
      <c r="A101" t="s">
        <v>135</v>
      </c>
      <c r="D101" s="11">
        <f>D100/(2050-2021)</f>
        <v>210.77586206896552</v>
      </c>
      <c r="F101" t="s">
        <v>136</v>
      </c>
    </row>
    <row r="102" spans="1:6" x14ac:dyDescent="0.25">
      <c r="A102" t="s">
        <v>137</v>
      </c>
      <c r="D102" s="22">
        <v>2</v>
      </c>
    </row>
    <row r="103" spans="1:6" x14ac:dyDescent="0.25">
      <c r="A103" t="s">
        <v>138</v>
      </c>
      <c r="D103" s="14">
        <f>D100*D102*1000000/1000000000</f>
        <v>12.225</v>
      </c>
      <c r="F103" t="s">
        <v>139</v>
      </c>
    </row>
    <row r="104" spans="1:6" x14ac:dyDescent="0.25">
      <c r="A104" t="s">
        <v>140</v>
      </c>
      <c r="D104" s="14">
        <f>1000*D102*30%</f>
        <v>600</v>
      </c>
      <c r="F104" t="s">
        <v>141</v>
      </c>
    </row>
    <row r="105" spans="1:6" x14ac:dyDescent="0.25">
      <c r="A105" t="s">
        <v>151</v>
      </c>
      <c r="D105" s="11">
        <f>D101*D99</f>
        <v>1053.8793103448277</v>
      </c>
      <c r="F105" t="s">
        <v>133</v>
      </c>
    </row>
    <row r="106" spans="1:6" x14ac:dyDescent="0.25">
      <c r="A106" t="s">
        <v>173</v>
      </c>
      <c r="D106" s="11">
        <f>D101*D98/(365*12)</f>
        <v>57.746811525743979</v>
      </c>
      <c r="F106" t="s">
        <v>174</v>
      </c>
    </row>
    <row r="108" spans="1:6" ht="15.75" x14ac:dyDescent="0.25">
      <c r="A108" s="6" t="s">
        <v>163</v>
      </c>
    </row>
    <row r="109" spans="1:6" x14ac:dyDescent="0.25">
      <c r="D109" s="21"/>
    </row>
    <row r="110" spans="1:6" ht="18" x14ac:dyDescent="0.35">
      <c r="A110" t="s">
        <v>164</v>
      </c>
      <c r="D110">
        <v>16</v>
      </c>
      <c r="F110" t="s">
        <v>152</v>
      </c>
    </row>
    <row r="111" spans="1:6" ht="18" x14ac:dyDescent="0.35">
      <c r="A111" t="s">
        <v>165</v>
      </c>
      <c r="D111">
        <f>16*2+12</f>
        <v>44</v>
      </c>
      <c r="F111" t="s">
        <v>152</v>
      </c>
    </row>
    <row r="112" spans="1:6" ht="18" x14ac:dyDescent="0.35">
      <c r="A112" t="s">
        <v>166</v>
      </c>
      <c r="D112">
        <f>D111/D110</f>
        <v>2.75</v>
      </c>
      <c r="F112" t="s">
        <v>153</v>
      </c>
    </row>
    <row r="113" spans="1:6" x14ac:dyDescent="0.25">
      <c r="A113" t="s">
        <v>154</v>
      </c>
      <c r="D113">
        <v>85</v>
      </c>
    </row>
    <row r="114" spans="1:6" x14ac:dyDescent="0.25">
      <c r="A114" t="s">
        <v>155</v>
      </c>
      <c r="D114" s="14">
        <f>D113/D112</f>
        <v>30.90909090909091</v>
      </c>
      <c r="F114" t="s">
        <v>156</v>
      </c>
    </row>
    <row r="115" spans="1:6" x14ac:dyDescent="0.25">
      <c r="A115" t="s">
        <v>157</v>
      </c>
      <c r="D115" s="20">
        <v>1.4E-2</v>
      </c>
    </row>
    <row r="116" spans="1:6" x14ac:dyDescent="0.25">
      <c r="A116" t="s">
        <v>158</v>
      </c>
      <c r="D116" s="12">
        <f>D114*D115</f>
        <v>0.43272727272727274</v>
      </c>
    </row>
    <row r="118" spans="1:6" x14ac:dyDescent="0.25">
      <c r="A118" t="s">
        <v>159</v>
      </c>
      <c r="D118">
        <v>25</v>
      </c>
      <c r="F118" t="s">
        <v>160</v>
      </c>
    </row>
    <row r="119" spans="1:6" x14ac:dyDescent="0.25">
      <c r="A119" t="s">
        <v>161</v>
      </c>
      <c r="D119" s="14">
        <f>D118/D112</f>
        <v>9.0909090909090917</v>
      </c>
      <c r="F119" t="s">
        <v>160</v>
      </c>
    </row>
    <row r="120" spans="1:6" x14ac:dyDescent="0.25">
      <c r="A120" t="s">
        <v>162</v>
      </c>
      <c r="D120" s="12">
        <f>D119*D115</f>
        <v>0.12727272727272729</v>
      </c>
    </row>
  </sheetData>
  <hyperlinks>
    <hyperlink ref="J51" r:id="rId1" xr:uid="{281F9BEA-CAD4-4A6C-9602-47F88E77F29B}"/>
    <hyperlink ref="J68" r:id="rId2" display="https://vtrans.vermont.gov/sites/aot/files/planning/documents/planning/The%20Vermont%20Transportation%20Energy%20Profile_2019_Final.pdf, page 6. Note that label on Table in incorrect; it is billion miles, not million miles (which would be 10 miles per person per year)." xr:uid="{A825721B-721A-4908-8697-C9621CA582D9}"/>
    <hyperlink ref="J92" r:id="rId3" xr:uid="{F2751729-BF23-4189-939E-92A22B024E6E}"/>
    <hyperlink ref="A4" r:id="rId4" xr:uid="{C20A1982-F16F-40D3-9F05-C8EE7D919F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Bill</cp:lastModifiedBy>
  <dcterms:created xsi:type="dcterms:W3CDTF">2022-04-06T23:23:54Z</dcterms:created>
  <dcterms:modified xsi:type="dcterms:W3CDTF">2022-04-25T19:34:55Z</dcterms:modified>
</cp:coreProperties>
</file>