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b44a2f1673b332bc/Documents/Regulatory/2022 Biennial Review/"/>
    </mc:Choice>
  </mc:AlternateContent>
  <xr:revisionPtr revIDLastSave="0" documentId="8_{7F7C7724-F9E1-455C-B80D-9EE88B0AD3C9}" xr6:coauthVersionLast="47" xr6:coauthVersionMax="47" xr10:uidLastSave="{00000000-0000-0000-0000-000000000000}"/>
  <workbookProtection workbookAlgorithmName="SHA-512" workbookHashValue="lfkgEFFA5geyUmse+5YNLw05H1rPXKgWE+E+3YUaMnBerGmjBIhxRjL1rpc2U5tR5kZO91JfeCJW5+VQzpWIZQ==" workbookSaltValue="YuHyR/QfxaB2DeWaz3YImQ==" workbookSpinCount="100000" lockStructure="1"/>
  <bookViews>
    <workbookView xWindow="40920" yWindow="-120" windowWidth="29040" windowHeight="15720" tabRatio="644" xr2:uid="{00000000-000D-0000-FFFF-FFFF00000000}"/>
  </bookViews>
  <sheets>
    <sheet name="Inputs &amp; Generation" sheetId="7" r:id="rId1"/>
    <sheet name="As Net Metering Customer" sheetId="16" state="hidden" r:id="rId2"/>
    <sheet name="As Direct Owner RESI" sheetId="17" r:id="rId3"/>
    <sheet name="Results" sheetId="18" r:id="rId4"/>
    <sheet name="Results (2)" sheetId="20" state="hidden" r:id="rId5"/>
  </sheets>
  <definedNames>
    <definedName name="_xlnm.Print_Area" localSheetId="0">'Inputs &amp; Generation'!$A$1:$H$57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9" i="20" l="1"/>
  <c r="M8" i="20"/>
  <c r="G7" i="20"/>
  <c r="G6" i="20"/>
  <c r="G5" i="20"/>
  <c r="D33" i="7"/>
  <c r="R34" i="17" l="1"/>
  <c r="S34" i="17"/>
  <c r="T34" i="17"/>
  <c r="U34" i="17"/>
  <c r="V34" i="17"/>
  <c r="W34" i="17"/>
  <c r="X34" i="17"/>
  <c r="Y34" i="17"/>
  <c r="Z34" i="17"/>
  <c r="AA34" i="17"/>
  <c r="Q15" i="16"/>
  <c r="U15" i="16" s="1"/>
  <c r="R15" i="16"/>
  <c r="S15" i="16"/>
  <c r="T15" i="16"/>
  <c r="V15" i="16"/>
  <c r="W15" i="16" s="1"/>
  <c r="X15" i="16"/>
  <c r="Z15" i="16"/>
  <c r="B15" i="16"/>
  <c r="B24" i="16" s="1"/>
  <c r="C34" i="17" s="1"/>
  <c r="D60" i="17"/>
  <c r="E60" i="17" s="1"/>
  <c r="F60" i="17" s="1"/>
  <c r="G60" i="17" s="1"/>
  <c r="H60" i="17" s="1"/>
  <c r="I60" i="17" s="1"/>
  <c r="J60" i="17" s="1"/>
  <c r="K60" i="17" s="1"/>
  <c r="L60" i="17" s="1"/>
  <c r="M60" i="17" s="1"/>
  <c r="N60" i="17" s="1"/>
  <c r="O60" i="17" s="1"/>
  <c r="P60" i="17" s="1"/>
  <c r="Q60" i="17" s="1"/>
  <c r="R60" i="17" s="1"/>
  <c r="S60" i="17" s="1"/>
  <c r="T60" i="17" s="1"/>
  <c r="U60" i="17" s="1"/>
  <c r="V60" i="17" s="1"/>
  <c r="W60" i="17" s="1"/>
  <c r="X60" i="17" s="1"/>
  <c r="Y60" i="17" s="1"/>
  <c r="Z60" i="17" s="1"/>
  <c r="AA60" i="17" s="1"/>
  <c r="Y15" i="16" l="1"/>
  <c r="C40" i="17" l="1"/>
  <c r="B9" i="17" l="1"/>
  <c r="AA55" i="17" l="1"/>
  <c r="Z55" i="17"/>
  <c r="Y55" i="17"/>
  <c r="X55" i="17"/>
  <c r="W55" i="17"/>
  <c r="V55" i="17"/>
  <c r="U55" i="17"/>
  <c r="T55" i="17"/>
  <c r="S55" i="17"/>
  <c r="R55" i="17"/>
  <c r="Q55" i="17"/>
  <c r="P55" i="17"/>
  <c r="O55" i="17"/>
  <c r="N55" i="17"/>
  <c r="M55" i="17"/>
  <c r="L55" i="17"/>
  <c r="K55" i="17"/>
  <c r="J55" i="17"/>
  <c r="I55" i="17"/>
  <c r="H55" i="17"/>
  <c r="G55" i="17"/>
  <c r="F55" i="17"/>
  <c r="E55" i="17"/>
  <c r="D55" i="17"/>
  <c r="C42" i="17"/>
  <c r="D42" i="17" s="1"/>
  <c r="E42" i="17" s="1"/>
  <c r="F42" i="17" s="1"/>
  <c r="G42" i="17" s="1"/>
  <c r="H42" i="17" s="1"/>
  <c r="I42" i="17" s="1"/>
  <c r="J42" i="17" s="1"/>
  <c r="K42" i="17" s="1"/>
  <c r="L42" i="17" s="1"/>
  <c r="C41" i="17"/>
  <c r="D41" i="17" s="1"/>
  <c r="E41" i="17" s="1"/>
  <c r="F41" i="17" s="1"/>
  <c r="G41" i="17" s="1"/>
  <c r="H41" i="17" s="1"/>
  <c r="I41" i="17" s="1"/>
  <c r="J41" i="17" s="1"/>
  <c r="K41" i="17" s="1"/>
  <c r="L41" i="17" s="1"/>
  <c r="D40" i="17"/>
  <c r="E40" i="17" s="1"/>
  <c r="F40" i="17" s="1"/>
  <c r="G40" i="17" s="1"/>
  <c r="H40" i="17" s="1"/>
  <c r="I40" i="17" s="1"/>
  <c r="J40" i="17" s="1"/>
  <c r="K40" i="17" s="1"/>
  <c r="L40" i="17" s="1"/>
  <c r="M40" i="17" s="1"/>
  <c r="N40" i="17" s="1"/>
  <c r="O40" i="17" s="1"/>
  <c r="P40" i="17" s="1"/>
  <c r="Q40" i="17" s="1"/>
  <c r="R40" i="17" s="1"/>
  <c r="S40" i="17" s="1"/>
  <c r="T40" i="17" s="1"/>
  <c r="U40" i="17" s="1"/>
  <c r="V40" i="17" s="1"/>
  <c r="W40" i="17" s="1"/>
  <c r="X40" i="17" s="1"/>
  <c r="Y40" i="17" s="1"/>
  <c r="Z40" i="17" s="1"/>
  <c r="AA40" i="17" s="1"/>
  <c r="D39" i="17"/>
  <c r="E39" i="17" s="1"/>
  <c r="F39" i="17" s="1"/>
  <c r="G39" i="17" s="1"/>
  <c r="H39" i="17" s="1"/>
  <c r="I39" i="17" s="1"/>
  <c r="J39" i="17" s="1"/>
  <c r="K39" i="17" s="1"/>
  <c r="L39" i="17" s="1"/>
  <c r="M39" i="17" s="1"/>
  <c r="N39" i="17" s="1"/>
  <c r="O39" i="17" s="1"/>
  <c r="P39" i="17" s="1"/>
  <c r="Q39" i="17" s="1"/>
  <c r="R39" i="17" s="1"/>
  <c r="S39" i="17" s="1"/>
  <c r="T39" i="17" s="1"/>
  <c r="U39" i="17" s="1"/>
  <c r="V39" i="17" s="1"/>
  <c r="W39" i="17" s="1"/>
  <c r="X39" i="17" s="1"/>
  <c r="Y39" i="17" s="1"/>
  <c r="Z39" i="17" s="1"/>
  <c r="AA39" i="17" s="1"/>
  <c r="C38" i="17"/>
  <c r="C30" i="17"/>
  <c r="D24" i="17"/>
  <c r="E24" i="17" s="1"/>
  <c r="F24" i="17" s="1"/>
  <c r="G24" i="17" s="1"/>
  <c r="H24" i="17" s="1"/>
  <c r="I24" i="17" s="1"/>
  <c r="J24" i="17" s="1"/>
  <c r="K24" i="17" s="1"/>
  <c r="L24" i="17" s="1"/>
  <c r="M24" i="17" s="1"/>
  <c r="N24" i="17" s="1"/>
  <c r="O24" i="17" s="1"/>
  <c r="P24" i="17" s="1"/>
  <c r="Q24" i="17" s="1"/>
  <c r="R24" i="17" s="1"/>
  <c r="S24" i="17" s="1"/>
  <c r="T24" i="17" s="1"/>
  <c r="U24" i="17" s="1"/>
  <c r="V24" i="17" s="1"/>
  <c r="W24" i="17" s="1"/>
  <c r="X24" i="17" s="1"/>
  <c r="Y24" i="17" s="1"/>
  <c r="Z24" i="17" s="1"/>
  <c r="AA24" i="17" s="1"/>
  <c r="B20" i="17"/>
  <c r="B16" i="17"/>
  <c r="B11" i="17"/>
  <c r="B8" i="17"/>
  <c r="B7" i="17"/>
  <c r="S5" i="17"/>
  <c r="M42" i="17" l="1"/>
  <c r="N42" i="17" s="1"/>
  <c r="O42" i="17" s="1"/>
  <c r="P42" i="17" s="1"/>
  <c r="Q42" i="17" s="1"/>
  <c r="R42" i="17" s="1"/>
  <c r="S42" i="17" s="1"/>
  <c r="T42" i="17" s="1"/>
  <c r="U42" i="17" s="1"/>
  <c r="V42" i="17" s="1"/>
  <c r="W42" i="17" s="1"/>
  <c r="X42" i="17" s="1"/>
  <c r="Y42" i="17" s="1"/>
  <c r="Z42" i="17" s="1"/>
  <c r="AA42" i="17" s="1"/>
  <c r="M41" i="17"/>
  <c r="N41" i="17" s="1"/>
  <c r="O41" i="17" s="1"/>
  <c r="P41" i="17" s="1"/>
  <c r="Q41" i="17" s="1"/>
  <c r="R41" i="17" s="1"/>
  <c r="S41" i="17" s="1"/>
  <c r="T41" i="17" s="1"/>
  <c r="U41" i="17" s="1"/>
  <c r="V41" i="17" s="1"/>
  <c r="W41" i="17" s="1"/>
  <c r="X41" i="17" s="1"/>
  <c r="Y41" i="17" s="1"/>
  <c r="Z41" i="17" s="1"/>
  <c r="AA41" i="17" s="1"/>
  <c r="D38" i="17"/>
  <c r="C15" i="16"/>
  <c r="G15" i="16" s="1"/>
  <c r="D15" i="16"/>
  <c r="E15" i="16"/>
  <c r="F15" i="16"/>
  <c r="K15" i="16" l="1"/>
  <c r="L15" i="16" s="1"/>
  <c r="I15" i="16"/>
  <c r="H15" i="16"/>
  <c r="J15" i="16"/>
  <c r="E38" i="17"/>
  <c r="L24" i="16" l="1"/>
  <c r="M34" i="17" s="1"/>
  <c r="O15" i="16"/>
  <c r="N15" i="16"/>
  <c r="M15" i="16"/>
  <c r="P15" i="16"/>
  <c r="F38" i="17"/>
  <c r="G38" i="17" l="1"/>
  <c r="H38" i="17" l="1"/>
  <c r="C19" i="7"/>
  <c r="B10" i="17" s="1"/>
  <c r="B12" i="17" l="1"/>
  <c r="B21" i="17" s="1"/>
  <c r="C29" i="17" s="1"/>
  <c r="C55" i="17" s="1"/>
  <c r="B14" i="17"/>
  <c r="B22" i="17"/>
  <c r="I38" i="17"/>
  <c r="C39" i="7"/>
  <c r="E26" i="17" l="1"/>
  <c r="C26" i="17"/>
  <c r="F26" i="17"/>
  <c r="H26" i="17"/>
  <c r="G26" i="17"/>
  <c r="B17" i="17"/>
  <c r="B56" i="17"/>
  <c r="D26" i="17"/>
  <c r="J38" i="17"/>
  <c r="V43" i="17" l="1"/>
  <c r="W43" i="17"/>
  <c r="P43" i="17"/>
  <c r="U43" i="17"/>
  <c r="C43" i="17"/>
  <c r="H43" i="17"/>
  <c r="M43" i="17"/>
  <c r="R43" i="17"/>
  <c r="I43" i="17"/>
  <c r="E43" i="17"/>
  <c r="J43" i="17"/>
  <c r="O43" i="17"/>
  <c r="T43" i="17"/>
  <c r="Q43" i="17"/>
  <c r="F43" i="17"/>
  <c r="G43" i="17"/>
  <c r="L43" i="17"/>
  <c r="N43" i="17"/>
  <c r="S43" i="17"/>
  <c r="K43" i="17"/>
  <c r="C44" i="17"/>
  <c r="C48" i="17" s="1"/>
  <c r="D43" i="17"/>
  <c r="K38" i="17"/>
  <c r="C46" i="17" l="1"/>
  <c r="C45" i="17" s="1"/>
  <c r="L38" i="17"/>
  <c r="D44" i="17" l="1"/>
  <c r="H45" i="17"/>
  <c r="I44" i="17" s="1"/>
  <c r="C50" i="17"/>
  <c r="M38" i="17"/>
  <c r="B19" i="16"/>
  <c r="C19" i="16" s="1"/>
  <c r="D19" i="16" s="1"/>
  <c r="E19" i="16" s="1"/>
  <c r="F19" i="16" s="1"/>
  <c r="G19" i="16" s="1"/>
  <c r="C17" i="16"/>
  <c r="D17" i="16" s="1"/>
  <c r="E17" i="16" s="1"/>
  <c r="F17" i="16" s="1"/>
  <c r="G17" i="16" s="1"/>
  <c r="H17" i="16" s="1"/>
  <c r="I17" i="16" s="1"/>
  <c r="J17" i="16" s="1"/>
  <c r="K17" i="16" s="1"/>
  <c r="L17" i="16" s="1"/>
  <c r="M17" i="16" s="1"/>
  <c r="N17" i="16" s="1"/>
  <c r="O17" i="16" s="1"/>
  <c r="P17" i="16" s="1"/>
  <c r="Q17" i="16" s="1"/>
  <c r="R17" i="16" s="1"/>
  <c r="S17" i="16" s="1"/>
  <c r="T17" i="16" s="1"/>
  <c r="U17" i="16" s="1"/>
  <c r="V17" i="16" s="1"/>
  <c r="W17" i="16" s="1"/>
  <c r="X17" i="16" s="1"/>
  <c r="Y17" i="16" s="1"/>
  <c r="Z17" i="16" s="1"/>
  <c r="H19" i="16" l="1"/>
  <c r="G20" i="16"/>
  <c r="D48" i="17"/>
  <c r="D46" i="17"/>
  <c r="D45" i="17" s="1"/>
  <c r="E44" i="17" s="1"/>
  <c r="I46" i="17"/>
  <c r="I45" i="17" s="1"/>
  <c r="J44" i="17" s="1"/>
  <c r="I48" i="17"/>
  <c r="N38" i="17"/>
  <c r="B20" i="16"/>
  <c r="B31" i="16" s="1"/>
  <c r="B18" i="16"/>
  <c r="G31" i="16" l="1"/>
  <c r="I19" i="16"/>
  <c r="H20" i="16"/>
  <c r="D50" i="17"/>
  <c r="E48" i="17"/>
  <c r="E46" i="17"/>
  <c r="E45" i="17" s="1"/>
  <c r="F44" i="17" s="1"/>
  <c r="I50" i="17"/>
  <c r="J46" i="17"/>
  <c r="J45" i="17" s="1"/>
  <c r="J48" i="17"/>
  <c r="O38" i="17"/>
  <c r="C20" i="16"/>
  <c r="C31" i="16" s="1"/>
  <c r="B21" i="16"/>
  <c r="C33" i="17" s="1"/>
  <c r="C35" i="17" s="1"/>
  <c r="C54" i="17" s="1"/>
  <c r="C18" i="16"/>
  <c r="C49" i="17" l="1"/>
  <c r="C27" i="17" s="1"/>
  <c r="C28" i="17" s="1"/>
  <c r="C56" i="17" s="1"/>
  <c r="C52" i="17"/>
  <c r="H31" i="16"/>
  <c r="J19" i="16"/>
  <c r="I20" i="16"/>
  <c r="E50" i="17"/>
  <c r="F46" i="17"/>
  <c r="F45" i="17" s="1"/>
  <c r="G44" i="17" s="1"/>
  <c r="F48" i="17"/>
  <c r="J50" i="17"/>
  <c r="K44" i="17"/>
  <c r="P38" i="17"/>
  <c r="C22" i="16"/>
  <c r="B22" i="16"/>
  <c r="B23" i="16" s="1"/>
  <c r="B32" i="16"/>
  <c r="C32" i="16"/>
  <c r="E20" i="16"/>
  <c r="D20" i="16"/>
  <c r="B42" i="16"/>
  <c r="B25" i="16"/>
  <c r="C21" i="16"/>
  <c r="D33" i="17" s="1"/>
  <c r="D18" i="16"/>
  <c r="C24" i="16"/>
  <c r="D34" i="17" s="1"/>
  <c r="D35" i="17" l="1"/>
  <c r="D54" i="17" s="1"/>
  <c r="C59" i="17"/>
  <c r="E31" i="16"/>
  <c r="I31" i="16"/>
  <c r="K19" i="16"/>
  <c r="J20" i="16"/>
  <c r="D21" i="16"/>
  <c r="E33" i="17" s="1"/>
  <c r="D31" i="16"/>
  <c r="D22" i="16" s="1"/>
  <c r="K46" i="17"/>
  <c r="K45" i="17" s="1"/>
  <c r="K48" i="17"/>
  <c r="F50" i="17"/>
  <c r="G48" i="17"/>
  <c r="G46" i="17"/>
  <c r="G45" i="17" s="1"/>
  <c r="H44" i="17" s="1"/>
  <c r="Q38" i="17"/>
  <c r="C23" i="16"/>
  <c r="B26" i="16"/>
  <c r="B28" i="16" s="1"/>
  <c r="F20" i="16"/>
  <c r="C25" i="16"/>
  <c r="D24" i="16"/>
  <c r="E34" i="17" s="1"/>
  <c r="E18" i="16"/>
  <c r="E21" i="16" s="1"/>
  <c r="D32" i="16" l="1"/>
  <c r="D52" i="17"/>
  <c r="D49" i="17"/>
  <c r="D27" i="17" s="1"/>
  <c r="D28" i="17" s="1"/>
  <c r="D56" i="17" s="1"/>
  <c r="E35" i="17"/>
  <c r="E54" i="17" s="1"/>
  <c r="E22" i="16"/>
  <c r="F31" i="16"/>
  <c r="J31" i="16"/>
  <c r="K20" i="16"/>
  <c r="K31" i="16" s="1"/>
  <c r="L19" i="16"/>
  <c r="G50" i="17"/>
  <c r="H46" i="17"/>
  <c r="H48" i="17"/>
  <c r="K50" i="17"/>
  <c r="L44" i="17"/>
  <c r="R38" i="17"/>
  <c r="D23" i="16"/>
  <c r="F33" i="17"/>
  <c r="E32" i="16"/>
  <c r="B27" i="16"/>
  <c r="C26" i="16"/>
  <c r="D25" i="16"/>
  <c r="E24" i="16"/>
  <c r="F34" i="17" s="1"/>
  <c r="F18" i="16"/>
  <c r="F21" i="16" s="1"/>
  <c r="E52" i="17" l="1"/>
  <c r="E49" i="17"/>
  <c r="E27" i="17" s="1"/>
  <c r="E28" i="17" s="1"/>
  <c r="E56" i="17" s="1"/>
  <c r="F35" i="17"/>
  <c r="F52" i="17" s="1"/>
  <c r="D26" i="16"/>
  <c r="D27" i="16" s="1"/>
  <c r="D59" i="17"/>
  <c r="F22" i="16"/>
  <c r="M19" i="16"/>
  <c r="L20" i="16"/>
  <c r="L31" i="16" s="1"/>
  <c r="L46" i="17"/>
  <c r="L45" i="17" s="1"/>
  <c r="L48" i="17"/>
  <c r="H50" i="17"/>
  <c r="S38" i="17"/>
  <c r="E23" i="16"/>
  <c r="E26" i="16" s="1"/>
  <c r="C27" i="16"/>
  <c r="G33" i="17"/>
  <c r="F32" i="16"/>
  <c r="C28" i="16"/>
  <c r="E25" i="16"/>
  <c r="F24" i="16"/>
  <c r="G34" i="17" s="1"/>
  <c r="G18" i="16"/>
  <c r="F49" i="17" l="1"/>
  <c r="F27" i="17" s="1"/>
  <c r="F28" i="17" s="1"/>
  <c r="F54" i="17"/>
  <c r="G35" i="17"/>
  <c r="G52" i="17" s="1"/>
  <c r="E59" i="17"/>
  <c r="G21" i="16"/>
  <c r="G22" i="16"/>
  <c r="H33" i="17" s="1"/>
  <c r="N19" i="16"/>
  <c r="M20" i="16"/>
  <c r="M31" i="16" s="1"/>
  <c r="M44" i="17"/>
  <c r="L50" i="17"/>
  <c r="T38" i="17"/>
  <c r="F23" i="16"/>
  <c r="G32" i="16"/>
  <c r="D28" i="16"/>
  <c r="F25" i="16"/>
  <c r="H18" i="16"/>
  <c r="G24" i="16"/>
  <c r="H34" i="17" s="1"/>
  <c r="F56" i="17" l="1"/>
  <c r="F59" i="17" s="1"/>
  <c r="G49" i="17"/>
  <c r="G27" i="17" s="1"/>
  <c r="G28" i="17" s="1"/>
  <c r="G54" i="17"/>
  <c r="F26" i="16"/>
  <c r="F27" i="16" s="1"/>
  <c r="H35" i="17"/>
  <c r="H52" i="17" s="1"/>
  <c r="G23" i="16"/>
  <c r="H21" i="16"/>
  <c r="H22" i="16"/>
  <c r="I33" i="17" s="1"/>
  <c r="O19" i="16"/>
  <c r="N20" i="16"/>
  <c r="N31" i="16" s="1"/>
  <c r="M46" i="17"/>
  <c r="M45" i="17" s="1"/>
  <c r="M48" i="17"/>
  <c r="U38" i="17"/>
  <c r="E27" i="16"/>
  <c r="H32" i="16"/>
  <c r="E28" i="16"/>
  <c r="G25" i="16"/>
  <c r="H24" i="16"/>
  <c r="I34" i="17" s="1"/>
  <c r="I18" i="16"/>
  <c r="G56" i="17" l="1"/>
  <c r="G59" i="17" s="1"/>
  <c r="H49" i="17"/>
  <c r="H27" i="17" s="1"/>
  <c r="H28" i="17" s="1"/>
  <c r="I35" i="17"/>
  <c r="I52" i="17" s="1"/>
  <c r="H54" i="17"/>
  <c r="H56" i="17" s="1"/>
  <c r="H23" i="16"/>
  <c r="I54" i="17"/>
  <c r="I56" i="17" s="1"/>
  <c r="I49" i="17"/>
  <c r="I21" i="16"/>
  <c r="I22" i="16"/>
  <c r="J33" i="17" s="1"/>
  <c r="G26" i="16"/>
  <c r="P19" i="16"/>
  <c r="O20" i="16"/>
  <c r="O31" i="16" s="1"/>
  <c r="M50" i="17"/>
  <c r="N44" i="17"/>
  <c r="V38" i="17"/>
  <c r="I32" i="16"/>
  <c r="F28" i="16"/>
  <c r="H25" i="16"/>
  <c r="I24" i="16"/>
  <c r="J34" i="17" s="1"/>
  <c r="J18" i="16"/>
  <c r="H59" i="17" l="1"/>
  <c r="I59" i="17" s="1"/>
  <c r="J35" i="17"/>
  <c r="J52" i="17" s="1"/>
  <c r="H26" i="16"/>
  <c r="H27" i="16" s="1"/>
  <c r="J54" i="17"/>
  <c r="J56" i="17" s="1"/>
  <c r="J49" i="17"/>
  <c r="J21" i="16"/>
  <c r="J22" i="16"/>
  <c r="K33" i="17" s="1"/>
  <c r="I27" i="17"/>
  <c r="Q19" i="16"/>
  <c r="P20" i="16"/>
  <c r="P31" i="16" s="1"/>
  <c r="N46" i="17"/>
  <c r="N45" i="17" s="1"/>
  <c r="O44" i="17" s="1"/>
  <c r="N48" i="17"/>
  <c r="W38" i="17"/>
  <c r="I23" i="16"/>
  <c r="G27" i="16"/>
  <c r="J32" i="16"/>
  <c r="G28" i="16"/>
  <c r="I25" i="16"/>
  <c r="K18" i="16"/>
  <c r="J24" i="16"/>
  <c r="K34" i="17" s="1"/>
  <c r="H28" i="16" l="1"/>
  <c r="J59" i="17"/>
  <c r="K35" i="17"/>
  <c r="K54" i="17" s="1"/>
  <c r="K56" i="17" s="1"/>
  <c r="I26" i="16"/>
  <c r="K52" i="17"/>
  <c r="K49" i="17"/>
  <c r="J27" i="17"/>
  <c r="R19" i="16"/>
  <c r="Q20" i="16"/>
  <c r="Q31" i="16" s="1"/>
  <c r="N50" i="17"/>
  <c r="O46" i="17"/>
  <c r="O45" i="17" s="1"/>
  <c r="P44" i="17" s="1"/>
  <c r="O48" i="17"/>
  <c r="X38" i="17"/>
  <c r="J23" i="16"/>
  <c r="K22" i="16"/>
  <c r="K32" i="16"/>
  <c r="J25" i="16"/>
  <c r="L18" i="16"/>
  <c r="K24" i="16"/>
  <c r="L34" i="17" s="1"/>
  <c r="K21" i="16"/>
  <c r="K59" i="17" l="1"/>
  <c r="J26" i="16"/>
  <c r="J27" i="16" s="1"/>
  <c r="K27" i="17"/>
  <c r="S19" i="16"/>
  <c r="R20" i="16"/>
  <c r="R31" i="16" s="1"/>
  <c r="L33" i="17"/>
  <c r="L35" i="17" s="1"/>
  <c r="O50" i="17"/>
  <c r="P46" i="17"/>
  <c r="P45" i="17" s="1"/>
  <c r="Q44" i="17" s="1"/>
  <c r="P48" i="17"/>
  <c r="X48" i="17"/>
  <c r="Y38" i="17"/>
  <c r="I27" i="16"/>
  <c r="K23" i="16"/>
  <c r="K26" i="16" s="1"/>
  <c r="L21" i="16"/>
  <c r="L32" i="16"/>
  <c r="L22" i="16"/>
  <c r="M33" i="17" s="1"/>
  <c r="M35" i="17" s="1"/>
  <c r="I28" i="16"/>
  <c r="K25" i="16"/>
  <c r="M18" i="16"/>
  <c r="T19" i="16" l="1"/>
  <c r="S20" i="16"/>
  <c r="S31" i="16" s="1"/>
  <c r="M54" i="17"/>
  <c r="M56" i="17" s="1"/>
  <c r="M49" i="17"/>
  <c r="M52" i="17"/>
  <c r="L54" i="17"/>
  <c r="L56" i="17" s="1"/>
  <c r="L49" i="17"/>
  <c r="L52" i="17"/>
  <c r="P50" i="17"/>
  <c r="Q46" i="17"/>
  <c r="Q45" i="17" s="1"/>
  <c r="R44" i="17" s="1"/>
  <c r="Q48" i="17"/>
  <c r="Y48" i="17"/>
  <c r="Z38" i="17"/>
  <c r="X50" i="17"/>
  <c r="L23" i="16"/>
  <c r="M22" i="16"/>
  <c r="M32" i="16"/>
  <c r="J28" i="16"/>
  <c r="M24" i="16"/>
  <c r="N34" i="17" s="1"/>
  <c r="M21" i="16"/>
  <c r="N18" i="16"/>
  <c r="L25" i="16"/>
  <c r="L59" i="17" l="1"/>
  <c r="M59" i="17" s="1"/>
  <c r="U19" i="16"/>
  <c r="T20" i="16"/>
  <c r="T31" i="16" s="1"/>
  <c r="N33" i="17"/>
  <c r="N35" i="17" s="1"/>
  <c r="M27" i="17"/>
  <c r="L27" i="17"/>
  <c r="Q50" i="17"/>
  <c r="R46" i="17"/>
  <c r="R45" i="17" s="1"/>
  <c r="R48" i="17"/>
  <c r="Z48" i="17"/>
  <c r="AA38" i="17"/>
  <c r="AA48" i="17" s="1"/>
  <c r="Y50" i="17"/>
  <c r="M23" i="16"/>
  <c r="K27" i="16"/>
  <c r="K28" i="16"/>
  <c r="N21" i="16"/>
  <c r="N32" i="16"/>
  <c r="L26" i="16"/>
  <c r="N22" i="16"/>
  <c r="O33" i="17" s="1"/>
  <c r="M25" i="16"/>
  <c r="O18" i="16"/>
  <c r="N24" i="16"/>
  <c r="O34" i="17" s="1"/>
  <c r="O35" i="17" l="1"/>
  <c r="V19" i="16"/>
  <c r="U20" i="16"/>
  <c r="U31" i="16" s="1"/>
  <c r="O54" i="17"/>
  <c r="O56" i="17" s="1"/>
  <c r="O49" i="17"/>
  <c r="O52" i="17"/>
  <c r="N54" i="17"/>
  <c r="N56" i="17" s="1"/>
  <c r="N59" i="17" s="1"/>
  <c r="O59" i="17" s="1"/>
  <c r="N49" i="17"/>
  <c r="N52" i="17"/>
  <c r="R50" i="17"/>
  <c r="S44" i="17"/>
  <c r="AA50" i="17"/>
  <c r="Z50" i="17"/>
  <c r="N23" i="16"/>
  <c r="O32" i="16"/>
  <c r="L28" i="16"/>
  <c r="L27" i="16"/>
  <c r="M26" i="16"/>
  <c r="N25" i="16"/>
  <c r="O24" i="16"/>
  <c r="P34" i="17" s="1"/>
  <c r="P18" i="16"/>
  <c r="O21" i="16"/>
  <c r="O22" i="16"/>
  <c r="P33" i="17" s="1"/>
  <c r="P35" i="17" s="1"/>
  <c r="W19" i="16" l="1"/>
  <c r="V20" i="16"/>
  <c r="V31" i="16" s="1"/>
  <c r="N27" i="17"/>
  <c r="O27" i="17"/>
  <c r="P54" i="17"/>
  <c r="P56" i="17" s="1"/>
  <c r="P59" i="17" s="1"/>
  <c r="P49" i="17"/>
  <c r="P52" i="17"/>
  <c r="S46" i="17"/>
  <c r="S45" i="17" s="1"/>
  <c r="S48" i="17"/>
  <c r="M27" i="16"/>
  <c r="O23" i="16"/>
  <c r="P21" i="16"/>
  <c r="P32" i="16"/>
  <c r="M28" i="16"/>
  <c r="N26" i="16"/>
  <c r="N27" i="16" s="1"/>
  <c r="P22" i="16"/>
  <c r="Q33" i="17" s="1"/>
  <c r="Q35" i="17" s="1"/>
  <c r="O25" i="16"/>
  <c r="Q18" i="16"/>
  <c r="P24" i="16"/>
  <c r="Q34" i="17" s="1"/>
  <c r="X19" i="16" l="1"/>
  <c r="W20" i="16"/>
  <c r="W31" i="16" s="1"/>
  <c r="P27" i="17"/>
  <c r="Q54" i="17"/>
  <c r="Q56" i="17" s="1"/>
  <c r="Q59" i="17" s="1"/>
  <c r="Q49" i="17"/>
  <c r="Q52" i="17"/>
  <c r="S50" i="17"/>
  <c r="T44" i="17"/>
  <c r="P23" i="16"/>
  <c r="Q32" i="16"/>
  <c r="N28" i="16"/>
  <c r="O26" i="16"/>
  <c r="P25" i="16"/>
  <c r="Q24" i="16"/>
  <c r="Q21" i="16"/>
  <c r="R18" i="16"/>
  <c r="Q22" i="16"/>
  <c r="R33" i="17" s="1"/>
  <c r="R35" i="17" s="1"/>
  <c r="Y19" i="16" l="1"/>
  <c r="X20" i="16"/>
  <c r="X31" i="16" s="1"/>
  <c r="Q27" i="17"/>
  <c r="R54" i="17"/>
  <c r="R56" i="17" s="1"/>
  <c r="R59" i="17" s="1"/>
  <c r="R49" i="17"/>
  <c r="R52" i="17"/>
  <c r="T46" i="17"/>
  <c r="T45" i="17" s="1"/>
  <c r="T48" i="17"/>
  <c r="Q23" i="16"/>
  <c r="O27" i="16"/>
  <c r="R21" i="16"/>
  <c r="R32" i="16"/>
  <c r="P26" i="16"/>
  <c r="R22" i="16"/>
  <c r="S33" i="17" s="1"/>
  <c r="S35" i="17" s="1"/>
  <c r="O28" i="16"/>
  <c r="Q25" i="16"/>
  <c r="S18" i="16"/>
  <c r="R24" i="16"/>
  <c r="Z19" i="16" l="1"/>
  <c r="Z20" i="16" s="1"/>
  <c r="Z31" i="16" s="1"/>
  <c r="Y20" i="16"/>
  <c r="Y31" i="16" s="1"/>
  <c r="S54" i="17"/>
  <c r="S56" i="17" s="1"/>
  <c r="S59" i="17" s="1"/>
  <c r="S49" i="17"/>
  <c r="R27" i="17"/>
  <c r="S52" i="17"/>
  <c r="B40" i="16"/>
  <c r="T50" i="17"/>
  <c r="U44" i="17"/>
  <c r="P27" i="16"/>
  <c r="S32" i="16"/>
  <c r="P28" i="16"/>
  <c r="R23" i="16"/>
  <c r="R25" i="16"/>
  <c r="S21" i="16"/>
  <c r="S24" i="16"/>
  <c r="T18" i="16"/>
  <c r="S22" i="16"/>
  <c r="T33" i="17" s="1"/>
  <c r="T35" i="17" s="1"/>
  <c r="T54" i="17" s="1"/>
  <c r="T56" i="17" s="1"/>
  <c r="Q26" i="16"/>
  <c r="T59" i="17" l="1"/>
  <c r="T49" i="17"/>
  <c r="S27" i="17"/>
  <c r="T52" i="17"/>
  <c r="U46" i="17"/>
  <c r="U45" i="17" s="1"/>
  <c r="V44" i="17" s="1"/>
  <c r="U48" i="17"/>
  <c r="Q27" i="16"/>
  <c r="T32" i="16"/>
  <c r="R26" i="16"/>
  <c r="R27" i="16" s="1"/>
  <c r="Q28" i="16"/>
  <c r="T24" i="16"/>
  <c r="T21" i="16"/>
  <c r="U18" i="16"/>
  <c r="T22" i="16"/>
  <c r="U33" i="17" s="1"/>
  <c r="U35" i="17" s="1"/>
  <c r="U54" i="17" s="1"/>
  <c r="U56" i="17" s="1"/>
  <c r="S25" i="16"/>
  <c r="S23" i="16"/>
  <c r="U59" i="17" l="1"/>
  <c r="T27" i="17"/>
  <c r="V46" i="17"/>
  <c r="V45" i="17" s="1"/>
  <c r="V48" i="17"/>
  <c r="U49" i="17"/>
  <c r="U50" i="17"/>
  <c r="U22" i="16"/>
  <c r="V33" i="17" s="1"/>
  <c r="V35" i="17" s="1"/>
  <c r="V54" i="17" s="1"/>
  <c r="V56" i="17" s="1"/>
  <c r="V59" i="17" s="1"/>
  <c r="U32" i="16"/>
  <c r="R28" i="16"/>
  <c r="S26" i="16"/>
  <c r="S27" i="16" s="1"/>
  <c r="T23" i="16"/>
  <c r="U24" i="16"/>
  <c r="V18" i="16"/>
  <c r="T25" i="16"/>
  <c r="U21" i="16"/>
  <c r="V49" i="17" l="1"/>
  <c r="V50" i="17"/>
  <c r="W44" i="17"/>
  <c r="U52" i="17"/>
  <c r="U27" i="17"/>
  <c r="V32" i="16"/>
  <c r="U23" i="16"/>
  <c r="S28" i="16"/>
  <c r="T26" i="16"/>
  <c r="T27" i="16" s="1"/>
  <c r="V21" i="16"/>
  <c r="W18" i="16"/>
  <c r="V24" i="16"/>
  <c r="U25" i="16"/>
  <c r="V22" i="16"/>
  <c r="W33" i="17" s="1"/>
  <c r="W35" i="17" s="1"/>
  <c r="W54" i="17" s="1"/>
  <c r="W56" i="17" s="1"/>
  <c r="W59" i="17" s="1"/>
  <c r="W46" i="17" l="1"/>
  <c r="W45" i="17" s="1"/>
  <c r="W48" i="17"/>
  <c r="V52" i="17"/>
  <c r="V27" i="17"/>
  <c r="W22" i="16"/>
  <c r="X33" i="17" s="1"/>
  <c r="X35" i="17" s="1"/>
  <c r="W32" i="16"/>
  <c r="U26" i="16"/>
  <c r="U27" i="16" s="1"/>
  <c r="T28" i="16"/>
  <c r="V23" i="16"/>
  <c r="V25" i="16"/>
  <c r="W21" i="16"/>
  <c r="W24" i="16"/>
  <c r="X18" i="16"/>
  <c r="X54" i="17" l="1"/>
  <c r="X56" i="17" s="1"/>
  <c r="X59" i="17" s="1"/>
  <c r="X49" i="17"/>
  <c r="X52" i="17"/>
  <c r="W50" i="17"/>
  <c r="W49" i="17"/>
  <c r="W23" i="16"/>
  <c r="X21" i="16"/>
  <c r="X32" i="16"/>
  <c r="U28" i="16"/>
  <c r="V26" i="16"/>
  <c r="V27" i="16" s="1"/>
  <c r="X24" i="16"/>
  <c r="Y18" i="16"/>
  <c r="X22" i="16"/>
  <c r="Y33" i="17" s="1"/>
  <c r="Y35" i="17" s="1"/>
  <c r="W25" i="16"/>
  <c r="Y54" i="17" l="1"/>
  <c r="Y56" i="17" s="1"/>
  <c r="Y59" i="17" s="1"/>
  <c r="Y49" i="17"/>
  <c r="Y52" i="17"/>
  <c r="X27" i="17"/>
  <c r="W27" i="17"/>
  <c r="W52" i="17"/>
  <c r="Y21" i="16"/>
  <c r="Y32" i="16"/>
  <c r="W26" i="16"/>
  <c r="W27" i="16" s="1"/>
  <c r="V28" i="16"/>
  <c r="X23" i="16"/>
  <c r="Y22" i="16"/>
  <c r="Z33" i="17" s="1"/>
  <c r="Z35" i="17" s="1"/>
  <c r="Z18" i="16"/>
  <c r="Y24" i="16"/>
  <c r="X25" i="16"/>
  <c r="Z54" i="17" l="1"/>
  <c r="Z56" i="17" s="1"/>
  <c r="Z59" i="17" s="1"/>
  <c r="Z49" i="17"/>
  <c r="Z52" i="17"/>
  <c r="Y27" i="17"/>
  <c r="Z32" i="16"/>
  <c r="W28" i="16"/>
  <c r="X26" i="16"/>
  <c r="X27" i="16" s="1"/>
  <c r="Z21" i="16"/>
  <c r="Z22" i="16"/>
  <c r="Z24" i="16"/>
  <c r="Y25" i="16"/>
  <c r="Y23" i="16"/>
  <c r="AA33" i="17" l="1"/>
  <c r="AA35" i="17" s="1"/>
  <c r="B35" i="16"/>
  <c r="Z27" i="17"/>
  <c r="B34" i="16"/>
  <c r="X28" i="16"/>
  <c r="Z23" i="16"/>
  <c r="Y26" i="16"/>
  <c r="Y27" i="16" s="1"/>
  <c r="Z25" i="16"/>
  <c r="AA54" i="17" l="1"/>
  <c r="AA56" i="17" s="1"/>
  <c r="AA49" i="17"/>
  <c r="AA52" i="17"/>
  <c r="B36" i="16"/>
  <c r="Z26" i="16"/>
  <c r="Y28" i="16"/>
  <c r="S6" i="17" l="1"/>
  <c r="AA59" i="17"/>
  <c r="AA27" i="17"/>
  <c r="S8" i="17"/>
  <c r="S7" i="17"/>
  <c r="Z28" i="16"/>
  <c r="Z27" i="16"/>
  <c r="B38" i="16" l="1"/>
  <c r="B29" i="16"/>
  <c r="B39" i="16" l="1"/>
  <c r="B41" i="16" l="1"/>
  <c r="B44" i="16" s="1"/>
</calcChain>
</file>

<file path=xl/sharedStrings.xml><?xml version="1.0" encoding="utf-8"?>
<sst xmlns="http://schemas.openxmlformats.org/spreadsheetml/2006/main" count="190" uniqueCount="145">
  <si>
    <t>REC value</t>
  </si>
  <si>
    <t>REC retained (%)</t>
  </si>
  <si>
    <t>Solar Generation (kWh)</t>
  </si>
  <si>
    <t>Savings on electricity ($)</t>
  </si>
  <si>
    <t>REC Value ($)</t>
  </si>
  <si>
    <t>REC retained value ($)</t>
  </si>
  <si>
    <t>Total solar savings ($)</t>
  </si>
  <si>
    <t>Equivalent savings off solar (%)</t>
  </si>
  <si>
    <t>Cumulative Savings ($)</t>
  </si>
  <si>
    <t>System cost ($/watt)</t>
  </si>
  <si>
    <t>System Size (W DC)</t>
  </si>
  <si>
    <t>Financed Amount</t>
  </si>
  <si>
    <t>Loan Term (years)</t>
  </si>
  <si>
    <t>Loan Interest</t>
  </si>
  <si>
    <t>Federal Tax Credit</t>
  </si>
  <si>
    <t>Federal Tax Credit (%)</t>
  </si>
  <si>
    <t>Federal Tax Credit Value ($)</t>
  </si>
  <si>
    <t>Depreciation Value</t>
  </si>
  <si>
    <t>State Tax Credit</t>
  </si>
  <si>
    <t>Total revenue ($)</t>
  </si>
  <si>
    <t>Revenue (see customer tab)</t>
  </si>
  <si>
    <t>Inverter cost ($/watt_dc)</t>
  </si>
  <si>
    <t>Lease ($/year)</t>
  </si>
  <si>
    <t>System Price ($)</t>
  </si>
  <si>
    <t>Insurance ($/kW_dc/yr)</t>
  </si>
  <si>
    <t>Production meter ($/year)</t>
  </si>
  <si>
    <t>VT State Tax Credit Value ($)</t>
  </si>
  <si>
    <t>VT State Tax Credit (%)</t>
  </si>
  <si>
    <t>Loan interest payment</t>
  </si>
  <si>
    <t>Principal remaining</t>
  </si>
  <si>
    <t>Prinicipal payment</t>
  </si>
  <si>
    <t>Total expenses (excl prinicipal)</t>
  </si>
  <si>
    <t>Total expenses (incl prinicipal)</t>
  </si>
  <si>
    <t>Total income (excl principal)</t>
  </si>
  <si>
    <r>
      <t xml:space="preserve">Investor Tax Benefit </t>
    </r>
    <r>
      <rPr>
        <sz val="10"/>
        <color indexed="10"/>
        <rFont val="Arial"/>
        <family val="2"/>
      </rPr>
      <t>(Liability)</t>
    </r>
  </si>
  <si>
    <t>Loan payment*</t>
  </si>
  <si>
    <t>Tax Investor Equity ($)</t>
  </si>
  <si>
    <t>Tax Investor Tax Rate (%)</t>
  </si>
  <si>
    <t>Tax Investor from VT</t>
  </si>
  <si>
    <t>Average Solar Savings</t>
  </si>
  <si>
    <t>Annual Lease ($/yr)</t>
  </si>
  <si>
    <t>Customer Discount ($/kWh)</t>
  </si>
  <si>
    <t xml:space="preserve">25  Year FMV (%) of Original </t>
  </si>
  <si>
    <t>Generation Factor (kWh/W)</t>
  </si>
  <si>
    <t>Solar Value ($) [Amt. Customer Credit]</t>
  </si>
  <si>
    <t>Solar Cost ($) [Amt. Customer Pays for Credit]</t>
  </si>
  <si>
    <t>Base Tariff ($/kWh)</t>
  </si>
  <si>
    <t>System Size (W-DC)</t>
  </si>
  <si>
    <t>ITC Eligble Basis</t>
  </si>
  <si>
    <t>Interconnection Costs ($)</t>
  </si>
  <si>
    <t>Project cost (including developer expenses/fees) ($/w)</t>
  </si>
  <si>
    <t>Total Project Cost ($)</t>
  </si>
  <si>
    <t>Customer REC Ownership (%)</t>
  </si>
  <si>
    <t>Non-ITC Costs</t>
  </si>
  <si>
    <t>Grants ($)</t>
  </si>
  <si>
    <t>Year 1 Est. Generation (kWh)</t>
  </si>
  <si>
    <t>Annual Taxes Rate ($/kWac/yr)</t>
  </si>
  <si>
    <r>
      <t xml:space="preserve">Taxable Income </t>
    </r>
    <r>
      <rPr>
        <sz val="10"/>
        <color indexed="10"/>
        <rFont val="Arial"/>
        <family val="2"/>
      </rPr>
      <t xml:space="preserve">(Loss) </t>
    </r>
    <r>
      <rPr>
        <b/>
        <sz val="10"/>
        <color indexed="10"/>
        <rFont val="Arial"/>
        <family val="2"/>
      </rPr>
      <t>pre-depreciation</t>
    </r>
  </si>
  <si>
    <t xml:space="preserve">Tax credits </t>
  </si>
  <si>
    <t>Total Net (including depreciation)</t>
  </si>
  <si>
    <t>Savings by Customer</t>
  </si>
  <si>
    <t>Total Investor Expenses (excl principal)</t>
  </si>
  <si>
    <t>Total Investor Expenses (principal only )</t>
  </si>
  <si>
    <t>From above -- Solar Value minus Savings</t>
  </si>
  <si>
    <t>Investor Tax costs / benefit from Depreciation</t>
  </si>
  <si>
    <t>Value of Tax Credit</t>
  </si>
  <si>
    <t>Net to Investor</t>
  </si>
  <si>
    <t>Percentage Financed</t>
  </si>
  <si>
    <t>Solar Site Adder ($/kWh)</t>
  </si>
  <si>
    <t>Tariff + Site Adder + REC Adder</t>
  </si>
  <si>
    <t>Solar REC Adder ($/kWh)</t>
  </si>
  <si>
    <t>Solar Degradation / Year</t>
  </si>
  <si>
    <t>Estimated</t>
  </si>
  <si>
    <t>Operations and Maintenance ($/kW_dc/yr)</t>
  </si>
  <si>
    <t xml:space="preserve">Customer Energy Price Escalator (%) </t>
  </si>
  <si>
    <t>NMA Rate</t>
  </si>
  <si>
    <t>NMA Revenues</t>
  </si>
  <si>
    <t>NM Compensation rate ($/kWh)</t>
  </si>
  <si>
    <t>Property tax ($/yr)</t>
  </si>
  <si>
    <t>Insurance ($/yr)</t>
  </si>
  <si>
    <t>Project Expenses</t>
  </si>
  <si>
    <t>Cummulative Cashflows</t>
  </si>
  <si>
    <t>RETURNS</t>
  </si>
  <si>
    <t>Amount Financed</t>
  </si>
  <si>
    <t>Applies to Owner Only</t>
  </si>
  <si>
    <t>Net Meter Credit Specifics</t>
  </si>
  <si>
    <t>System Specifics</t>
  </si>
  <si>
    <t>Annual increase in Expenses (%)</t>
  </si>
  <si>
    <t>OWNER SPECIFICS</t>
  </si>
  <si>
    <t>CUSTOMER SPECIFICS</t>
  </si>
  <si>
    <t>Retired to Utility</t>
  </si>
  <si>
    <t>ANNUAL OWNER EXPENSES</t>
  </si>
  <si>
    <t>INFLATION ASSUMPTIONS</t>
  </si>
  <si>
    <t>OWNER FINANCING SPECIFICS</t>
  </si>
  <si>
    <t>Loan Interest Rate %</t>
  </si>
  <si>
    <t>TAX CREDITS</t>
  </si>
  <si>
    <t>LOAN and TAX RATES</t>
  </si>
  <si>
    <t xml:space="preserve">OWNER MODEL AND ASSUMPTIONS </t>
  </si>
  <si>
    <t>Depreciation Schedule (can distibute)</t>
  </si>
  <si>
    <t>DSCR (Debt Service Coverage Ration  must be &gt; 1.2)</t>
  </si>
  <si>
    <t xml:space="preserve">Net </t>
  </si>
  <si>
    <t>PROFORMA</t>
  </si>
  <si>
    <t>INPUTS AND ASSUMPTIONS</t>
  </si>
  <si>
    <t>NPV 4%</t>
  </si>
  <si>
    <t xml:space="preserve">Solar Value </t>
  </si>
  <si>
    <t xml:space="preserve">Total Customer Expenses </t>
  </si>
  <si>
    <t xml:space="preserve">Utility rate Inflation  (% / yr) </t>
  </si>
  <si>
    <t>INPUTS in Yellow</t>
  </si>
  <si>
    <t xml:space="preserve">Not for C corps - "True or False" </t>
  </si>
  <si>
    <t>CURRENT Yr</t>
  </si>
  <si>
    <t>NPV 7.5%</t>
  </si>
  <si>
    <t>SOLAR NMC ($)  PAID BY CUSTOMER</t>
  </si>
  <si>
    <t>REC payments ($) levelized at value of 1c</t>
  </si>
  <si>
    <t>Operations and Maintenance ($/yr) (includes inverters replaced Y11)</t>
  </si>
  <si>
    <t>NET METERING CUSTOMER</t>
  </si>
  <si>
    <t>Cummulative</t>
  </si>
  <si>
    <t>Credits - expenses</t>
  </si>
  <si>
    <t>Blended rate ($/kWh)</t>
  </si>
  <si>
    <t>NM-PSD @no-ITC</t>
  </si>
  <si>
    <t>Year</t>
  </si>
  <si>
    <t>Residential Payback (Years)</t>
  </si>
  <si>
    <t>Scenarios</t>
  </si>
  <si>
    <t>Notes</t>
  </si>
  <si>
    <t>Cat I Application Rate MW/YR</t>
  </si>
  <si>
    <t>na</t>
  </si>
  <si>
    <t>NM Regime And ITC</t>
  </si>
  <si>
    <t>NM 2.0 @30% ITC</t>
  </si>
  <si>
    <t>NM2.1 @30% ITC</t>
  </si>
  <si>
    <t>NM2.2 @26% ITC</t>
  </si>
  <si>
    <t>NM2.3 @26% ITC</t>
  </si>
  <si>
    <t>NM2.4 @26% ITC</t>
  </si>
  <si>
    <t>NM-PSD @26% ITC</t>
  </si>
  <si>
    <t>NM-PSD @22% ITC</t>
  </si>
  <si>
    <t>PSD Base Jan 1,2023 ITC Change</t>
  </si>
  <si>
    <t>PSD Base Jan 1, 2024 ITC Change</t>
  </si>
  <si>
    <t>PSD Base w/ 10% inflation and 16.4c residential rate</t>
  </si>
  <si>
    <t>($3.00/WDC)</t>
  </si>
  <si>
    <t>PSD Base w/ 10% inflation (3.30/WDC)</t>
  </si>
  <si>
    <t>PROPOSED BY PSD Base (-.01) REC ($3.00/WDC)</t>
  </si>
  <si>
    <t>Estimated Residential Solar Payback</t>
  </si>
  <si>
    <t xml:space="preserve"> Proposed 2023</t>
  </si>
  <si>
    <t>Proposed 2024</t>
  </si>
  <si>
    <t xml:space="preserve"> Avg rooftop FIRST YEAR GENERATION </t>
  </si>
  <si>
    <t>2.5% matches utility inflation</t>
  </si>
  <si>
    <t>Direct Owner Residential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</si>
</sst>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&quot;$&quot;#,##0.0000_);[Red]\(&quot;$&quot;#,##0.0000\)"/>
    <numFmt numFmtId="166" formatCode="0.000"/>
    <numFmt numFmtId="167" formatCode="&quot;Year&quot;\ 0"/>
    <numFmt numFmtId="168" formatCode="_(&quot;$&quot;* #,##0_);_(&quot;$&quot;* \(#,##0\);_(&quot;$&quot;* &quot;-&quot;??_);_(@_)"/>
    <numFmt numFmtId="169" formatCode="#,##0.0000"/>
    <numFmt numFmtId="170" formatCode="0.0000"/>
    <numFmt numFmtId="171" formatCode="&quot;$&quot;#,##0"/>
    <numFmt numFmtId="172" formatCode="_(&quot;$&quot;* #,##0.0_);_(&quot;$&quot;* \(#,##0.0\);_(&quot;$&quot;* &quot;-&quot;?_);_(@_)"/>
    <numFmt numFmtId="173" formatCode="_(&quot;$&quot;* #,##0.000_);_(&quot;$&quot;* \(#,##0.000\);_(&quot;$&quot;* &quot;-&quot;??_);_(@_)"/>
    <numFmt numFmtId="174" formatCode="_(&quot;$&quot;* #,##0.0000_);_(&quot;$&quot;* \(#,##0.0000\);_(&quot;$&quot;* &quot;-&quot;??_);_(@_)"/>
    <numFmt numFmtId="175" formatCode="_(&quot;$&quot;* #,##0.0_);_(&quot;$&quot;* \(#,##0.0\);_(&quot;$&quot;* &quot;-&quot;??_);_(@_)"/>
    <numFmt numFmtId="176" formatCode="_(* #,##0_);_(* \(#,##0\);_(* &quot;-&quot;??_);_(@_)"/>
    <numFmt numFmtId="177" formatCode="0.0"/>
  </numFmts>
  <fonts count="3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9"/>
      <color theme="1"/>
      <name val="Calibri"/>
      <family val="2"/>
      <scheme val="minor"/>
    </font>
    <font>
      <b/>
      <sz val="10"/>
      <color indexed="10"/>
      <name val="Arial"/>
      <family val="2"/>
    </font>
    <font>
      <sz val="10"/>
      <name val="Arial"/>
      <family val="2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Arial"/>
      <family val="2"/>
    </font>
    <font>
      <b/>
      <sz val="14"/>
      <name val="Arial"/>
      <family val="2"/>
    </font>
    <font>
      <b/>
      <sz val="2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2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ashed">
        <color theme="0" tint="-0.2499465926084170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9" fillId="26" borderId="0" applyNumberFormat="0" applyBorder="0" applyAlignment="0" applyProtection="0"/>
    <xf numFmtId="0" fontId="10" fillId="27" borderId="1" applyNumberFormat="0" applyAlignment="0" applyProtection="0"/>
    <xf numFmtId="0" fontId="11" fillId="28" borderId="2" applyNumberFormat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29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30" borderId="1" applyNumberFormat="0" applyAlignment="0" applyProtection="0"/>
    <xf numFmtId="0" fontId="18" fillId="0" borderId="6" applyNumberFormat="0" applyFill="0" applyAlignment="0" applyProtection="0"/>
    <xf numFmtId="0" fontId="19" fillId="31" borderId="0" applyNumberFormat="0" applyBorder="0" applyAlignment="0" applyProtection="0"/>
    <xf numFmtId="0" fontId="7" fillId="0" borderId="0"/>
    <xf numFmtId="0" fontId="7" fillId="32" borderId="7" applyNumberFormat="0" applyFont="0" applyAlignment="0" applyProtection="0"/>
    <xf numFmtId="0" fontId="20" fillId="27" borderId="8" applyNumberFormat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5" fillId="0" borderId="10" applyNumberFormat="0" applyFont="0" applyProtection="0">
      <alignment wrapText="1"/>
    </xf>
    <xf numFmtId="44" fontId="1" fillId="0" borderId="0" applyFont="0" applyFill="0" applyBorder="0" applyAlignment="0" applyProtection="0"/>
    <xf numFmtId="43" fontId="27" fillId="0" borderId="0" applyFont="0" applyFill="0" applyBorder="0" applyAlignment="0" applyProtection="0"/>
  </cellStyleXfs>
  <cellXfs count="142">
    <xf numFmtId="0" fontId="0" fillId="0" borderId="0" xfId="0"/>
    <xf numFmtId="6" fontId="0" fillId="0" borderId="0" xfId="0" applyNumberFormat="1"/>
    <xf numFmtId="9" fontId="0" fillId="0" borderId="0" xfId="42" applyFont="1"/>
    <xf numFmtId="168" fontId="0" fillId="0" borderId="0" xfId="0" applyNumberFormat="1"/>
    <xf numFmtId="0" fontId="3" fillId="0" borderId="0" xfId="0" applyFont="1"/>
    <xf numFmtId="0" fontId="0" fillId="0" borderId="0" xfId="0" applyFill="1"/>
    <xf numFmtId="10" fontId="0" fillId="0" borderId="0" xfId="0" applyNumberFormat="1"/>
    <xf numFmtId="0" fontId="4" fillId="0" borderId="0" xfId="0" applyFont="1"/>
    <xf numFmtId="0" fontId="0" fillId="0" borderId="0" xfId="0" applyFont="1"/>
    <xf numFmtId="9" fontId="0" fillId="0" borderId="0" xfId="0" applyNumberFormat="1" applyFill="1"/>
    <xf numFmtId="1" fontId="0" fillId="0" borderId="0" xfId="0" applyNumberFormat="1" applyFill="1"/>
    <xf numFmtId="0" fontId="24" fillId="0" borderId="0" xfId="0" applyFont="1"/>
    <xf numFmtId="0" fontId="24" fillId="0" borderId="11" xfId="0" applyFont="1" applyBorder="1"/>
    <xf numFmtId="44" fontId="24" fillId="0" borderId="11" xfId="0" applyNumberFormat="1" applyFont="1" applyBorder="1"/>
    <xf numFmtId="0" fontId="1" fillId="0" borderId="0" xfId="0" applyFont="1"/>
    <xf numFmtId="171" fontId="0" fillId="0" borderId="0" xfId="0" applyNumberFormat="1"/>
    <xf numFmtId="168" fontId="0" fillId="0" borderId="0" xfId="48" applyNumberFormat="1" applyFont="1" applyFill="1"/>
    <xf numFmtId="168" fontId="0" fillId="0" borderId="0" xfId="48" applyNumberFormat="1" applyFont="1"/>
    <xf numFmtId="44" fontId="0" fillId="0" borderId="0" xfId="48" applyNumberFormat="1" applyFont="1" applyFill="1"/>
    <xf numFmtId="173" fontId="0" fillId="0" borderId="0" xfId="48" applyNumberFormat="1" applyFont="1" applyFill="1"/>
    <xf numFmtId="6" fontId="0" fillId="0" borderId="0" xfId="0" applyNumberFormat="1" applyFill="1"/>
    <xf numFmtId="8" fontId="0" fillId="0" borderId="0" xfId="0" applyNumberFormat="1"/>
    <xf numFmtId="6" fontId="1" fillId="0" borderId="0" xfId="0" applyNumberFormat="1" applyFont="1"/>
    <xf numFmtId="165" fontId="0" fillId="0" borderId="0" xfId="0" applyNumberFormat="1" applyFill="1"/>
    <xf numFmtId="1" fontId="0" fillId="0" borderId="0" xfId="48" applyNumberFormat="1" applyFont="1" applyFill="1"/>
    <xf numFmtId="44" fontId="0" fillId="0" borderId="0" xfId="48" applyNumberFormat="1" applyFont="1"/>
    <xf numFmtId="10" fontId="0" fillId="0" borderId="0" xfId="42" applyNumberFormat="1" applyFont="1"/>
    <xf numFmtId="168" fontId="24" fillId="0" borderId="11" xfId="0" applyNumberFormat="1" applyFont="1" applyFill="1" applyBorder="1"/>
    <xf numFmtId="168" fontId="0" fillId="0" borderId="0" xfId="0" applyNumberFormat="1" applyFill="1"/>
    <xf numFmtId="0" fontId="28" fillId="0" borderId="0" xfId="0" applyFont="1"/>
    <xf numFmtId="0" fontId="29" fillId="0" borderId="0" xfId="0" applyFont="1"/>
    <xf numFmtId="0" fontId="30" fillId="0" borderId="0" xfId="0" applyFont="1"/>
    <xf numFmtId="171" fontId="28" fillId="0" borderId="0" xfId="0" applyNumberFormat="1" applyFont="1" applyFill="1" applyAlignment="1">
      <alignment horizontal="center"/>
    </xf>
    <xf numFmtId="2" fontId="28" fillId="0" borderId="0" xfId="0" applyNumberFormat="1" applyFont="1"/>
    <xf numFmtId="0" fontId="31" fillId="0" borderId="0" xfId="0" applyFont="1"/>
    <xf numFmtId="9" fontId="28" fillId="0" borderId="0" xfId="0" applyNumberFormat="1" applyFont="1" applyAlignment="1">
      <alignment horizontal="center"/>
    </xf>
    <xf numFmtId="9" fontId="28" fillId="0" borderId="0" xfId="0" applyNumberFormat="1" applyFont="1" applyFill="1" applyAlignment="1">
      <alignment horizontal="center"/>
    </xf>
    <xf numFmtId="1" fontId="28" fillId="0" borderId="0" xfId="0" applyNumberFormat="1" applyFont="1"/>
    <xf numFmtId="170" fontId="28" fillId="0" borderId="0" xfId="0" applyNumberFormat="1" applyFont="1"/>
    <xf numFmtId="166" fontId="28" fillId="0" borderId="0" xfId="0" applyNumberFormat="1" applyFont="1"/>
    <xf numFmtId="9" fontId="28" fillId="33" borderId="0" xfId="0" applyNumberFormat="1" applyFont="1" applyFill="1" applyAlignment="1">
      <alignment horizontal="center"/>
    </xf>
    <xf numFmtId="176" fontId="28" fillId="33" borderId="0" xfId="49" applyNumberFormat="1" applyFont="1" applyFill="1" applyAlignment="1">
      <alignment horizontal="center"/>
    </xf>
    <xf numFmtId="44" fontId="28" fillId="33" borderId="0" xfId="48" applyFont="1" applyFill="1" applyAlignment="1">
      <alignment horizontal="center"/>
    </xf>
    <xf numFmtId="173" fontId="28" fillId="33" borderId="0" xfId="48" applyNumberFormat="1" applyFont="1" applyFill="1" applyAlignment="1">
      <alignment horizontal="center"/>
    </xf>
    <xf numFmtId="168" fontId="28" fillId="0" borderId="0" xfId="48" applyNumberFormat="1" applyFont="1" applyFill="1" applyAlignment="1">
      <alignment horizontal="center"/>
    </xf>
    <xf numFmtId="175" fontId="28" fillId="33" borderId="0" xfId="48" applyNumberFormat="1" applyFont="1" applyFill="1" applyAlignment="1">
      <alignment horizontal="center"/>
    </xf>
    <xf numFmtId="166" fontId="28" fillId="0" borderId="0" xfId="0" applyNumberFormat="1" applyFont="1" applyFill="1" applyAlignment="1">
      <alignment horizontal="left" indent="1"/>
    </xf>
    <xf numFmtId="171" fontId="28" fillId="0" borderId="0" xfId="0" applyNumberFormat="1" applyFont="1" applyFill="1" applyAlignment="1">
      <alignment horizontal="left" indent="1"/>
    </xf>
    <xf numFmtId="2" fontId="28" fillId="0" borderId="0" xfId="0" applyNumberFormat="1" applyFont="1" applyFill="1" applyAlignment="1">
      <alignment horizontal="left" indent="1"/>
    </xf>
    <xf numFmtId="9" fontId="28" fillId="0" borderId="0" xfId="0" applyNumberFormat="1" applyFont="1" applyFill="1" applyAlignment="1">
      <alignment horizontal="left" indent="1"/>
    </xf>
    <xf numFmtId="164" fontId="28" fillId="0" borderId="0" xfId="0" applyNumberFormat="1" applyFont="1" applyFill="1" applyAlignment="1">
      <alignment horizontal="left" indent="1"/>
    </xf>
    <xf numFmtId="10" fontId="28" fillId="0" borderId="0" xfId="0" applyNumberFormat="1" applyFont="1" applyFill="1" applyAlignment="1">
      <alignment horizontal="left" indent="1"/>
    </xf>
    <xf numFmtId="1" fontId="28" fillId="0" borderId="0" xfId="0" applyNumberFormat="1" applyFont="1" applyFill="1" applyAlignment="1">
      <alignment horizontal="left" indent="1"/>
    </xf>
    <xf numFmtId="170" fontId="28" fillId="0" borderId="0" xfId="0" applyNumberFormat="1" applyFont="1" applyFill="1" applyAlignment="1">
      <alignment horizontal="left" indent="1"/>
    </xf>
    <xf numFmtId="176" fontId="28" fillId="0" borderId="0" xfId="49" applyNumberFormat="1" applyFont="1" applyFill="1" applyAlignment="1">
      <alignment horizontal="center"/>
    </xf>
    <xf numFmtId="164" fontId="28" fillId="33" borderId="0" xfId="0" applyNumberFormat="1" applyFont="1" applyFill="1" applyAlignment="1">
      <alignment horizontal="right"/>
    </xf>
    <xf numFmtId="168" fontId="28" fillId="33" borderId="0" xfId="48" applyNumberFormat="1" applyFont="1" applyFill="1" applyAlignment="1">
      <alignment horizontal="center"/>
    </xf>
    <xf numFmtId="10" fontId="28" fillId="33" borderId="0" xfId="0" applyNumberFormat="1" applyFont="1" applyFill="1" applyAlignment="1">
      <alignment horizontal="right"/>
    </xf>
    <xf numFmtId="2" fontId="28" fillId="33" borderId="0" xfId="0" applyNumberFormat="1" applyFont="1" applyFill="1" applyAlignment="1">
      <alignment horizontal="right"/>
    </xf>
    <xf numFmtId="44" fontId="28" fillId="33" borderId="0" xfId="48" applyNumberFormat="1" applyFont="1" applyFill="1" applyAlignment="1">
      <alignment horizontal="center"/>
    </xf>
    <xf numFmtId="0" fontId="30" fillId="33" borderId="0" xfId="0" applyFont="1" applyFill="1" applyAlignment="1">
      <alignment horizontal="center"/>
    </xf>
    <xf numFmtId="0" fontId="28" fillId="35" borderId="0" xfId="0" applyFont="1" applyFill="1"/>
    <xf numFmtId="0" fontId="29" fillId="35" borderId="0" xfId="0" applyFont="1" applyFill="1"/>
    <xf numFmtId="9" fontId="29" fillId="33" borderId="0" xfId="0" applyNumberFormat="1" applyFont="1" applyFill="1"/>
    <xf numFmtId="167" fontId="24" fillId="35" borderId="22" xfId="0" applyNumberFormat="1" applyFont="1" applyFill="1" applyBorder="1" applyAlignment="1">
      <alignment horizontal="center"/>
    </xf>
    <xf numFmtId="10" fontId="0" fillId="0" borderId="0" xfId="42" applyNumberFormat="1" applyFont="1" applyFill="1"/>
    <xf numFmtId="164" fontId="0" fillId="0" borderId="0" xfId="0" applyNumberFormat="1" applyFill="1"/>
    <xf numFmtId="0" fontId="24" fillId="35" borderId="0" xfId="0" applyFont="1" applyFill="1"/>
    <xf numFmtId="0" fontId="0" fillId="0" borderId="0" xfId="0" applyAlignment="1">
      <alignment horizontal="center"/>
    </xf>
    <xf numFmtId="167" fontId="24" fillId="0" borderId="12" xfId="0" applyNumberFormat="1" applyFont="1" applyBorder="1" applyAlignment="1">
      <alignment horizontal="center"/>
    </xf>
    <xf numFmtId="0" fontId="24" fillId="0" borderId="11" xfId="0" applyFont="1" applyFill="1" applyBorder="1"/>
    <xf numFmtId="0" fontId="24" fillId="35" borderId="15" xfId="0" applyFont="1" applyFill="1" applyBorder="1"/>
    <xf numFmtId="0" fontId="3" fillId="0" borderId="0" xfId="0" applyFont="1" applyAlignment="1">
      <alignment horizontal="left" indent="1"/>
    </xf>
    <xf numFmtId="0" fontId="1" fillId="0" borderId="0" xfId="0" applyFont="1" applyAlignment="1">
      <alignment horizontal="left" indent="1"/>
    </xf>
    <xf numFmtId="0" fontId="6" fillId="0" borderId="0" xfId="0" applyFont="1" applyAlignment="1">
      <alignment horizontal="left" indent="1"/>
    </xf>
    <xf numFmtId="0" fontId="24" fillId="0" borderId="0" xfId="0" applyFont="1" applyAlignment="1">
      <alignment horizontal="left" indent="1"/>
    </xf>
    <xf numFmtId="0" fontId="0" fillId="0" borderId="0" xfId="0" applyFont="1" applyAlignment="1">
      <alignment horizontal="left" indent="1"/>
    </xf>
    <xf numFmtId="0" fontId="24" fillId="0" borderId="11" xfId="0" applyFont="1" applyBorder="1" applyAlignment="1">
      <alignment horizontal="left" indent="2"/>
    </xf>
    <xf numFmtId="0" fontId="33" fillId="35" borderId="11" xfId="0" applyFont="1" applyFill="1" applyBorder="1" applyAlignment="1">
      <alignment horizontal="left"/>
    </xf>
    <xf numFmtId="0" fontId="33" fillId="35" borderId="13" xfId="0" applyFont="1" applyFill="1" applyBorder="1"/>
    <xf numFmtId="0" fontId="32" fillId="35" borderId="0" xfId="0" applyFont="1" applyFill="1"/>
    <xf numFmtId="0" fontId="28" fillId="0" borderId="0" xfId="0" applyFont="1" applyAlignment="1">
      <alignment horizontal="left" indent="1"/>
    </xf>
    <xf numFmtId="9" fontId="30" fillId="33" borderId="0" xfId="0" applyNumberFormat="1" applyFont="1" applyFill="1" applyAlignment="1">
      <alignment horizontal="right"/>
    </xf>
    <xf numFmtId="177" fontId="28" fillId="33" borderId="0" xfId="0" applyNumberFormat="1" applyFont="1" applyFill="1" applyAlignment="1">
      <alignment horizontal="right"/>
    </xf>
    <xf numFmtId="43" fontId="28" fillId="0" borderId="0" xfId="0" applyNumberFormat="1" applyFont="1"/>
    <xf numFmtId="9" fontId="0" fillId="36" borderId="0" xfId="0" applyNumberFormat="1" applyFill="1"/>
    <xf numFmtId="0" fontId="1" fillId="36" borderId="0" xfId="0" applyFont="1" applyFill="1" applyAlignment="1">
      <alignment horizontal="left" indent="1"/>
    </xf>
    <xf numFmtId="0" fontId="1" fillId="34" borderId="0" xfId="0" applyFont="1" applyFill="1" applyAlignment="1">
      <alignment horizontal="left" indent="1"/>
    </xf>
    <xf numFmtId="9" fontId="24" fillId="34" borderId="25" xfId="0" applyNumberFormat="1" applyFont="1" applyFill="1" applyBorder="1"/>
    <xf numFmtId="6" fontId="24" fillId="34" borderId="24" xfId="0" applyNumberFormat="1" applyFont="1" applyFill="1" applyBorder="1"/>
    <xf numFmtId="10" fontId="0" fillId="0" borderId="0" xfId="0" applyNumberFormat="1" applyFill="1"/>
    <xf numFmtId="8" fontId="0" fillId="0" borderId="0" xfId="48" applyNumberFormat="1" applyFont="1" applyFill="1"/>
    <xf numFmtId="44" fontId="0" fillId="0" borderId="0" xfId="48" applyFont="1" applyFill="1"/>
    <xf numFmtId="172" fontId="0" fillId="0" borderId="0" xfId="0" applyNumberFormat="1" applyFill="1"/>
    <xf numFmtId="0" fontId="24" fillId="0" borderId="0" xfId="0" applyFont="1" applyFill="1"/>
    <xf numFmtId="3" fontId="0" fillId="0" borderId="0" xfId="0" applyNumberFormat="1" applyFill="1" applyBorder="1"/>
    <xf numFmtId="38" fontId="0" fillId="0" borderId="0" xfId="0" applyNumberFormat="1" applyFill="1"/>
    <xf numFmtId="169" fontId="0" fillId="0" borderId="0" xfId="0" applyNumberFormat="1" applyFill="1"/>
    <xf numFmtId="6" fontId="33" fillId="0" borderId="0" xfId="0" applyNumberFormat="1" applyFont="1" applyFill="1"/>
    <xf numFmtId="9" fontId="0" fillId="0" borderId="0" xfId="42" applyFont="1" applyFill="1"/>
    <xf numFmtId="6" fontId="0" fillId="0" borderId="0" xfId="42" applyNumberFormat="1" applyFont="1" applyFill="1"/>
    <xf numFmtId="168" fontId="22" fillId="0" borderId="0" xfId="0" applyNumberFormat="1" applyFont="1" applyFill="1"/>
    <xf numFmtId="174" fontId="0" fillId="0" borderId="0" xfId="0" applyNumberFormat="1" applyFill="1"/>
    <xf numFmtId="44" fontId="0" fillId="0" borderId="0" xfId="0" applyNumberFormat="1" applyFill="1"/>
    <xf numFmtId="167" fontId="24" fillId="0" borderId="12" xfId="0" applyNumberFormat="1" applyFont="1" applyFill="1" applyBorder="1" applyAlignment="1">
      <alignment horizontal="center"/>
    </xf>
    <xf numFmtId="0" fontId="24" fillId="0" borderId="11" xfId="0" applyFont="1" applyFill="1" applyBorder="1" applyAlignment="1">
      <alignment horizontal="left" indent="2"/>
    </xf>
    <xf numFmtId="9" fontId="0" fillId="33" borderId="0" xfId="0" applyNumberFormat="1" applyFill="1"/>
    <xf numFmtId="0" fontId="0" fillId="0" borderId="24" xfId="0" applyBorder="1"/>
    <xf numFmtId="0" fontId="0" fillId="0" borderId="24" xfId="0" applyBorder="1" applyAlignment="1">
      <alignment horizontal="center"/>
    </xf>
    <xf numFmtId="177" fontId="0" fillId="0" borderId="24" xfId="0" applyNumberFormat="1" applyBorder="1"/>
    <xf numFmtId="0" fontId="0" fillId="0" borderId="24" xfId="0" applyBorder="1" applyAlignment="1">
      <alignment horizontal="right"/>
    </xf>
    <xf numFmtId="0" fontId="1" fillId="0" borderId="24" xfId="0" applyFont="1" applyBorder="1"/>
    <xf numFmtId="0" fontId="24" fillId="0" borderId="24" xfId="0" applyFont="1" applyBorder="1" applyAlignment="1">
      <alignment horizontal="center"/>
    </xf>
    <xf numFmtId="0" fontId="24" fillId="0" borderId="24" xfId="0" applyFont="1" applyBorder="1" applyAlignment="1">
      <alignment horizontal="center" wrapText="1"/>
    </xf>
    <xf numFmtId="0" fontId="24" fillId="0" borderId="24" xfId="0" applyFont="1" applyBorder="1" applyAlignment="1"/>
    <xf numFmtId="0" fontId="0" fillId="0" borderId="0" xfId="0" applyFill="1" applyBorder="1" applyAlignment="1">
      <alignment horizontal="center"/>
    </xf>
    <xf numFmtId="0" fontId="35" fillId="0" borderId="13" xfId="0" applyFont="1" applyBorder="1" applyAlignment="1">
      <alignment horizontal="center"/>
    </xf>
    <xf numFmtId="0" fontId="35" fillId="0" borderId="14" xfId="0" applyFont="1" applyBorder="1" applyAlignment="1">
      <alignment horizontal="center"/>
    </xf>
    <xf numFmtId="0" fontId="35" fillId="0" borderId="15" xfId="0" applyFont="1" applyBorder="1" applyAlignment="1">
      <alignment horizontal="center"/>
    </xf>
    <xf numFmtId="0" fontId="24" fillId="0" borderId="11" xfId="0" applyFont="1" applyBorder="1" applyAlignment="1">
      <alignment horizontal="left" wrapText="1" indent="1"/>
    </xf>
    <xf numFmtId="0" fontId="34" fillId="37" borderId="16" xfId="0" applyFont="1" applyFill="1" applyBorder="1" applyAlignment="1">
      <alignment horizontal="center" vertical="center"/>
    </xf>
    <xf numFmtId="0" fontId="34" fillId="37" borderId="17" xfId="0" applyFont="1" applyFill="1" applyBorder="1" applyAlignment="1">
      <alignment horizontal="center" vertical="center"/>
    </xf>
    <xf numFmtId="0" fontId="34" fillId="37" borderId="18" xfId="0" applyFont="1" applyFill="1" applyBorder="1" applyAlignment="1">
      <alignment horizontal="center" vertical="center"/>
    </xf>
    <xf numFmtId="0" fontId="34" fillId="37" borderId="19" xfId="0" applyFont="1" applyFill="1" applyBorder="1" applyAlignment="1">
      <alignment horizontal="center" vertical="center"/>
    </xf>
    <xf numFmtId="0" fontId="34" fillId="37" borderId="0" xfId="0" applyFont="1" applyFill="1" applyBorder="1" applyAlignment="1">
      <alignment horizontal="center" vertical="center"/>
    </xf>
    <xf numFmtId="0" fontId="34" fillId="37" borderId="20" xfId="0" applyFont="1" applyFill="1" applyBorder="1" applyAlignment="1">
      <alignment horizontal="center" vertical="center"/>
    </xf>
    <xf numFmtId="0" fontId="34" fillId="37" borderId="21" xfId="0" applyFont="1" applyFill="1" applyBorder="1" applyAlignment="1">
      <alignment horizontal="center" vertical="center"/>
    </xf>
    <xf numFmtId="0" fontId="34" fillId="37" borderId="22" xfId="0" applyFont="1" applyFill="1" applyBorder="1" applyAlignment="1">
      <alignment horizontal="center" vertical="center"/>
    </xf>
    <xf numFmtId="0" fontId="34" fillId="37" borderId="23" xfId="0" applyFont="1" applyFill="1" applyBorder="1" applyAlignment="1">
      <alignment horizontal="center" vertical="center"/>
    </xf>
    <xf numFmtId="0" fontId="24" fillId="35" borderId="0" xfId="0" applyFont="1" applyFill="1" applyAlignment="1">
      <alignment horizontal="left"/>
    </xf>
    <xf numFmtId="9" fontId="0" fillId="0" borderId="0" xfId="0" applyNumberFormat="1" applyAlignment="1">
      <alignment horizontal="center"/>
    </xf>
    <xf numFmtId="0" fontId="34" fillId="35" borderId="13" xfId="0" applyFont="1" applyFill="1" applyBorder="1" applyAlignment="1">
      <alignment horizontal="center" vertical="center"/>
    </xf>
    <xf numFmtId="0" fontId="34" fillId="35" borderId="14" xfId="0" applyFont="1" applyFill="1" applyBorder="1" applyAlignment="1">
      <alignment horizontal="center" vertical="center"/>
    </xf>
    <xf numFmtId="0" fontId="34" fillId="35" borderId="15" xfId="0" applyFont="1" applyFill="1" applyBorder="1" applyAlignment="1">
      <alignment horizontal="center" vertical="center"/>
    </xf>
    <xf numFmtId="0" fontId="24" fillId="34" borderId="25" xfId="0" applyFont="1" applyFill="1" applyBorder="1" applyAlignment="1">
      <alignment horizontal="left" indent="1"/>
    </xf>
    <xf numFmtId="0" fontId="24" fillId="34" borderId="24" xfId="0" applyFont="1" applyFill="1" applyBorder="1" applyAlignment="1">
      <alignment horizontal="left" indent="1"/>
    </xf>
    <xf numFmtId="0" fontId="34" fillId="38" borderId="16" xfId="0" applyFont="1" applyFill="1" applyBorder="1" applyAlignment="1">
      <alignment horizontal="center" vertical="center"/>
    </xf>
    <xf numFmtId="0" fontId="34" fillId="38" borderId="17" xfId="0" applyFont="1" applyFill="1" applyBorder="1" applyAlignment="1">
      <alignment horizontal="center" vertical="center"/>
    </xf>
    <xf numFmtId="0" fontId="34" fillId="38" borderId="18" xfId="0" applyFont="1" applyFill="1" applyBorder="1" applyAlignment="1">
      <alignment horizontal="center" vertical="center"/>
    </xf>
    <xf numFmtId="0" fontId="34" fillId="38" borderId="19" xfId="0" applyFont="1" applyFill="1" applyBorder="1" applyAlignment="1">
      <alignment horizontal="center" vertical="center"/>
    </xf>
    <xf numFmtId="0" fontId="34" fillId="38" borderId="0" xfId="0" applyFont="1" applyFill="1" applyBorder="1" applyAlignment="1">
      <alignment horizontal="center" vertical="center"/>
    </xf>
    <xf numFmtId="0" fontId="34" fillId="38" borderId="20" xfId="0" applyFont="1" applyFill="1" applyBorder="1" applyAlignment="1">
      <alignment horizontal="center" vertical="center"/>
    </xf>
  </cellXfs>
  <cellStyles count="50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Body: normal cell" xfId="47" xr:uid="{00000000-0005-0000-0000-000019000000}"/>
    <cellStyle name="Calculation" xfId="26" builtinId="22" customBuiltin="1"/>
    <cellStyle name="Check Cell" xfId="27" builtinId="23" customBuiltin="1"/>
    <cellStyle name="Comma" xfId="49" builtinId="3"/>
    <cellStyle name="Comma 2" xfId="28" xr:uid="{00000000-0005-0000-0000-00001C000000}"/>
    <cellStyle name="Currency" xfId="48" builtinId="4"/>
    <cellStyle name="Currency 2" xfId="29" xr:uid="{00000000-0005-0000-0000-00001E000000}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rmal 2" xfId="39" xr:uid="{00000000-0005-0000-0000-000029000000}"/>
    <cellStyle name="Note 2" xfId="40" xr:uid="{00000000-0005-0000-0000-00002A000000}"/>
    <cellStyle name="Output" xfId="41" builtinId="21" customBuiltin="1"/>
    <cellStyle name="Percent" xfId="42" builtinId="5"/>
    <cellStyle name="Percent 2" xfId="43" xr:uid="{00000000-0005-0000-0000-00002D000000}"/>
    <cellStyle name="Title 2" xfId="44" xr:uid="{00000000-0005-0000-0000-00002E000000}"/>
    <cellStyle name="Total" xfId="45" builtinId="25" customBuiltin="1"/>
    <cellStyle name="Warning Text" xfId="46" builtinId="11" customBuiltin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Catagory I / Residential Payback (Years)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Results!$F$2</c:f>
              <c:strCache>
                <c:ptCount val="1"/>
                <c:pt idx="0">
                  <c:v>Residential Payback (Years)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100000"/>
                    <a:shade val="100000"/>
                    <a:satMod val="130000"/>
                  </a:schemeClr>
                </a:gs>
                <a:gs pos="100000">
                  <a:schemeClr val="accent1">
                    <a:tint val="50000"/>
                    <a:shade val="100000"/>
                    <a:satMod val="350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numRef>
              <c:f>Results!$D$3:$D$13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</c:numCache>
            </c:numRef>
          </c:cat>
          <c:val>
            <c:numRef>
              <c:f>Results!$F$3:$F$13</c:f>
              <c:numCache>
                <c:formatCode>General</c:formatCode>
                <c:ptCount val="11"/>
                <c:pt idx="0">
                  <c:v>10.9</c:v>
                </c:pt>
                <c:pt idx="1">
                  <c:v>11.3</c:v>
                </c:pt>
                <c:pt idx="2">
                  <c:v>12.9</c:v>
                </c:pt>
                <c:pt idx="3">
                  <c:v>13.5</c:v>
                </c:pt>
                <c:pt idx="4">
                  <c:v>14</c:v>
                </c:pt>
                <c:pt idx="5">
                  <c:v>14.6</c:v>
                </c:pt>
                <c:pt idx="6">
                  <c:v>15.1</c:v>
                </c:pt>
                <c:pt idx="7">
                  <c:v>16.2</c:v>
                </c:pt>
                <c:pt idx="8">
                  <c:v>18.100000000000001</c:v>
                </c:pt>
                <c:pt idx="9">
                  <c:v>19.3</c:v>
                </c:pt>
                <c:pt idx="1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B2-4E02-88D3-166CB25EB3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68556959"/>
        <c:axId val="268557375"/>
      </c:barChart>
      <c:catAx>
        <c:axId val="268556959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Scenarios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8557375"/>
        <c:crosses val="autoZero"/>
        <c:auto val="1"/>
        <c:lblAlgn val="ctr"/>
        <c:lblOffset val="100"/>
        <c:noMultiLvlLbl val="0"/>
      </c:catAx>
      <c:valAx>
        <c:axId val="268557375"/>
        <c:scaling>
          <c:orientation val="minMax"/>
          <c:min val="1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Payback in 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85569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Catagory I / Residential Payback (Years)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'Results (2)'!$F$2</c:f>
              <c:strCache>
                <c:ptCount val="1"/>
                <c:pt idx="0">
                  <c:v>Residential Payback (Years)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100000"/>
                    <a:shade val="100000"/>
                    <a:satMod val="130000"/>
                  </a:schemeClr>
                </a:gs>
                <a:gs pos="100000">
                  <a:schemeClr val="accent1">
                    <a:tint val="50000"/>
                    <a:shade val="100000"/>
                    <a:satMod val="350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cat>
            <c:numRef>
              <c:f>'Results (2)'!$D$3:$D$13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</c:numCache>
            </c:numRef>
          </c:cat>
          <c:val>
            <c:numRef>
              <c:f>'Results (2)'!$F$3:$F$13</c:f>
              <c:numCache>
                <c:formatCode>General</c:formatCode>
                <c:ptCount val="11"/>
                <c:pt idx="0">
                  <c:v>10.9</c:v>
                </c:pt>
                <c:pt idx="1">
                  <c:v>11.3</c:v>
                </c:pt>
                <c:pt idx="2">
                  <c:v>12.9</c:v>
                </c:pt>
                <c:pt idx="3">
                  <c:v>13.5</c:v>
                </c:pt>
                <c:pt idx="4">
                  <c:v>14</c:v>
                </c:pt>
                <c:pt idx="5">
                  <c:v>14.6</c:v>
                </c:pt>
                <c:pt idx="6">
                  <c:v>15.1</c:v>
                </c:pt>
                <c:pt idx="7">
                  <c:v>16.2</c:v>
                </c:pt>
                <c:pt idx="8">
                  <c:v>18.100000000000001</c:v>
                </c:pt>
                <c:pt idx="9">
                  <c:v>19.3</c:v>
                </c:pt>
                <c:pt idx="10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3B-4563-A812-0F7139818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68556959"/>
        <c:axId val="268557375"/>
      </c:barChart>
      <c:catAx>
        <c:axId val="268556959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Scenarios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8557375"/>
        <c:crosses val="autoZero"/>
        <c:auto val="1"/>
        <c:lblAlgn val="ctr"/>
        <c:lblOffset val="100"/>
        <c:noMultiLvlLbl val="0"/>
      </c:catAx>
      <c:valAx>
        <c:axId val="268557375"/>
        <c:scaling>
          <c:orientation val="minMax"/>
          <c:min val="1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Payback in 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855695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'Results (2)'!$F$2</c:f>
              <c:strCache>
                <c:ptCount val="1"/>
                <c:pt idx="0">
                  <c:v>Residential Payback (Years)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'Results (2)'!$D$3:$D$13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</c:numCache>
            </c:numRef>
          </c:cat>
          <c:val>
            <c:numRef>
              <c:f>'Results (2)'!$F$3:$F$13</c:f>
              <c:numCache>
                <c:formatCode>General</c:formatCode>
                <c:ptCount val="11"/>
                <c:pt idx="0">
                  <c:v>10.9</c:v>
                </c:pt>
                <c:pt idx="1">
                  <c:v>11.3</c:v>
                </c:pt>
                <c:pt idx="2">
                  <c:v>12.9</c:v>
                </c:pt>
                <c:pt idx="3">
                  <c:v>13.5</c:v>
                </c:pt>
                <c:pt idx="4">
                  <c:v>14</c:v>
                </c:pt>
                <c:pt idx="5">
                  <c:v>14.6</c:v>
                </c:pt>
                <c:pt idx="6">
                  <c:v>15.1</c:v>
                </c:pt>
                <c:pt idx="7">
                  <c:v>16.2</c:v>
                </c:pt>
                <c:pt idx="8">
                  <c:v>18.100000000000001</c:v>
                </c:pt>
                <c:pt idx="9">
                  <c:v>19.3</c:v>
                </c:pt>
                <c:pt idx="10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FB-4D41-953B-F9277D9DD59E}"/>
            </c:ext>
          </c:extLst>
        </c:ser>
        <c:ser>
          <c:idx val="1"/>
          <c:order val="1"/>
          <c:tx>
            <c:strRef>
              <c:f>'Results (2)'!$G$2</c:f>
              <c:strCache>
                <c:ptCount val="1"/>
                <c:pt idx="0">
                  <c:v>Cat I Application Rate MW/YR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'Results (2)'!$D$3:$D$13</c:f>
              <c:numCache>
                <c:formatCode>General</c:formatCod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</c:numCache>
            </c:numRef>
          </c:cat>
          <c:val>
            <c:numRef>
              <c:f>'Results (2)'!$G$3:$G$7</c:f>
              <c:numCache>
                <c:formatCode>0.0</c:formatCode>
                <c:ptCount val="5"/>
                <c:pt idx="0">
                  <c:v>19.2</c:v>
                </c:pt>
                <c:pt idx="1">
                  <c:v>18</c:v>
                </c:pt>
                <c:pt idx="2">
                  <c:v>16.010526315789477</c:v>
                </c:pt>
                <c:pt idx="3">
                  <c:v>29.21142857142857</c:v>
                </c:pt>
                <c:pt idx="4">
                  <c:v>18.450000000000003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FB-4D41-953B-F9277D9DD5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2993455"/>
        <c:axId val="1092996783"/>
      </c:lineChart>
      <c:catAx>
        <c:axId val="1092993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2996783"/>
        <c:crosses val="autoZero"/>
        <c:auto val="1"/>
        <c:lblAlgn val="ctr"/>
        <c:lblOffset val="100"/>
        <c:noMultiLvlLbl val="0"/>
      </c:catAx>
      <c:valAx>
        <c:axId val="10929967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29934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t" anchorCtr="0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VT Estimated Residential Solar Payback</a:t>
            </a:r>
          </a:p>
        </c:rich>
      </c:tx>
      <c:layout>
        <c:manualLayout>
          <c:xMode val="edge"/>
          <c:yMode val="edge"/>
          <c:x val="0.20709711286089236"/>
          <c:y val="2.7777625357805882E-2"/>
        </c:manualLayout>
      </c:layout>
      <c:overlay val="0"/>
      <c:spPr>
        <a:noFill/>
        <a:ln w="15875">
          <a:solidFill>
            <a:schemeClr val="accent1"/>
          </a:solidFill>
        </a:ln>
        <a:effectLst/>
      </c:spPr>
      <c:txPr>
        <a:bodyPr rot="0" spcFirstLastPara="1" vertOverflow="ellipsis" vert="horz" wrap="square" anchor="t" anchorCtr="0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'Results (2)'!$M$2</c:f>
              <c:strCache>
                <c:ptCount val="1"/>
                <c:pt idx="0">
                  <c:v>Estimated Residential Solar Payback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'Results (2)'!$L$3:$L$9</c:f>
              <c:strCache>
                <c:ptCount val="7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  <c:pt idx="5">
                  <c:v> Proposed 2023</c:v>
                </c:pt>
                <c:pt idx="6">
                  <c:v>Proposed 2024</c:v>
                </c:pt>
              </c:strCache>
            </c:strRef>
          </c:cat>
          <c:val>
            <c:numRef>
              <c:f>'Results (2)'!$M$3:$M$9</c:f>
              <c:numCache>
                <c:formatCode>General</c:formatCode>
                <c:ptCount val="7"/>
                <c:pt idx="0">
                  <c:v>10.9</c:v>
                </c:pt>
                <c:pt idx="1">
                  <c:v>11.3</c:v>
                </c:pt>
                <c:pt idx="2">
                  <c:v>12.9</c:v>
                </c:pt>
                <c:pt idx="3">
                  <c:v>13.5</c:v>
                </c:pt>
                <c:pt idx="4">
                  <c:v>14</c:v>
                </c:pt>
                <c:pt idx="5">
                  <c:v>15.1</c:v>
                </c:pt>
                <c:pt idx="6">
                  <c:v>18.100000000000001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ED-4E47-94D8-A0734C0DD9F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092997199"/>
        <c:axId val="1092998863"/>
      </c:barChart>
      <c:catAx>
        <c:axId val="109299719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2998863"/>
        <c:crosses val="autoZero"/>
        <c:auto val="1"/>
        <c:lblAlgn val="ctr"/>
        <c:lblOffset val="100"/>
        <c:noMultiLvlLbl val="0"/>
      </c:catAx>
      <c:valAx>
        <c:axId val="1092998863"/>
        <c:scaling>
          <c:orientation val="minMax"/>
          <c:max val="20"/>
          <c:min val="5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Payback in 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299719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416719</xdr:colOff>
      <xdr:row>8</xdr:row>
      <xdr:rowOff>173769</xdr:rowOff>
    </xdr:from>
    <xdr:to>
      <xdr:col>7</xdr:col>
      <xdr:colOff>1790778</xdr:colOff>
      <xdr:row>17</xdr:row>
      <xdr:rowOff>150047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1DECF4-6FB3-4363-A416-70A9B3740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6844" y="2376425"/>
          <a:ext cx="6178232" cy="23872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21430</xdr:colOff>
      <xdr:row>16</xdr:row>
      <xdr:rowOff>9525</xdr:rowOff>
    </xdr:from>
    <xdr:to>
      <xdr:col>6</xdr:col>
      <xdr:colOff>2971800</xdr:colOff>
      <xdr:row>33</xdr:row>
      <xdr:rowOff>30956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2C4744-06DF-4719-A1FE-ACDE0A9930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469105</xdr:colOff>
      <xdr:row>15</xdr:row>
      <xdr:rowOff>135731</xdr:rowOff>
    </xdr:from>
    <xdr:to>
      <xdr:col>8</xdr:col>
      <xdr:colOff>2269330</xdr:colOff>
      <xdr:row>32</xdr:row>
      <xdr:rowOff>126206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8740B62-28B2-42E1-96AA-65263F0F78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45244</xdr:colOff>
      <xdr:row>33</xdr:row>
      <xdr:rowOff>140493</xdr:rowOff>
    </xdr:from>
    <xdr:to>
      <xdr:col>8</xdr:col>
      <xdr:colOff>216694</xdr:colOff>
      <xdr:row>50</xdr:row>
      <xdr:rowOff>130968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6BC3965-0CB6-4CBC-B51C-03F3D8081B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390524</xdr:colOff>
      <xdr:row>13</xdr:row>
      <xdr:rowOff>57149</xdr:rowOff>
    </xdr:from>
    <xdr:to>
      <xdr:col>16</xdr:col>
      <xdr:colOff>428624</xdr:colOff>
      <xdr:row>30</xdr:row>
      <xdr:rowOff>38099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9139516-39B5-4D5B-8C89-3DFAC72CAB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7"/>
  <sheetViews>
    <sheetView tabSelected="1" zoomScale="80" workbookViewId="0">
      <selection activeCell="C27" sqref="C27"/>
    </sheetView>
  </sheetViews>
  <sheetFormatPr defaultColWidth="22.73046875" defaultRowHeight="21" x14ac:dyDescent="0.65"/>
  <cols>
    <col min="1" max="1" width="15.1328125" style="29" customWidth="1"/>
    <col min="2" max="2" width="56.86328125" style="29" customWidth="1"/>
    <col min="3" max="3" width="20.86328125" style="29" customWidth="1"/>
    <col min="4" max="4" width="27.86328125" style="29" customWidth="1"/>
    <col min="5" max="6" width="19.265625" style="29" customWidth="1"/>
    <col min="7" max="7" width="28.73046875" style="29" customWidth="1"/>
    <col min="8" max="8" width="26.86328125" style="29" customWidth="1"/>
    <col min="9" max="16384" width="22.73046875" style="29"/>
  </cols>
  <sheetData>
    <row r="1" spans="1:7" ht="25.9" thickBot="1" x14ac:dyDescent="0.8">
      <c r="A1" s="116" t="s">
        <v>102</v>
      </c>
      <c r="B1" s="117"/>
      <c r="C1" s="118"/>
    </row>
    <row r="2" spans="1:7" x14ac:dyDescent="0.65">
      <c r="A2" s="80" t="s">
        <v>85</v>
      </c>
      <c r="B2" s="62"/>
      <c r="C2" s="60" t="s">
        <v>107</v>
      </c>
      <c r="D2" s="31"/>
      <c r="E2" s="30"/>
      <c r="F2" s="30"/>
      <c r="G2" s="30"/>
    </row>
    <row r="3" spans="1:7" x14ac:dyDescent="0.65">
      <c r="A3" s="81" t="s">
        <v>117</v>
      </c>
      <c r="C3" s="43">
        <v>0.16400000000000001</v>
      </c>
      <c r="D3" s="46"/>
    </row>
    <row r="4" spans="1:7" x14ac:dyDescent="0.65">
      <c r="A4" s="81" t="s">
        <v>68</v>
      </c>
      <c r="C4" s="43">
        <v>-0.01</v>
      </c>
      <c r="D4" s="46"/>
    </row>
    <row r="5" spans="1:7" x14ac:dyDescent="0.65">
      <c r="A5" s="81" t="s">
        <v>70</v>
      </c>
      <c r="C5" s="43">
        <v>-0.01</v>
      </c>
      <c r="D5" s="46"/>
    </row>
    <row r="6" spans="1:7" x14ac:dyDescent="0.65">
      <c r="A6" s="80" t="s">
        <v>86</v>
      </c>
      <c r="B6" s="61"/>
      <c r="C6" s="32"/>
      <c r="D6" s="46"/>
    </row>
    <row r="7" spans="1:7" x14ac:dyDescent="0.65">
      <c r="A7" s="81" t="s">
        <v>47</v>
      </c>
      <c r="C7" s="41">
        <v>7000</v>
      </c>
      <c r="D7" s="46"/>
    </row>
    <row r="8" spans="1:7" x14ac:dyDescent="0.65">
      <c r="A8" s="81" t="s">
        <v>43</v>
      </c>
      <c r="C8" s="58">
        <v>0.99</v>
      </c>
      <c r="D8" s="29" t="s">
        <v>142</v>
      </c>
    </row>
    <row r="9" spans="1:7" x14ac:dyDescent="0.65">
      <c r="A9" s="81" t="s">
        <v>71</v>
      </c>
      <c r="C9" s="57">
        <v>5.0000000000000001E-3</v>
      </c>
      <c r="E9" s="84"/>
      <c r="F9" s="34"/>
    </row>
    <row r="10" spans="1:7" x14ac:dyDescent="0.65">
      <c r="C10" s="57"/>
      <c r="F10" s="34"/>
    </row>
    <row r="11" spans="1:7" x14ac:dyDescent="0.65">
      <c r="A11" s="80" t="s">
        <v>89</v>
      </c>
      <c r="B11" s="61"/>
      <c r="C11" s="57"/>
    </row>
    <row r="12" spans="1:7" x14ac:dyDescent="0.65">
      <c r="A12" s="81" t="s">
        <v>41</v>
      </c>
      <c r="C12" s="55">
        <v>0</v>
      </c>
      <c r="D12" s="49"/>
    </row>
    <row r="13" spans="1:7" x14ac:dyDescent="0.65">
      <c r="A13" s="81" t="s">
        <v>52</v>
      </c>
      <c r="C13" s="55">
        <v>0</v>
      </c>
      <c r="D13" s="29" t="s">
        <v>90</v>
      </c>
    </row>
    <row r="14" spans="1:7" x14ac:dyDescent="0.65">
      <c r="A14" s="81" t="s">
        <v>74</v>
      </c>
      <c r="C14" s="55">
        <v>2.5000000000000001E-2</v>
      </c>
      <c r="D14" s="29" t="s">
        <v>143</v>
      </c>
    </row>
    <row r="15" spans="1:7" x14ac:dyDescent="0.65">
      <c r="C15" s="55"/>
    </row>
    <row r="16" spans="1:7" x14ac:dyDescent="0.65">
      <c r="A16" s="80" t="s">
        <v>88</v>
      </c>
      <c r="B16" s="61"/>
      <c r="C16" s="58"/>
    </row>
    <row r="17" spans="1:6" x14ac:dyDescent="0.65">
      <c r="A17" s="81" t="s">
        <v>50</v>
      </c>
      <c r="C17" s="42">
        <v>3.3</v>
      </c>
      <c r="D17" s="48" t="s">
        <v>84</v>
      </c>
      <c r="E17" s="33"/>
      <c r="F17" s="33"/>
    </row>
    <row r="18" spans="1:6" x14ac:dyDescent="0.65">
      <c r="A18" s="81" t="s">
        <v>49</v>
      </c>
      <c r="C18" s="45">
        <v>0</v>
      </c>
      <c r="D18" s="47"/>
    </row>
    <row r="19" spans="1:6" x14ac:dyDescent="0.65">
      <c r="A19" s="81" t="s">
        <v>51</v>
      </c>
      <c r="C19" s="44">
        <f>C17*C7</f>
        <v>23100</v>
      </c>
      <c r="E19" s="34"/>
      <c r="F19" s="34"/>
    </row>
    <row r="20" spans="1:6" x14ac:dyDescent="0.65">
      <c r="A20" s="81" t="s">
        <v>38</v>
      </c>
      <c r="C20" s="82" t="b">
        <v>0</v>
      </c>
      <c r="D20" s="50" t="s">
        <v>108</v>
      </c>
    </row>
    <row r="21" spans="1:6" x14ac:dyDescent="0.65">
      <c r="C21" s="63"/>
      <c r="D21" s="50"/>
    </row>
    <row r="22" spans="1:6" x14ac:dyDescent="0.65">
      <c r="A22" s="80" t="s">
        <v>93</v>
      </c>
      <c r="B22" s="80"/>
      <c r="C22" s="63"/>
      <c r="D22" s="50"/>
    </row>
    <row r="23" spans="1:6" x14ac:dyDescent="0.65">
      <c r="A23" s="81" t="s">
        <v>67</v>
      </c>
      <c r="C23" s="55">
        <v>0</v>
      </c>
    </row>
    <row r="24" spans="1:6" x14ac:dyDescent="0.65">
      <c r="A24" s="81" t="s">
        <v>54</v>
      </c>
      <c r="C24" s="43">
        <v>0</v>
      </c>
    </row>
    <row r="25" spans="1:6" x14ac:dyDescent="0.65">
      <c r="A25" s="81" t="s">
        <v>13</v>
      </c>
      <c r="C25" s="55">
        <v>0</v>
      </c>
    </row>
    <row r="26" spans="1:6" x14ac:dyDescent="0.65">
      <c r="A26" s="81" t="s">
        <v>12</v>
      </c>
      <c r="C26" s="83">
        <v>15</v>
      </c>
    </row>
    <row r="27" spans="1:6" x14ac:dyDescent="0.65">
      <c r="A27" s="61" t="s">
        <v>91</v>
      </c>
      <c r="B27" s="61"/>
      <c r="C27" s="35"/>
      <c r="D27" s="50"/>
    </row>
    <row r="28" spans="1:6" x14ac:dyDescent="0.65">
      <c r="A28" s="81" t="s">
        <v>56</v>
      </c>
      <c r="C28" s="56">
        <v>0</v>
      </c>
      <c r="D28" s="52"/>
      <c r="E28" s="37"/>
      <c r="F28" s="38"/>
    </row>
    <row r="29" spans="1:6" x14ac:dyDescent="0.65">
      <c r="A29" s="81" t="s">
        <v>40</v>
      </c>
      <c r="C29" s="56">
        <v>0</v>
      </c>
      <c r="D29" s="47"/>
      <c r="E29" s="39"/>
      <c r="F29" s="39"/>
    </row>
    <row r="30" spans="1:6" x14ac:dyDescent="0.65">
      <c r="A30" s="81" t="s">
        <v>24</v>
      </c>
      <c r="C30" s="56">
        <v>2</v>
      </c>
      <c r="D30" s="53" t="s">
        <v>72</v>
      </c>
    </row>
    <row r="31" spans="1:6" x14ac:dyDescent="0.65">
      <c r="A31" s="81" t="s">
        <v>73</v>
      </c>
      <c r="C31" s="56">
        <v>10</v>
      </c>
      <c r="D31" s="53" t="s">
        <v>72</v>
      </c>
    </row>
    <row r="32" spans="1:6" x14ac:dyDescent="0.65">
      <c r="A32" s="81" t="s">
        <v>87</v>
      </c>
      <c r="C32" s="57">
        <v>0.02</v>
      </c>
      <c r="D32" s="47"/>
      <c r="E32" s="39"/>
      <c r="F32" s="39"/>
    </row>
    <row r="33" spans="1:6" x14ac:dyDescent="0.65">
      <c r="A33" s="81" t="s">
        <v>21</v>
      </c>
      <c r="C33" s="59">
        <v>0.3</v>
      </c>
      <c r="D33" s="47">
        <f>C33*C7</f>
        <v>2100</v>
      </c>
      <c r="E33" s="39"/>
      <c r="F33" s="39"/>
    </row>
    <row r="34" spans="1:6" x14ac:dyDescent="0.65">
      <c r="A34" s="81" t="s">
        <v>25</v>
      </c>
      <c r="C34" s="59">
        <v>150</v>
      </c>
      <c r="D34" s="47"/>
      <c r="E34" s="39"/>
      <c r="F34" s="39"/>
    </row>
    <row r="35" spans="1:6" x14ac:dyDescent="0.65">
      <c r="A35" s="61" t="s">
        <v>92</v>
      </c>
      <c r="B35" s="61"/>
      <c r="D35" s="51"/>
    </row>
    <row r="36" spans="1:6" x14ac:dyDescent="0.65">
      <c r="A36" s="81" t="s">
        <v>106</v>
      </c>
      <c r="C36" s="57">
        <v>2.5000000000000001E-2</v>
      </c>
    </row>
    <row r="39" spans="1:6" hidden="1" x14ac:dyDescent="0.65">
      <c r="A39" s="29" t="s">
        <v>55</v>
      </c>
      <c r="C39" s="54">
        <f>C7*C8</f>
        <v>6930</v>
      </c>
      <c r="D39" s="48"/>
    </row>
    <row r="40" spans="1:6" hidden="1" x14ac:dyDescent="0.65">
      <c r="A40" s="29" t="s">
        <v>42</v>
      </c>
      <c r="C40" s="40">
        <v>0.2</v>
      </c>
      <c r="D40" s="49"/>
    </row>
    <row r="41" spans="1:6" x14ac:dyDescent="0.65">
      <c r="D41" s="36"/>
    </row>
    <row r="57" spans="7:8" x14ac:dyDescent="0.65">
      <c r="G57" s="35"/>
      <c r="H57" s="35"/>
    </row>
  </sheetData>
  <mergeCells count="1">
    <mergeCell ref="A1:C1"/>
  </mergeCells>
  <phoneticPr fontId="2" type="noConversion"/>
  <pageMargins left="0.75" right="0.75" top="1" bottom="1" header="0.5" footer="0.5"/>
  <pageSetup scale="41" orientation="landscape" r:id="rId1"/>
  <headerFooter alignWithMargins="0">
    <oddHeader>&amp;C&amp;14Appendix page 2</oddHeader>
    <oddFooter>&amp;C52 Bridge St
White River Junction, VT 05001&amp;R&amp;G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AB52"/>
  <sheetViews>
    <sheetView topLeftCell="A2" workbookViewId="0">
      <pane xSplit="1" topLeftCell="J1" activePane="topRight" state="frozen"/>
      <selection pane="topRight" activeCell="L16" sqref="L16"/>
    </sheetView>
  </sheetViews>
  <sheetFormatPr defaultColWidth="8.86328125" defaultRowHeight="13.15" x14ac:dyDescent="0.4"/>
  <cols>
    <col min="1" max="1" width="52.86328125" style="12" customWidth="1"/>
    <col min="2" max="2" width="15.86328125" customWidth="1"/>
    <col min="3" max="3" width="15.265625" customWidth="1"/>
    <col min="4" max="4" width="14.73046875" customWidth="1"/>
    <col min="5" max="6" width="13" customWidth="1"/>
    <col min="7" max="11" width="13" bestFit="1" customWidth="1"/>
    <col min="12" max="12" width="10" customWidth="1"/>
    <col min="13" max="13" width="9.3984375" customWidth="1"/>
    <col min="14" max="14" width="10" customWidth="1"/>
    <col min="15" max="15" width="9.86328125" customWidth="1"/>
    <col min="16" max="17" width="10.73046875" bestFit="1" customWidth="1"/>
    <col min="18" max="26" width="13" bestFit="1" customWidth="1"/>
  </cols>
  <sheetData>
    <row r="2" spans="1:28" ht="14.85" customHeight="1" x14ac:dyDescent="0.35">
      <c r="A2" s="119"/>
    </row>
    <row r="3" spans="1:28" ht="14.85" customHeight="1" thickBot="1" x14ac:dyDescent="0.4">
      <c r="A3" s="119"/>
    </row>
    <row r="4" spans="1:28" ht="14.85" customHeight="1" x14ac:dyDescent="0.35">
      <c r="A4" s="119"/>
      <c r="H4" s="120" t="s">
        <v>114</v>
      </c>
      <c r="I4" s="121"/>
      <c r="J4" s="121"/>
      <c r="K4" s="121"/>
      <c r="L4" s="121"/>
      <c r="M4" s="121"/>
      <c r="N4" s="121"/>
      <c r="O4" s="122"/>
    </row>
    <row r="5" spans="1:28" ht="14.85" customHeight="1" x14ac:dyDescent="0.35">
      <c r="A5" s="119"/>
      <c r="H5" s="123"/>
      <c r="I5" s="124"/>
      <c r="J5" s="124"/>
      <c r="K5" s="124"/>
      <c r="L5" s="124"/>
      <c r="M5" s="124"/>
      <c r="N5" s="124"/>
      <c r="O5" s="125"/>
    </row>
    <row r="6" spans="1:28" ht="14.85" customHeight="1" thickBot="1" x14ac:dyDescent="0.4">
      <c r="A6" s="119"/>
      <c r="H6" s="126"/>
      <c r="I6" s="127"/>
      <c r="J6" s="127"/>
      <c r="K6" s="127"/>
      <c r="L6" s="127"/>
      <c r="M6" s="127"/>
      <c r="N6" s="127"/>
      <c r="O6" s="128"/>
    </row>
    <row r="7" spans="1:28" ht="14.85" customHeight="1" x14ac:dyDescent="0.35">
      <c r="A7" s="119"/>
    </row>
    <row r="8" spans="1:28" ht="14.85" customHeight="1" x14ac:dyDescent="0.35">
      <c r="A8" s="119"/>
    </row>
    <row r="9" spans="1:28" ht="14.85" customHeight="1" x14ac:dyDescent="0.35">
      <c r="A9" s="119"/>
    </row>
    <row r="10" spans="1:28" ht="14.85" customHeight="1" x14ac:dyDescent="0.35">
      <c r="A10" s="119"/>
    </row>
    <row r="11" spans="1:28" ht="14.85" customHeight="1" x14ac:dyDescent="0.35">
      <c r="A11" s="119"/>
    </row>
    <row r="12" spans="1:28" ht="39.4" customHeight="1" x14ac:dyDescent="0.35">
      <c r="A12" s="119"/>
    </row>
    <row r="14" spans="1:28" x14ac:dyDescent="0.4">
      <c r="G14" s="5" t="s">
        <v>109</v>
      </c>
    </row>
    <row r="15" spans="1:28" s="5" customFormat="1" x14ac:dyDescent="0.4">
      <c r="A15" s="70" t="s">
        <v>0</v>
      </c>
      <c r="B15" s="23">
        <f>'Inputs &amp; Generation'!C5</f>
        <v>-0.01</v>
      </c>
      <c r="C15" s="23">
        <f>B15</f>
        <v>-0.01</v>
      </c>
      <c r="D15" s="23">
        <f>B15</f>
        <v>-0.01</v>
      </c>
      <c r="E15" s="23">
        <f>B15</f>
        <v>-0.01</v>
      </c>
      <c r="F15" s="23">
        <f>B15</f>
        <v>-0.01</v>
      </c>
      <c r="G15" s="23">
        <f>C15</f>
        <v>-0.01</v>
      </c>
      <c r="H15" s="23">
        <f t="shared" ref="H15" si="0">G15</f>
        <v>-0.01</v>
      </c>
      <c r="I15" s="23">
        <f t="shared" ref="I15" si="1">G15</f>
        <v>-0.01</v>
      </c>
      <c r="J15" s="23">
        <f t="shared" ref="J15" si="2">G15</f>
        <v>-0.01</v>
      </c>
      <c r="K15" s="23">
        <f t="shared" ref="K15" si="3">G15</f>
        <v>-0.01</v>
      </c>
      <c r="L15" s="23">
        <f>IF(K15&lt;0,K15,0)</f>
        <v>-0.01</v>
      </c>
      <c r="M15" s="23">
        <f t="shared" ref="M15" si="4">L15</f>
        <v>-0.01</v>
      </c>
      <c r="N15" s="23">
        <f t="shared" ref="N15" si="5">L15</f>
        <v>-0.01</v>
      </c>
      <c r="O15" s="23">
        <f t="shared" ref="O15" si="6">L15</f>
        <v>-0.01</v>
      </c>
      <c r="P15" s="23">
        <f t="shared" ref="P15" si="7">L15</f>
        <v>-0.01</v>
      </c>
      <c r="Q15" s="23">
        <f>'Inputs &amp; Generation'!R5</f>
        <v>0</v>
      </c>
      <c r="R15" s="23">
        <f t="shared" ref="R15" si="8">Q15</f>
        <v>0</v>
      </c>
      <c r="S15" s="23">
        <f t="shared" ref="S15" si="9">Q15</f>
        <v>0</v>
      </c>
      <c r="T15" s="23">
        <f t="shared" ref="T15" si="10">Q15</f>
        <v>0</v>
      </c>
      <c r="U15" s="23">
        <f t="shared" ref="U15" si="11">Q15</f>
        <v>0</v>
      </c>
      <c r="V15" s="23">
        <f>'Inputs &amp; Generation'!W5</f>
        <v>0</v>
      </c>
      <c r="W15" s="23">
        <f t="shared" ref="W15" si="12">V15</f>
        <v>0</v>
      </c>
      <c r="X15" s="23">
        <f t="shared" ref="X15" si="13">V15</f>
        <v>0</v>
      </c>
      <c r="Y15" s="23">
        <f t="shared" ref="Y15" si="14">V15</f>
        <v>0</v>
      </c>
      <c r="Z15" s="23">
        <f t="shared" ref="Z15" si="15">V15</f>
        <v>0</v>
      </c>
      <c r="AA15" s="23"/>
      <c r="AB15" s="23"/>
    </row>
    <row r="16" spans="1:28" x14ac:dyDescent="0.4">
      <c r="A16" s="12" t="s">
        <v>1</v>
      </c>
      <c r="B16" s="9">
        <v>0</v>
      </c>
      <c r="G16" s="5"/>
    </row>
    <row r="17" spans="1:26" s="68" customFormat="1" ht="14.25" thickBot="1" x14ac:dyDescent="0.45">
      <c r="A17" s="78" t="s">
        <v>101</v>
      </c>
      <c r="B17" s="69">
        <v>1</v>
      </c>
      <c r="C17" s="69">
        <f t="shared" ref="C17:Z17" si="16">B17+1</f>
        <v>2</v>
      </c>
      <c r="D17" s="69">
        <f t="shared" si="16"/>
        <v>3</v>
      </c>
      <c r="E17" s="69">
        <f t="shared" si="16"/>
        <v>4</v>
      </c>
      <c r="F17" s="69">
        <f t="shared" si="16"/>
        <v>5</v>
      </c>
      <c r="G17" s="104">
        <f t="shared" si="16"/>
        <v>6</v>
      </c>
      <c r="H17" s="69">
        <f t="shared" si="16"/>
        <v>7</v>
      </c>
      <c r="I17" s="69">
        <f t="shared" si="16"/>
        <v>8</v>
      </c>
      <c r="J17" s="69">
        <f t="shared" si="16"/>
        <v>9</v>
      </c>
      <c r="K17" s="69">
        <f t="shared" si="16"/>
        <v>10</v>
      </c>
      <c r="L17" s="69">
        <f t="shared" si="16"/>
        <v>11</v>
      </c>
      <c r="M17" s="69">
        <f t="shared" si="16"/>
        <v>12</v>
      </c>
      <c r="N17" s="69">
        <f t="shared" si="16"/>
        <v>13</v>
      </c>
      <c r="O17" s="69">
        <f t="shared" si="16"/>
        <v>14</v>
      </c>
      <c r="P17" s="69">
        <f t="shared" si="16"/>
        <v>15</v>
      </c>
      <c r="Q17" s="69">
        <f t="shared" si="16"/>
        <v>16</v>
      </c>
      <c r="R17" s="69">
        <f t="shared" si="16"/>
        <v>17</v>
      </c>
      <c r="S17" s="69">
        <f t="shared" si="16"/>
        <v>18</v>
      </c>
      <c r="T17" s="69">
        <f t="shared" si="16"/>
        <v>19</v>
      </c>
      <c r="U17" s="69">
        <f t="shared" si="16"/>
        <v>20</v>
      </c>
      <c r="V17" s="69">
        <f t="shared" si="16"/>
        <v>21</v>
      </c>
      <c r="W17" s="69">
        <f t="shared" si="16"/>
        <v>22</v>
      </c>
      <c r="X17" s="69">
        <f t="shared" si="16"/>
        <v>23</v>
      </c>
      <c r="Y17" s="69">
        <f t="shared" si="16"/>
        <v>24</v>
      </c>
      <c r="Z17" s="69">
        <f t="shared" si="16"/>
        <v>25</v>
      </c>
    </row>
    <row r="18" spans="1:26" ht="13.5" thickTop="1" x14ac:dyDescent="0.4">
      <c r="A18" s="77" t="s">
        <v>2</v>
      </c>
      <c r="B18" s="95">
        <f>'Inputs &amp; Generation'!C39</f>
        <v>6930</v>
      </c>
      <c r="C18" s="96">
        <f>B18*(1-'Inputs &amp; Generation'!$C$9)</f>
        <v>6895.35</v>
      </c>
      <c r="D18" s="96">
        <f>C18*(1-'Inputs &amp; Generation'!$C$9)</f>
        <v>6860.8732500000006</v>
      </c>
      <c r="E18" s="96">
        <f>D18*(1-'Inputs &amp; Generation'!$C$9)</f>
        <v>6826.5688837500002</v>
      </c>
      <c r="F18" s="96">
        <f>E18*(1-'Inputs &amp; Generation'!$C$9)</f>
        <v>6792.43603933125</v>
      </c>
      <c r="G18" s="96">
        <f>F18*(1-'Inputs &amp; Generation'!$C$9)</f>
        <v>6758.473859134594</v>
      </c>
      <c r="H18" s="96">
        <f>G18*(1-'Inputs &amp; Generation'!$C$9)</f>
        <v>6724.6814898389212</v>
      </c>
      <c r="I18" s="96">
        <f>H18*(1-'Inputs &amp; Generation'!$C$9)</f>
        <v>6691.0580823897262</v>
      </c>
      <c r="J18" s="96">
        <f>I18*(1-'Inputs &amp; Generation'!$C$9)</f>
        <v>6657.602791977778</v>
      </c>
      <c r="K18" s="96">
        <f>J18*(1-'Inputs &amp; Generation'!$C$9)</f>
        <v>6624.3147780178888</v>
      </c>
      <c r="L18" s="96">
        <f>K18*(1-'Inputs &amp; Generation'!$C$9)</f>
        <v>6591.1932041277996</v>
      </c>
      <c r="M18" s="96">
        <f>L18*(1-'Inputs &amp; Generation'!$C$9)</f>
        <v>6558.2372381071609</v>
      </c>
      <c r="N18" s="96">
        <f>M18*(1-'Inputs &amp; Generation'!$C$9)</f>
        <v>6525.446051916625</v>
      </c>
      <c r="O18" s="96">
        <f>N18*(1-'Inputs &amp; Generation'!$C$9)</f>
        <v>6492.8188216570416</v>
      </c>
      <c r="P18" s="96">
        <f>O18*(1-'Inputs &amp; Generation'!$C$9)</f>
        <v>6460.3547275487563</v>
      </c>
      <c r="Q18" s="96">
        <f>P18*(1-'Inputs &amp; Generation'!$C$9)</f>
        <v>6428.0529539110121</v>
      </c>
      <c r="R18" s="96">
        <f>Q18*(1-'Inputs &amp; Generation'!$C$9)</f>
        <v>6395.9126891414571</v>
      </c>
      <c r="S18" s="96">
        <f>R18*(1-'Inputs &amp; Generation'!$C$9)</f>
        <v>6363.9331256957494</v>
      </c>
      <c r="T18" s="96">
        <f>S18*(1-'Inputs &amp; Generation'!$C$9)</f>
        <v>6332.1134600672704</v>
      </c>
      <c r="U18" s="96">
        <f>T18*(1-'Inputs &amp; Generation'!$C$9)</f>
        <v>6300.4528927669344</v>
      </c>
      <c r="V18" s="96">
        <f>U18*(1-'Inputs &amp; Generation'!$C$9)</f>
        <v>6268.9506283030996</v>
      </c>
      <c r="W18" s="96">
        <f>V18*(1-'Inputs &amp; Generation'!$C$9)</f>
        <v>6237.6058751615838</v>
      </c>
      <c r="X18" s="96">
        <f>W18*(1-'Inputs &amp; Generation'!$C$9)</f>
        <v>6206.4178457857761</v>
      </c>
      <c r="Y18" s="96">
        <f>X18*(1-'Inputs &amp; Generation'!$C$9)</f>
        <v>6175.3857565568469</v>
      </c>
      <c r="Z18" s="96">
        <f>Y18*(1-'Inputs &amp; Generation'!$C$9)</f>
        <v>6144.5088277740624</v>
      </c>
    </row>
    <row r="19" spans="1:26" x14ac:dyDescent="0.4">
      <c r="A19" s="105" t="s">
        <v>46</v>
      </c>
      <c r="B19" s="97">
        <f>'Inputs &amp; Generation'!C3</f>
        <v>0.16400000000000001</v>
      </c>
      <c r="C19" s="97">
        <f>B19*(1+'Inputs &amp; Generation'!$C$36)</f>
        <v>0.1681</v>
      </c>
      <c r="D19" s="97">
        <f>C19*(1+'Inputs &amp; Generation'!$C$36)</f>
        <v>0.1723025</v>
      </c>
      <c r="E19" s="97">
        <f>D19*(1+'Inputs &amp; Generation'!$C$36)</f>
        <v>0.17661006249999997</v>
      </c>
      <c r="F19" s="97">
        <f>E19*(1+'Inputs &amp; Generation'!$C$36)</f>
        <v>0.18102531406249994</v>
      </c>
      <c r="G19" s="97">
        <f>F19*(1+'Inputs &amp; Generation'!$C$36)</f>
        <v>0.18555094691406243</v>
      </c>
      <c r="H19" s="97">
        <f>G19*(1+'Inputs &amp; Generation'!$C$36)</f>
        <v>0.19018972058691397</v>
      </c>
      <c r="I19" s="97">
        <f>H19*(1+'Inputs &amp; Generation'!$C$36)</f>
        <v>0.19494446360158679</v>
      </c>
      <c r="J19" s="97">
        <f>I19*(1+'Inputs &amp; Generation'!$C$36)</f>
        <v>0.19981807519162645</v>
      </c>
      <c r="K19" s="97">
        <f>J19*(1+'Inputs &amp; Generation'!$C$36)</f>
        <v>0.20481352707141709</v>
      </c>
      <c r="L19" s="97">
        <f>K19*(1+'Inputs &amp; Generation'!$C$36)</f>
        <v>0.20993386524820251</v>
      </c>
      <c r="M19" s="97">
        <f>L19*(1+'Inputs &amp; Generation'!$C$36)</f>
        <v>0.21518221187940756</v>
      </c>
      <c r="N19" s="97">
        <f>M19*(1+'Inputs &amp; Generation'!$C$36)</f>
        <v>0.22056176717639273</v>
      </c>
      <c r="O19" s="97">
        <f>N19*(1+'Inputs &amp; Generation'!$C$36)</f>
        <v>0.22607581135580251</v>
      </c>
      <c r="P19" s="97">
        <f>O19*(1+'Inputs &amp; Generation'!$C$36)</f>
        <v>0.23172770663969755</v>
      </c>
      <c r="Q19" s="97">
        <f>P19*(1+'Inputs &amp; Generation'!$C$36)</f>
        <v>0.23752089930568998</v>
      </c>
      <c r="R19" s="97">
        <f>Q19*(1+'Inputs &amp; Generation'!$C$36)</f>
        <v>0.2434589217883322</v>
      </c>
      <c r="S19" s="97">
        <f>R19*(1+'Inputs &amp; Generation'!$C$36)</f>
        <v>0.24954539483304047</v>
      </c>
      <c r="T19" s="97">
        <f>S19*(1+'Inputs &amp; Generation'!$C$36)</f>
        <v>0.25578402970386649</v>
      </c>
      <c r="U19" s="97">
        <f>T19*(1+'Inputs &amp; Generation'!$C$36)</f>
        <v>0.26217863044646311</v>
      </c>
      <c r="V19" s="97">
        <f>U19*(1+'Inputs &amp; Generation'!$C$36)</f>
        <v>0.26873309620762464</v>
      </c>
      <c r="W19" s="97">
        <f>V19*(1+'Inputs &amp; Generation'!$C$36)</f>
        <v>0.27545142361281522</v>
      </c>
      <c r="X19" s="97">
        <f>W19*(1+'Inputs &amp; Generation'!$C$36)</f>
        <v>0.28233770920313556</v>
      </c>
      <c r="Y19" s="97">
        <f>X19*(1+'Inputs &amp; Generation'!$C$36)</f>
        <v>0.28939615193321394</v>
      </c>
      <c r="Z19" s="97">
        <f>Y19*(1+'Inputs &amp; Generation'!$C$36)</f>
        <v>0.29663105573154425</v>
      </c>
    </row>
    <row r="20" spans="1:26" x14ac:dyDescent="0.4">
      <c r="A20" s="105" t="s">
        <v>69</v>
      </c>
      <c r="B20" s="97">
        <f>'Inputs &amp; Generation'!$C$5+B19+'Inputs &amp; Generation'!$C$4</f>
        <v>0.14399999999999999</v>
      </c>
      <c r="C20" s="97">
        <f>'Inputs &amp; Generation'!$C$5+C19+'Inputs &amp; Generation'!$C$4</f>
        <v>0.14809999999999998</v>
      </c>
      <c r="D20" s="97">
        <f>'Inputs &amp; Generation'!$C$5+D19+'Inputs &amp; Generation'!$C$4</f>
        <v>0.15230249999999998</v>
      </c>
      <c r="E20" s="97">
        <f>'Inputs &amp; Generation'!$C$5+E19+'Inputs &amp; Generation'!$C$4</f>
        <v>0.15661006249999995</v>
      </c>
      <c r="F20" s="97">
        <f>'Inputs &amp; Generation'!$C$5+F19+'Inputs &amp; Generation'!$C$4</f>
        <v>0.16102531406249992</v>
      </c>
      <c r="G20" s="97">
        <f>'Inputs &amp; Generation'!$C$5+G19+'Inputs &amp; Generation'!$C$4</f>
        <v>0.16555094691406241</v>
      </c>
      <c r="H20" s="97">
        <f>'Inputs &amp; Generation'!$C$5+H19+'Inputs &amp; Generation'!$C$4</f>
        <v>0.17018972058691395</v>
      </c>
      <c r="I20" s="97">
        <f>'Inputs &amp; Generation'!$C$5+I19+'Inputs &amp; Generation'!$C$4</f>
        <v>0.17494446360158677</v>
      </c>
      <c r="J20" s="97">
        <f>'Inputs &amp; Generation'!$C$5+J19+'Inputs &amp; Generation'!$C$4</f>
        <v>0.17981807519162643</v>
      </c>
      <c r="K20" s="97">
        <f>'Inputs &amp; Generation'!$C$5+K19+'Inputs &amp; Generation'!$C$4</f>
        <v>0.18481352707141707</v>
      </c>
      <c r="L20" s="97">
        <f>'Inputs &amp; Generation'!$C$5+L19</f>
        <v>0.1999338652482025</v>
      </c>
      <c r="M20" s="97">
        <f>'Inputs &amp; Generation'!$C$5+M19</f>
        <v>0.20518221187940755</v>
      </c>
      <c r="N20" s="97">
        <f>'Inputs &amp; Generation'!$C$5+N19</f>
        <v>0.21056176717639272</v>
      </c>
      <c r="O20" s="97">
        <f>'Inputs &amp; Generation'!$C$5+O19</f>
        <v>0.21607581135580251</v>
      </c>
      <c r="P20" s="97">
        <f>'Inputs &amp; Generation'!$C$5+P19</f>
        <v>0.22172770663969754</v>
      </c>
      <c r="Q20" s="97">
        <f>'Inputs &amp; Generation'!$C$5+Q19</f>
        <v>0.22752089930568997</v>
      </c>
      <c r="R20" s="97">
        <f>'Inputs &amp; Generation'!$C$5+R19</f>
        <v>0.23345892178833219</v>
      </c>
      <c r="S20" s="97">
        <f>'Inputs &amp; Generation'!$C$5+S19</f>
        <v>0.23954539483304046</v>
      </c>
      <c r="T20" s="97">
        <f>'Inputs &amp; Generation'!$C$5+T19</f>
        <v>0.24578402970386648</v>
      </c>
      <c r="U20" s="97">
        <f>'Inputs &amp; Generation'!$C$5+U19</f>
        <v>0.2521786304464631</v>
      </c>
      <c r="V20" s="97">
        <f>'Inputs &amp; Generation'!$C$5+V19</f>
        <v>0.25873309620762464</v>
      </c>
      <c r="W20" s="97">
        <f>'Inputs &amp; Generation'!$C$5+W19</f>
        <v>0.26545142361281521</v>
      </c>
      <c r="X20" s="97">
        <f>'Inputs &amp; Generation'!$C$5+X19</f>
        <v>0.27233770920313555</v>
      </c>
      <c r="Y20" s="97">
        <f>'Inputs &amp; Generation'!$C$5+Y19</f>
        <v>0.27939615193321393</v>
      </c>
      <c r="Z20" s="97">
        <f>'Inputs &amp; Generation'!$C$5+Z19</f>
        <v>0.28663105573154424</v>
      </c>
    </row>
    <row r="21" spans="1:26" x14ac:dyDescent="0.4">
      <c r="A21" s="105" t="s">
        <v>44</v>
      </c>
      <c r="B21" s="20">
        <f t="shared" ref="B21:Z21" si="17">B18*B20</f>
        <v>997.92</v>
      </c>
      <c r="C21" s="20">
        <f t="shared" si="17"/>
        <v>1021.201335</v>
      </c>
      <c r="D21" s="20">
        <f t="shared" si="17"/>
        <v>1044.9281481581249</v>
      </c>
      <c r="E21" s="20">
        <f t="shared" si="17"/>
        <v>1069.1093795446425</v>
      </c>
      <c r="F21" s="20">
        <f t="shared" si="17"/>
        <v>1093.7541464827575</v>
      </c>
      <c r="G21" s="20">
        <f t="shared" si="17"/>
        <v>1118.8717470736697</v>
      </c>
      <c r="H21" s="20">
        <f t="shared" si="17"/>
        <v>1144.4716637916781</v>
      </c>
      <c r="I21" s="20">
        <f t="shared" si="17"/>
        <v>1170.5635671507325</v>
      </c>
      <c r="J21" s="20">
        <f t="shared" si="17"/>
        <v>1197.1573194438422</v>
      </c>
      <c r="K21" s="20">
        <f t="shared" si="17"/>
        <v>1224.2629785567972</v>
      </c>
      <c r="L21" s="20">
        <f t="shared" si="17"/>
        <v>1317.8027338989555</v>
      </c>
      <c r="M21" s="20">
        <f t="shared" si="17"/>
        <v>1345.6336225447242</v>
      </c>
      <c r="N21" s="20">
        <f t="shared" si="17"/>
        <v>1374.0094523057794</v>
      </c>
      <c r="O21" s="20">
        <f t="shared" si="17"/>
        <v>1402.9410948757709</v>
      </c>
      <c r="P21" s="20">
        <f t="shared" si="17"/>
        <v>1432.4396378183137</v>
      </c>
      <c r="Q21" s="20">
        <f t="shared" si="17"/>
        <v>1462.5163888584304</v>
      </c>
      <c r="R21" s="20">
        <f t="shared" si="17"/>
        <v>1493.1828802592768</v>
      </c>
      <c r="S21" s="20">
        <f t="shared" si="17"/>
        <v>1524.4508732858535</v>
      </c>
      <c r="T21" s="20">
        <f t="shared" si="17"/>
        <v>1556.3323627574268</v>
      </c>
      <c r="U21" s="20">
        <f t="shared" si="17"/>
        <v>1588.8395816904222</v>
      </c>
      <c r="V21" s="20">
        <f t="shared" si="17"/>
        <v>1621.9850060335948</v>
      </c>
      <c r="W21" s="20">
        <f t="shared" si="17"/>
        <v>1655.7813594973024</v>
      </c>
      <c r="X21" s="20">
        <f t="shared" si="17"/>
        <v>1690.2416184787576</v>
      </c>
      <c r="Y21" s="20">
        <f t="shared" si="17"/>
        <v>1725.3790170851621</v>
      </c>
      <c r="Z21" s="20">
        <f t="shared" si="17"/>
        <v>1761.2070522566728</v>
      </c>
    </row>
    <row r="22" spans="1:26" x14ac:dyDescent="0.4">
      <c r="A22" s="105" t="s">
        <v>45</v>
      </c>
      <c r="B22" s="20">
        <f t="shared" ref="B22:Z22" si="18">B18*B31</f>
        <v>997.92</v>
      </c>
      <c r="C22" s="20">
        <f t="shared" si="18"/>
        <v>1021.201335</v>
      </c>
      <c r="D22" s="20">
        <f t="shared" si="18"/>
        <v>1044.9281481581249</v>
      </c>
      <c r="E22" s="20">
        <f t="shared" si="18"/>
        <v>1069.1093795446425</v>
      </c>
      <c r="F22" s="20">
        <f t="shared" si="18"/>
        <v>1093.7541464827575</v>
      </c>
      <c r="G22" s="20">
        <f t="shared" si="18"/>
        <v>1118.8717470736697</v>
      </c>
      <c r="H22" s="20">
        <f t="shared" si="18"/>
        <v>1144.4716637916781</v>
      </c>
      <c r="I22" s="20">
        <f t="shared" si="18"/>
        <v>1170.5635671507325</v>
      </c>
      <c r="J22" s="20">
        <f t="shared" si="18"/>
        <v>1197.1573194438422</v>
      </c>
      <c r="K22" s="20">
        <f t="shared" si="18"/>
        <v>1224.2629785567972</v>
      </c>
      <c r="L22" s="20">
        <f t="shared" si="18"/>
        <v>1317.8027338989555</v>
      </c>
      <c r="M22" s="20">
        <f t="shared" si="18"/>
        <v>1345.6336225447242</v>
      </c>
      <c r="N22" s="20">
        <f t="shared" si="18"/>
        <v>1374.0094523057794</v>
      </c>
      <c r="O22" s="20">
        <f t="shared" si="18"/>
        <v>1402.9410948757709</v>
      </c>
      <c r="P22" s="20">
        <f t="shared" si="18"/>
        <v>1432.4396378183137</v>
      </c>
      <c r="Q22" s="20">
        <f t="shared" si="18"/>
        <v>1462.5163888584304</v>
      </c>
      <c r="R22" s="20">
        <f t="shared" si="18"/>
        <v>1493.1828802592768</v>
      </c>
      <c r="S22" s="20">
        <f t="shared" si="18"/>
        <v>1524.4508732858535</v>
      </c>
      <c r="T22" s="20">
        <f t="shared" si="18"/>
        <v>1556.3323627574268</v>
      </c>
      <c r="U22" s="20">
        <f t="shared" si="18"/>
        <v>1588.8395816904222</v>
      </c>
      <c r="V22" s="20">
        <f t="shared" si="18"/>
        <v>1621.9850060335948</v>
      </c>
      <c r="W22" s="20">
        <f t="shared" si="18"/>
        <v>1655.7813594973024</v>
      </c>
      <c r="X22" s="20">
        <f t="shared" si="18"/>
        <v>1690.2416184787576</v>
      </c>
      <c r="Y22" s="20">
        <f t="shared" si="18"/>
        <v>1725.3790170851621</v>
      </c>
      <c r="Z22" s="20">
        <f t="shared" si="18"/>
        <v>1761.2070522566728</v>
      </c>
    </row>
    <row r="23" spans="1:26" ht="13.9" x14ac:dyDescent="0.4">
      <c r="A23" s="77" t="s">
        <v>3</v>
      </c>
      <c r="B23" s="98">
        <f>B21-B22+(0.01*B18)</f>
        <v>69.3</v>
      </c>
      <c r="C23" s="98">
        <f t="shared" ref="C23:Q23" si="19">C21-C22+(0.01*C18)</f>
        <v>68.953500000000005</v>
      </c>
      <c r="D23" s="98">
        <f t="shared" si="19"/>
        <v>68.608732500000002</v>
      </c>
      <c r="E23" s="98">
        <f t="shared" si="19"/>
        <v>68.265688837500008</v>
      </c>
      <c r="F23" s="98">
        <f t="shared" si="19"/>
        <v>67.924360393312497</v>
      </c>
      <c r="G23" s="98">
        <f t="shared" si="19"/>
        <v>67.584738591345939</v>
      </c>
      <c r="H23" s="98">
        <f t="shared" si="19"/>
        <v>67.246814898389218</v>
      </c>
      <c r="I23" s="98">
        <f t="shared" si="19"/>
        <v>66.910580823897263</v>
      </c>
      <c r="J23" s="98">
        <f t="shared" si="19"/>
        <v>66.576027919777786</v>
      </c>
      <c r="K23" s="98">
        <f t="shared" si="19"/>
        <v>66.243147780178887</v>
      </c>
      <c r="L23" s="98">
        <f t="shared" si="19"/>
        <v>65.911932041277993</v>
      </c>
      <c r="M23" s="98">
        <f t="shared" si="19"/>
        <v>65.582372381071607</v>
      </c>
      <c r="N23" s="98">
        <f t="shared" si="19"/>
        <v>65.254460519166258</v>
      </c>
      <c r="O23" s="98">
        <f t="shared" si="19"/>
        <v>64.928188216570419</v>
      </c>
      <c r="P23" s="98">
        <f t="shared" si="19"/>
        <v>64.603547275487557</v>
      </c>
      <c r="Q23" s="98">
        <f t="shared" si="19"/>
        <v>64.28052953911012</v>
      </c>
      <c r="R23" s="98">
        <f t="shared" ref="R23:Z23" si="20">R21-R22</f>
        <v>0</v>
      </c>
      <c r="S23" s="98">
        <f t="shared" si="20"/>
        <v>0</v>
      </c>
      <c r="T23" s="98">
        <f t="shared" si="20"/>
        <v>0</v>
      </c>
      <c r="U23" s="98">
        <f t="shared" si="20"/>
        <v>0</v>
      </c>
      <c r="V23" s="98">
        <f t="shared" si="20"/>
        <v>0</v>
      </c>
      <c r="W23" s="98">
        <f t="shared" si="20"/>
        <v>0</v>
      </c>
      <c r="X23" s="98">
        <f t="shared" si="20"/>
        <v>0</v>
      </c>
      <c r="Y23" s="98">
        <f t="shared" si="20"/>
        <v>0</v>
      </c>
      <c r="Z23" s="98">
        <f t="shared" si="20"/>
        <v>0</v>
      </c>
    </row>
    <row r="24" spans="1:26" x14ac:dyDescent="0.4">
      <c r="A24" s="77" t="s">
        <v>4</v>
      </c>
      <c r="B24" s="20">
        <f>B18*B15</f>
        <v>-69.3</v>
      </c>
      <c r="C24" s="20">
        <f t="shared" ref="C24:Z24" si="21">C18*C15</f>
        <v>-68.953500000000005</v>
      </c>
      <c r="D24" s="20">
        <f t="shared" si="21"/>
        <v>-68.608732500000002</v>
      </c>
      <c r="E24" s="20">
        <f t="shared" si="21"/>
        <v>-68.265688837500008</v>
      </c>
      <c r="F24" s="20">
        <f t="shared" si="21"/>
        <v>-67.924360393312497</v>
      </c>
      <c r="G24" s="20">
        <f t="shared" si="21"/>
        <v>-67.584738591345939</v>
      </c>
      <c r="H24" s="20">
        <f t="shared" si="21"/>
        <v>-67.246814898389218</v>
      </c>
      <c r="I24" s="20">
        <f t="shared" si="21"/>
        <v>-66.910580823897263</v>
      </c>
      <c r="J24" s="20">
        <f t="shared" si="21"/>
        <v>-66.576027919777786</v>
      </c>
      <c r="K24" s="20">
        <f t="shared" si="21"/>
        <v>-66.243147780178887</v>
      </c>
      <c r="L24" s="20">
        <f t="shared" si="21"/>
        <v>-65.911932041277993</v>
      </c>
      <c r="M24" s="20">
        <f t="shared" si="21"/>
        <v>-65.582372381071607</v>
      </c>
      <c r="N24" s="20">
        <f t="shared" si="21"/>
        <v>-65.254460519166258</v>
      </c>
      <c r="O24" s="20">
        <f t="shared" si="21"/>
        <v>-64.928188216570419</v>
      </c>
      <c r="P24" s="20">
        <f t="shared" si="21"/>
        <v>-64.603547275487557</v>
      </c>
      <c r="Q24" s="20">
        <f t="shared" si="21"/>
        <v>0</v>
      </c>
      <c r="R24" s="20">
        <f t="shared" si="21"/>
        <v>0</v>
      </c>
      <c r="S24" s="20">
        <f t="shared" si="21"/>
        <v>0</v>
      </c>
      <c r="T24" s="20">
        <f t="shared" si="21"/>
        <v>0</v>
      </c>
      <c r="U24" s="20">
        <f t="shared" si="21"/>
        <v>0</v>
      </c>
      <c r="V24" s="20">
        <f t="shared" si="21"/>
        <v>0</v>
      </c>
      <c r="W24" s="20">
        <f t="shared" si="21"/>
        <v>0</v>
      </c>
      <c r="X24" s="20">
        <f t="shared" si="21"/>
        <v>0</v>
      </c>
      <c r="Y24" s="20">
        <f t="shared" si="21"/>
        <v>0</v>
      </c>
      <c r="Z24" s="20">
        <f t="shared" si="21"/>
        <v>0</v>
      </c>
    </row>
    <row r="25" spans="1:26" x14ac:dyDescent="0.4">
      <c r="A25" s="77" t="s">
        <v>5</v>
      </c>
      <c r="B25" s="20">
        <f t="shared" ref="B25:Z25" si="22">B24*$B$16</f>
        <v>0</v>
      </c>
      <c r="C25" s="20">
        <f t="shared" si="22"/>
        <v>0</v>
      </c>
      <c r="D25" s="20">
        <f t="shared" si="22"/>
        <v>0</v>
      </c>
      <c r="E25" s="20">
        <f t="shared" si="22"/>
        <v>0</v>
      </c>
      <c r="F25" s="20">
        <f t="shared" si="22"/>
        <v>0</v>
      </c>
      <c r="G25" s="20">
        <f t="shared" si="22"/>
        <v>0</v>
      </c>
      <c r="H25" s="20">
        <f t="shared" si="22"/>
        <v>0</v>
      </c>
      <c r="I25" s="20">
        <f t="shared" si="22"/>
        <v>0</v>
      </c>
      <c r="J25" s="20">
        <f t="shared" si="22"/>
        <v>0</v>
      </c>
      <c r="K25" s="20">
        <f t="shared" si="22"/>
        <v>0</v>
      </c>
      <c r="L25" s="20">
        <f t="shared" si="22"/>
        <v>0</v>
      </c>
      <c r="M25" s="20">
        <f t="shared" si="22"/>
        <v>0</v>
      </c>
      <c r="N25" s="20">
        <f t="shared" si="22"/>
        <v>0</v>
      </c>
      <c r="O25" s="20">
        <f t="shared" si="22"/>
        <v>0</v>
      </c>
      <c r="P25" s="20">
        <f t="shared" si="22"/>
        <v>0</v>
      </c>
      <c r="Q25" s="20">
        <f t="shared" si="22"/>
        <v>0</v>
      </c>
      <c r="R25" s="20">
        <f t="shared" si="22"/>
        <v>0</v>
      </c>
      <c r="S25" s="20">
        <f t="shared" si="22"/>
        <v>0</v>
      </c>
      <c r="T25" s="20">
        <f t="shared" si="22"/>
        <v>0</v>
      </c>
      <c r="U25" s="20">
        <f t="shared" si="22"/>
        <v>0</v>
      </c>
      <c r="V25" s="20">
        <f t="shared" si="22"/>
        <v>0</v>
      </c>
      <c r="W25" s="20">
        <f t="shared" si="22"/>
        <v>0</v>
      </c>
      <c r="X25" s="20">
        <f t="shared" si="22"/>
        <v>0</v>
      </c>
      <c r="Y25" s="20">
        <f t="shared" si="22"/>
        <v>0</v>
      </c>
      <c r="Z25" s="20">
        <f t="shared" si="22"/>
        <v>0</v>
      </c>
    </row>
    <row r="26" spans="1:26" x14ac:dyDescent="0.4">
      <c r="A26" s="77" t="s">
        <v>6</v>
      </c>
      <c r="B26" s="20">
        <f t="shared" ref="B26:Z26" si="23">B25+B23</f>
        <v>69.3</v>
      </c>
      <c r="C26" s="20">
        <f t="shared" si="23"/>
        <v>68.953500000000005</v>
      </c>
      <c r="D26" s="20">
        <f t="shared" si="23"/>
        <v>68.608732500000002</v>
      </c>
      <c r="E26" s="20">
        <f t="shared" si="23"/>
        <v>68.265688837500008</v>
      </c>
      <c r="F26" s="20">
        <f t="shared" si="23"/>
        <v>67.924360393312497</v>
      </c>
      <c r="G26" s="20">
        <f t="shared" si="23"/>
        <v>67.584738591345939</v>
      </c>
      <c r="H26" s="20">
        <f t="shared" si="23"/>
        <v>67.246814898389218</v>
      </c>
      <c r="I26" s="20">
        <f t="shared" si="23"/>
        <v>66.910580823897263</v>
      </c>
      <c r="J26" s="20">
        <f t="shared" si="23"/>
        <v>66.576027919777786</v>
      </c>
      <c r="K26" s="20">
        <f t="shared" si="23"/>
        <v>66.243147780178887</v>
      </c>
      <c r="L26" s="20">
        <f t="shared" si="23"/>
        <v>65.911932041277993</v>
      </c>
      <c r="M26" s="20">
        <f t="shared" si="23"/>
        <v>65.582372381071607</v>
      </c>
      <c r="N26" s="20">
        <f t="shared" si="23"/>
        <v>65.254460519166258</v>
      </c>
      <c r="O26" s="20">
        <f t="shared" si="23"/>
        <v>64.928188216570419</v>
      </c>
      <c r="P26" s="20">
        <f t="shared" si="23"/>
        <v>64.603547275487557</v>
      </c>
      <c r="Q26" s="20">
        <f t="shared" si="23"/>
        <v>64.28052953911012</v>
      </c>
      <c r="R26" s="20">
        <f t="shared" si="23"/>
        <v>0</v>
      </c>
      <c r="S26" s="20">
        <f t="shared" si="23"/>
        <v>0</v>
      </c>
      <c r="T26" s="20">
        <f t="shared" si="23"/>
        <v>0</v>
      </c>
      <c r="U26" s="20">
        <f t="shared" si="23"/>
        <v>0</v>
      </c>
      <c r="V26" s="20">
        <f t="shared" si="23"/>
        <v>0</v>
      </c>
      <c r="W26" s="20">
        <f t="shared" si="23"/>
        <v>0</v>
      </c>
      <c r="X26" s="20">
        <f t="shared" si="23"/>
        <v>0</v>
      </c>
      <c r="Y26" s="20">
        <f t="shared" si="23"/>
        <v>0</v>
      </c>
      <c r="Z26" s="20">
        <f t="shared" si="23"/>
        <v>0</v>
      </c>
    </row>
    <row r="27" spans="1:26" x14ac:dyDescent="0.4">
      <c r="A27" s="77" t="s">
        <v>7</v>
      </c>
      <c r="B27" s="99">
        <f t="shared" ref="B27:Z27" si="24">B26/B21</f>
        <v>6.9444444444444448E-2</v>
      </c>
      <c r="C27" s="99">
        <f t="shared" si="24"/>
        <v>6.7521944632005407E-2</v>
      </c>
      <c r="D27" s="99">
        <f t="shared" si="24"/>
        <v>6.5658804024884693E-2</v>
      </c>
      <c r="E27" s="99">
        <f t="shared" si="24"/>
        <v>6.3852857475234087E-2</v>
      </c>
      <c r="F27" s="99">
        <f t="shared" si="24"/>
        <v>6.2102036926433991E-2</v>
      </c>
      <c r="G27" s="99">
        <f t="shared" si="24"/>
        <v>6.0404366066181464E-2</v>
      </c>
      <c r="H27" s="99">
        <f t="shared" si="24"/>
        <v>5.8757955330757568E-2</v>
      </c>
      <c r="I27" s="99">
        <f t="shared" si="24"/>
        <v>5.7160997233806132E-2</v>
      </c>
      <c r="J27" s="99">
        <f t="shared" si="24"/>
        <v>5.5611761995246124E-2</v>
      </c>
      <c r="K27" s="99">
        <f t="shared" si="24"/>
        <v>5.410859344800948E-2</v>
      </c>
      <c r="L27" s="99">
        <f t="shared" si="24"/>
        <v>5.0016539157014595E-2</v>
      </c>
      <c r="M27" s="99">
        <f t="shared" si="24"/>
        <v>4.8737168336392307E-2</v>
      </c>
      <c r="N27" s="99">
        <f t="shared" si="24"/>
        <v>4.7492002627536639E-2</v>
      </c>
      <c r="O27" s="99">
        <f t="shared" si="24"/>
        <v>4.6280052992759294E-2</v>
      </c>
      <c r="P27" s="99">
        <f t="shared" si="24"/>
        <v>4.5100362744696455E-2</v>
      </c>
      <c r="Q27" s="99">
        <f t="shared" si="24"/>
        <v>4.3952006301470843E-2</v>
      </c>
      <c r="R27" s="99">
        <f t="shared" si="24"/>
        <v>0</v>
      </c>
      <c r="S27" s="99">
        <f t="shared" si="24"/>
        <v>0</v>
      </c>
      <c r="T27" s="99">
        <f t="shared" si="24"/>
        <v>0</v>
      </c>
      <c r="U27" s="99">
        <f t="shared" si="24"/>
        <v>0</v>
      </c>
      <c r="V27" s="99">
        <f t="shared" si="24"/>
        <v>0</v>
      </c>
      <c r="W27" s="99">
        <f t="shared" si="24"/>
        <v>0</v>
      </c>
      <c r="X27" s="99">
        <f t="shared" si="24"/>
        <v>0</v>
      </c>
      <c r="Y27" s="99">
        <f t="shared" si="24"/>
        <v>0</v>
      </c>
      <c r="Z27" s="99">
        <f t="shared" si="24"/>
        <v>0</v>
      </c>
    </row>
    <row r="28" spans="1:26" x14ac:dyDescent="0.4">
      <c r="A28" s="77" t="s">
        <v>8</v>
      </c>
      <c r="B28" s="100">
        <f>B26</f>
        <v>69.3</v>
      </c>
      <c r="C28" s="100">
        <f t="shared" ref="C28:Z28" si="25">B28+C26</f>
        <v>138.2535</v>
      </c>
      <c r="D28" s="100">
        <f t="shared" si="25"/>
        <v>206.8622325</v>
      </c>
      <c r="E28" s="100">
        <f t="shared" si="25"/>
        <v>275.12792133750003</v>
      </c>
      <c r="F28" s="100">
        <f t="shared" si="25"/>
        <v>343.05228173081252</v>
      </c>
      <c r="G28" s="100">
        <f t="shared" si="25"/>
        <v>410.63702032215849</v>
      </c>
      <c r="H28" s="100">
        <f>G28+H26</f>
        <v>477.88383522054772</v>
      </c>
      <c r="I28" s="100">
        <f t="shared" si="25"/>
        <v>544.79441604444503</v>
      </c>
      <c r="J28" s="100">
        <f t="shared" si="25"/>
        <v>611.37044396422277</v>
      </c>
      <c r="K28" s="100">
        <f t="shared" si="25"/>
        <v>677.61359174440167</v>
      </c>
      <c r="L28" s="100">
        <f t="shared" si="25"/>
        <v>743.52552378567964</v>
      </c>
      <c r="M28" s="100">
        <f t="shared" si="25"/>
        <v>809.10789616675129</v>
      </c>
      <c r="N28" s="100">
        <f t="shared" si="25"/>
        <v>874.36235668591758</v>
      </c>
      <c r="O28" s="100">
        <f t="shared" si="25"/>
        <v>939.29054490248802</v>
      </c>
      <c r="P28" s="100">
        <f t="shared" si="25"/>
        <v>1003.8940921779756</v>
      </c>
      <c r="Q28" s="100">
        <f t="shared" si="25"/>
        <v>1068.1746217170858</v>
      </c>
      <c r="R28" s="100">
        <f t="shared" si="25"/>
        <v>1068.1746217170858</v>
      </c>
      <c r="S28" s="100">
        <f t="shared" si="25"/>
        <v>1068.1746217170858</v>
      </c>
      <c r="T28" s="100">
        <f t="shared" si="25"/>
        <v>1068.1746217170858</v>
      </c>
      <c r="U28" s="100">
        <f t="shared" si="25"/>
        <v>1068.1746217170858</v>
      </c>
      <c r="V28" s="100">
        <f t="shared" si="25"/>
        <v>1068.1746217170858</v>
      </c>
      <c r="W28" s="100">
        <f t="shared" si="25"/>
        <v>1068.1746217170858</v>
      </c>
      <c r="X28" s="100">
        <f t="shared" si="25"/>
        <v>1068.1746217170858</v>
      </c>
      <c r="Y28" s="100">
        <f t="shared" si="25"/>
        <v>1068.1746217170858</v>
      </c>
      <c r="Z28" s="100">
        <f t="shared" si="25"/>
        <v>1068.1746217170858</v>
      </c>
    </row>
    <row r="29" spans="1:26" x14ac:dyDescent="0.4">
      <c r="A29" s="77" t="s">
        <v>39</v>
      </c>
      <c r="B29" s="66">
        <f>SUM(B27:Z27)/25</f>
        <v>3.5848075749474941E-2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20"/>
      <c r="W29" s="20"/>
      <c r="X29" s="20"/>
      <c r="Y29" s="20"/>
      <c r="Z29" s="20"/>
    </row>
    <row r="30" spans="1:26" ht="14.25" x14ac:dyDescent="0.45">
      <c r="A30" s="27"/>
      <c r="B30" s="101"/>
      <c r="C30" s="5"/>
      <c r="D30" s="101"/>
      <c r="E30" s="5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5"/>
      <c r="T30" s="5"/>
      <c r="U30" s="5"/>
      <c r="V30" s="5"/>
      <c r="W30" s="5"/>
      <c r="X30" s="5"/>
      <c r="Y30" s="5"/>
      <c r="Z30" s="5"/>
    </row>
    <row r="31" spans="1:26" x14ac:dyDescent="0.4">
      <c r="A31" s="77" t="s">
        <v>75</v>
      </c>
      <c r="B31" s="102">
        <f>B20</f>
        <v>0.14399999999999999</v>
      </c>
      <c r="C31" s="102">
        <f t="shared" ref="C31:Z31" si="26">C20</f>
        <v>0.14809999999999998</v>
      </c>
      <c r="D31" s="102">
        <f t="shared" si="26"/>
        <v>0.15230249999999998</v>
      </c>
      <c r="E31" s="102">
        <f t="shared" si="26"/>
        <v>0.15661006249999995</v>
      </c>
      <c r="F31" s="102">
        <f t="shared" si="26"/>
        <v>0.16102531406249992</v>
      </c>
      <c r="G31" s="102">
        <f t="shared" si="26"/>
        <v>0.16555094691406241</v>
      </c>
      <c r="H31" s="102">
        <f t="shared" si="26"/>
        <v>0.17018972058691395</v>
      </c>
      <c r="I31" s="102">
        <f t="shared" si="26"/>
        <v>0.17494446360158677</v>
      </c>
      <c r="J31" s="102">
        <f t="shared" si="26"/>
        <v>0.17981807519162643</v>
      </c>
      <c r="K31" s="102">
        <f t="shared" si="26"/>
        <v>0.18481352707141707</v>
      </c>
      <c r="L31" s="102">
        <f t="shared" si="26"/>
        <v>0.1999338652482025</v>
      </c>
      <c r="M31" s="102">
        <f t="shared" si="26"/>
        <v>0.20518221187940755</v>
      </c>
      <c r="N31" s="102">
        <f t="shared" si="26"/>
        <v>0.21056176717639272</v>
      </c>
      <c r="O31" s="102">
        <f t="shared" si="26"/>
        <v>0.21607581135580251</v>
      </c>
      <c r="P31" s="102">
        <f t="shared" si="26"/>
        <v>0.22172770663969754</v>
      </c>
      <c r="Q31" s="102">
        <f t="shared" si="26"/>
        <v>0.22752089930568997</v>
      </c>
      <c r="R31" s="102">
        <f t="shared" si="26"/>
        <v>0.23345892178833219</v>
      </c>
      <c r="S31" s="102">
        <f t="shared" si="26"/>
        <v>0.23954539483304046</v>
      </c>
      <c r="T31" s="102">
        <f t="shared" si="26"/>
        <v>0.24578402970386648</v>
      </c>
      <c r="U31" s="102">
        <f t="shared" si="26"/>
        <v>0.2521786304464631</v>
      </c>
      <c r="V31" s="102">
        <f t="shared" si="26"/>
        <v>0.25873309620762464</v>
      </c>
      <c r="W31" s="102">
        <f t="shared" si="26"/>
        <v>0.26545142361281521</v>
      </c>
      <c r="X31" s="102">
        <f t="shared" si="26"/>
        <v>0.27233770920313555</v>
      </c>
      <c r="Y31" s="102">
        <f t="shared" si="26"/>
        <v>0.27939615193321393</v>
      </c>
      <c r="Z31" s="102">
        <f t="shared" si="26"/>
        <v>0.28663105573154424</v>
      </c>
    </row>
    <row r="32" spans="1:26" x14ac:dyDescent="0.4">
      <c r="A32" s="77" t="s">
        <v>76</v>
      </c>
      <c r="B32" s="28">
        <f t="shared" ref="B32:Z32" si="27">B18*B31</f>
        <v>997.92</v>
      </c>
      <c r="C32" s="28">
        <f t="shared" si="27"/>
        <v>1021.201335</v>
      </c>
      <c r="D32" s="28">
        <f t="shared" si="27"/>
        <v>1044.9281481581249</v>
      </c>
      <c r="E32" s="28">
        <f t="shared" si="27"/>
        <v>1069.1093795446425</v>
      </c>
      <c r="F32" s="28">
        <f t="shared" si="27"/>
        <v>1093.7541464827575</v>
      </c>
      <c r="G32" s="28">
        <f t="shared" si="27"/>
        <v>1118.8717470736697</v>
      </c>
      <c r="H32" s="28">
        <f t="shared" si="27"/>
        <v>1144.4716637916781</v>
      </c>
      <c r="I32" s="28">
        <f t="shared" si="27"/>
        <v>1170.5635671507325</v>
      </c>
      <c r="J32" s="28">
        <f t="shared" si="27"/>
        <v>1197.1573194438422</v>
      </c>
      <c r="K32" s="28">
        <f t="shared" si="27"/>
        <v>1224.2629785567972</v>
      </c>
      <c r="L32" s="28">
        <f t="shared" si="27"/>
        <v>1317.8027338989555</v>
      </c>
      <c r="M32" s="28">
        <f t="shared" si="27"/>
        <v>1345.6336225447242</v>
      </c>
      <c r="N32" s="28">
        <f t="shared" si="27"/>
        <v>1374.0094523057794</v>
      </c>
      <c r="O32" s="28">
        <f t="shared" si="27"/>
        <v>1402.9410948757709</v>
      </c>
      <c r="P32" s="28">
        <f t="shared" si="27"/>
        <v>1432.4396378183137</v>
      </c>
      <c r="Q32" s="28">
        <f t="shared" si="27"/>
        <v>1462.5163888584304</v>
      </c>
      <c r="R32" s="28">
        <f t="shared" si="27"/>
        <v>1493.1828802592768</v>
      </c>
      <c r="S32" s="28">
        <f t="shared" si="27"/>
        <v>1524.4508732858535</v>
      </c>
      <c r="T32" s="28">
        <f t="shared" si="27"/>
        <v>1556.3323627574268</v>
      </c>
      <c r="U32" s="28">
        <f t="shared" si="27"/>
        <v>1588.8395816904222</v>
      </c>
      <c r="V32" s="28">
        <f t="shared" si="27"/>
        <v>1621.9850060335948</v>
      </c>
      <c r="W32" s="28">
        <f t="shared" si="27"/>
        <v>1655.7813594973024</v>
      </c>
      <c r="X32" s="28">
        <f t="shared" si="27"/>
        <v>1690.2416184787576</v>
      </c>
      <c r="Y32" s="28">
        <f t="shared" si="27"/>
        <v>1725.3790170851621</v>
      </c>
      <c r="Z32" s="28">
        <f t="shared" si="27"/>
        <v>1761.2070522566728</v>
      </c>
    </row>
    <row r="33" spans="1:26" x14ac:dyDescent="0.4">
      <c r="A33" s="77"/>
      <c r="B33" s="28"/>
      <c r="C33" s="28"/>
      <c r="D33" s="28"/>
      <c r="E33" s="28"/>
      <c r="F33" s="28"/>
      <c r="G33" s="28"/>
      <c r="H33" s="5"/>
      <c r="I33" s="5"/>
      <c r="J33" s="28"/>
      <c r="K33" s="28"/>
      <c r="L33" s="28"/>
      <c r="M33" s="28"/>
      <c r="N33" s="28"/>
      <c r="O33" s="28"/>
      <c r="P33" s="28"/>
      <c r="Q33" s="28"/>
      <c r="R33" s="28"/>
      <c r="S33" s="5"/>
      <c r="T33" s="5"/>
      <c r="U33" s="5"/>
      <c r="V33" s="5"/>
      <c r="W33" s="5"/>
      <c r="X33" s="5"/>
      <c r="Y33" s="5"/>
      <c r="Z33" s="5"/>
    </row>
    <row r="34" spans="1:26" x14ac:dyDescent="0.4">
      <c r="A34" s="77" t="s">
        <v>104</v>
      </c>
      <c r="B34" s="28">
        <f>SUM(G21:Z21,B24:Z24)</f>
        <v>27804.175865485184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5"/>
      <c r="T34" s="5"/>
      <c r="U34" s="5"/>
      <c r="V34" s="5"/>
      <c r="W34" s="5"/>
      <c r="X34" s="5"/>
      <c r="Y34" s="5"/>
      <c r="Z34" s="5"/>
    </row>
    <row r="35" spans="1:26" x14ac:dyDescent="0.4">
      <c r="A35" s="77" t="s">
        <v>105</v>
      </c>
      <c r="B35" s="28">
        <f>SUM(G22:Z22)</f>
        <v>28808.069957663163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5"/>
      <c r="T35" s="5"/>
      <c r="U35" s="5"/>
      <c r="V35" s="5"/>
      <c r="W35" s="5"/>
      <c r="X35" s="5"/>
      <c r="Y35" s="5"/>
      <c r="Z35" s="5"/>
    </row>
    <row r="36" spans="1:26" x14ac:dyDescent="0.4">
      <c r="A36" s="77" t="s">
        <v>60</v>
      </c>
      <c r="B36" s="28">
        <f>B34-B35</f>
        <v>-1003.8940921779795</v>
      </c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5"/>
      <c r="T36" s="5"/>
      <c r="U36" s="5"/>
      <c r="V36" s="5"/>
      <c r="W36" s="5"/>
      <c r="X36" s="5"/>
      <c r="Y36" s="5"/>
      <c r="Z36" s="5"/>
    </row>
    <row r="37" spans="1:26" x14ac:dyDescent="0.4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idden="1" x14ac:dyDescent="0.4">
      <c r="A38" s="12" t="s">
        <v>63</v>
      </c>
      <c r="B38" s="28">
        <f>B34-B36</f>
        <v>28808.069957663163</v>
      </c>
      <c r="C38" s="28"/>
      <c r="D38" s="5"/>
      <c r="E38" s="28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idden="1" x14ac:dyDescent="0.4">
      <c r="A39" s="12" t="s">
        <v>61</v>
      </c>
      <c r="B39" s="20" t="e">
        <f>SUM(#REF!)</f>
        <v>#REF!</v>
      </c>
      <c r="C39" s="20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idden="1" x14ac:dyDescent="0.4">
      <c r="A40" s="12" t="s">
        <v>62</v>
      </c>
      <c r="B40" s="20" t="e">
        <f>SUM(#REF!)</f>
        <v>#REF!</v>
      </c>
      <c r="C40" s="20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5"/>
      <c r="T40" s="5"/>
      <c r="U40" s="5"/>
      <c r="V40" s="5"/>
      <c r="W40" s="5"/>
      <c r="X40" s="5"/>
      <c r="Y40" s="5"/>
      <c r="Z40" s="5"/>
    </row>
    <row r="41" spans="1:26" hidden="1" x14ac:dyDescent="0.4">
      <c r="A41" s="12" t="s">
        <v>64</v>
      </c>
      <c r="B41" s="20" t="e">
        <f>SUM(#REF!)</f>
        <v>#REF!</v>
      </c>
      <c r="C41" s="20"/>
      <c r="D41" s="5"/>
      <c r="E41" s="20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idden="1" x14ac:dyDescent="0.4">
      <c r="A42" s="12" t="s">
        <v>65</v>
      </c>
      <c r="B42" s="28" t="e">
        <f>#REF!+#REF!</f>
        <v>#REF!</v>
      </c>
      <c r="C42" s="28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idden="1" x14ac:dyDescent="0.4">
      <c r="A43" s="13"/>
      <c r="B43" s="20"/>
      <c r="C43" s="20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5"/>
      <c r="T43" s="5"/>
      <c r="U43" s="5"/>
      <c r="V43" s="5"/>
      <c r="W43" s="5"/>
      <c r="X43" s="5"/>
      <c r="Y43" s="5"/>
      <c r="Z43" s="5"/>
    </row>
    <row r="44" spans="1:26" hidden="1" x14ac:dyDescent="0.4">
      <c r="A44" s="12" t="s">
        <v>66</v>
      </c>
      <c r="B44" s="28" t="e">
        <f>SUM(B38:B43)</f>
        <v>#REF!</v>
      </c>
      <c r="C44" s="28"/>
      <c r="D44" s="5"/>
      <c r="E44" s="28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x14ac:dyDescent="0.4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x14ac:dyDescent="0.4">
      <c r="B46" s="5"/>
      <c r="C46" s="5"/>
      <c r="D46" s="5"/>
      <c r="E46" s="28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x14ac:dyDescent="0.4">
      <c r="G47" s="5"/>
      <c r="H47" s="5"/>
      <c r="I47" s="5"/>
    </row>
    <row r="48" spans="1:26" x14ac:dyDescent="0.4">
      <c r="G48" s="5"/>
      <c r="H48" s="5"/>
      <c r="I48" s="5"/>
    </row>
    <row r="49" spans="7:9" x14ac:dyDescent="0.4">
      <c r="G49" s="5"/>
      <c r="H49" s="5"/>
      <c r="I49" s="5"/>
    </row>
    <row r="50" spans="7:9" x14ac:dyDescent="0.4">
      <c r="G50" s="5"/>
      <c r="H50" s="5"/>
      <c r="I50" s="5"/>
    </row>
    <row r="51" spans="7:9" x14ac:dyDescent="0.4">
      <c r="G51" s="5"/>
      <c r="H51" s="5"/>
      <c r="I51" s="5"/>
    </row>
    <row r="52" spans="7:9" x14ac:dyDescent="0.4">
      <c r="G52" s="5"/>
      <c r="H52" s="5"/>
      <c r="I52" s="5"/>
    </row>
  </sheetData>
  <mergeCells count="2">
    <mergeCell ref="A2:A12"/>
    <mergeCell ref="H4:O6"/>
  </mergeCells>
  <pageMargins left="0.7" right="0.7" top="0.75" bottom="0.75" header="0.3" footer="0.3"/>
  <pageSetup paperSize="17" scale="6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2C08E-6FE4-4AA9-B138-69F87C026A97}">
  <sheetPr>
    <pageSetUpPr fitToPage="1"/>
  </sheetPr>
  <dimension ref="A1:AE69"/>
  <sheetViews>
    <sheetView zoomScale="94" workbookViewId="0">
      <selection activeCell="E8" sqref="E8"/>
    </sheetView>
  </sheetViews>
  <sheetFormatPr defaultColWidth="8.86328125" defaultRowHeight="12.75" x14ac:dyDescent="0.35"/>
  <cols>
    <col min="1" max="1" width="38.86328125" customWidth="1"/>
    <col min="2" max="2" width="14.86328125" customWidth="1"/>
    <col min="3" max="3" width="12.86328125" customWidth="1"/>
    <col min="4" max="4" width="13.1328125" customWidth="1"/>
    <col min="5" max="5" width="17" customWidth="1"/>
    <col min="6" max="6" width="18.3984375" customWidth="1"/>
    <col min="7" max="7" width="22.3984375" bestFit="1" customWidth="1"/>
    <col min="8" max="8" width="15.86328125" bestFit="1" customWidth="1"/>
    <col min="9" max="19" width="14.86328125" customWidth="1"/>
    <col min="20" max="20" width="15.86328125" bestFit="1" customWidth="1"/>
    <col min="21" max="21" width="12.86328125" customWidth="1"/>
    <col min="22" max="22" width="11.86328125" customWidth="1"/>
    <col min="23" max="23" width="10.73046875" bestFit="1" customWidth="1"/>
    <col min="24" max="24" width="10.86328125" bestFit="1" customWidth="1"/>
    <col min="25" max="27" width="10.73046875" bestFit="1" customWidth="1"/>
    <col min="29" max="29" width="11.73046875" customWidth="1"/>
    <col min="30" max="30" width="10.3984375" customWidth="1"/>
    <col min="31" max="31" width="10.86328125" customWidth="1"/>
  </cols>
  <sheetData>
    <row r="1" spans="1:19" ht="19.5" customHeight="1" thickBot="1" x14ac:dyDescent="0.4">
      <c r="A1" s="119"/>
    </row>
    <row r="2" spans="1:19" ht="19.5" customHeight="1" x14ac:dyDescent="0.35">
      <c r="A2" s="119"/>
      <c r="H2" s="136" t="s">
        <v>144</v>
      </c>
      <c r="I2" s="137"/>
      <c r="J2" s="137"/>
      <c r="K2" s="137"/>
      <c r="L2" s="137"/>
      <c r="M2" s="137"/>
      <c r="N2" s="137"/>
      <c r="O2" s="138"/>
    </row>
    <row r="3" spans="1:19" ht="19.5" customHeight="1" thickBot="1" x14ac:dyDescent="0.4">
      <c r="A3" s="119"/>
      <c r="H3" s="139"/>
      <c r="I3" s="140"/>
      <c r="J3" s="140"/>
      <c r="K3" s="140"/>
      <c r="L3" s="140"/>
      <c r="M3" s="140"/>
      <c r="N3" s="140"/>
      <c r="O3" s="141"/>
    </row>
    <row r="4" spans="1:19" ht="18" thickBot="1" x14ac:dyDescent="0.4">
      <c r="A4" s="119"/>
      <c r="Q4" s="131" t="s">
        <v>82</v>
      </c>
      <c r="R4" s="132"/>
      <c r="S4" s="133"/>
    </row>
    <row r="5" spans="1:19" ht="13.15" x14ac:dyDescent="0.4">
      <c r="A5" s="129" t="s">
        <v>97</v>
      </c>
      <c r="B5" s="129"/>
      <c r="Q5" s="134" t="s">
        <v>83</v>
      </c>
      <c r="R5" s="134"/>
      <c r="S5" s="88">
        <f>'Inputs &amp; Generation'!C23</f>
        <v>0</v>
      </c>
    </row>
    <row r="6" spans="1:19" ht="13.15" x14ac:dyDescent="0.4">
      <c r="A6" s="129"/>
      <c r="B6" s="129"/>
      <c r="Q6" s="135" t="s">
        <v>81</v>
      </c>
      <c r="R6" s="135"/>
      <c r="S6" s="89">
        <f>NPV(0%,B56:AA56)</f>
        <v>14440.848239793107</v>
      </c>
    </row>
    <row r="7" spans="1:19" ht="13.15" x14ac:dyDescent="0.4">
      <c r="A7" s="14" t="s">
        <v>77</v>
      </c>
      <c r="B7" s="19">
        <f>'Inputs &amp; Generation'!C3</f>
        <v>0.16400000000000001</v>
      </c>
      <c r="Q7" s="135" t="s">
        <v>103</v>
      </c>
      <c r="R7" s="135"/>
      <c r="S7" s="89">
        <f>NPV(4%,G56:AA56)</f>
        <v>18296.907452651481</v>
      </c>
    </row>
    <row r="8" spans="1:19" ht="13.15" x14ac:dyDescent="0.4">
      <c r="A8" s="4" t="s">
        <v>10</v>
      </c>
      <c r="B8" s="24">
        <f>'Inputs &amp; Generation'!C7</f>
        <v>7000</v>
      </c>
      <c r="Q8" s="135" t="s">
        <v>110</v>
      </c>
      <c r="R8" s="135"/>
      <c r="S8" s="89">
        <f>NPV(7.5%,G56:AA56)</f>
        <v>13036.975502274952</v>
      </c>
    </row>
    <row r="9" spans="1:19" x14ac:dyDescent="0.35">
      <c r="A9" t="s">
        <v>9</v>
      </c>
      <c r="B9" s="18">
        <f>'Inputs &amp; Generation'!C17</f>
        <v>3.3</v>
      </c>
      <c r="E9" s="26"/>
      <c r="F9" s="2"/>
      <c r="G9" s="2"/>
      <c r="H9" s="2"/>
      <c r="I9" s="2"/>
      <c r="J9" s="2"/>
    </row>
    <row r="10" spans="1:19" x14ac:dyDescent="0.35">
      <c r="A10" t="s">
        <v>23</v>
      </c>
      <c r="B10" s="16">
        <f>'Inputs &amp; Generation'!C19</f>
        <v>23100</v>
      </c>
      <c r="D10" s="3"/>
      <c r="E10" s="17"/>
      <c r="F10" s="3"/>
      <c r="G10" s="3"/>
      <c r="H10" s="3"/>
      <c r="I10" s="3"/>
      <c r="J10" s="3"/>
    </row>
    <row r="11" spans="1:19" x14ac:dyDescent="0.35">
      <c r="A11" t="s">
        <v>53</v>
      </c>
      <c r="B11" s="17">
        <f>'Inputs &amp; Generation'!C18</f>
        <v>0</v>
      </c>
    </row>
    <row r="12" spans="1:19" x14ac:dyDescent="0.35">
      <c r="A12" s="14" t="s">
        <v>48</v>
      </c>
      <c r="B12" s="3">
        <f>B10-B11</f>
        <v>23100</v>
      </c>
    </row>
    <row r="13" spans="1:19" ht="13.15" x14ac:dyDescent="0.4">
      <c r="A13" s="67" t="s">
        <v>96</v>
      </c>
      <c r="B13" s="67"/>
    </row>
    <row r="14" spans="1:19" x14ac:dyDescent="0.35">
      <c r="A14" s="72" t="s">
        <v>36</v>
      </c>
      <c r="B14" s="25">
        <f>(1-'Inputs &amp; Generation'!C23)*B10</f>
        <v>23100</v>
      </c>
    </row>
    <row r="15" spans="1:19" x14ac:dyDescent="0.35">
      <c r="A15" s="72" t="s">
        <v>37</v>
      </c>
      <c r="B15" s="85">
        <v>0.28000000000000003</v>
      </c>
    </row>
    <row r="16" spans="1:19" x14ac:dyDescent="0.35">
      <c r="A16" s="73" t="s">
        <v>94</v>
      </c>
      <c r="B16" s="65">
        <f>'Inputs &amp; Generation'!C25</f>
        <v>0</v>
      </c>
    </row>
    <row r="17" spans="1:31" x14ac:dyDescent="0.35">
      <c r="A17" s="72" t="s">
        <v>11</v>
      </c>
      <c r="B17" s="3">
        <f>B10-B14</f>
        <v>0</v>
      </c>
    </row>
    <row r="18" spans="1:31" ht="13.15" x14ac:dyDescent="0.4">
      <c r="A18" s="67" t="s">
        <v>95</v>
      </c>
      <c r="B18" s="67"/>
    </row>
    <row r="19" spans="1:31" x14ac:dyDescent="0.35">
      <c r="A19" s="72" t="s">
        <v>15</v>
      </c>
      <c r="B19" s="9">
        <v>0.26</v>
      </c>
    </row>
    <row r="20" spans="1:31" x14ac:dyDescent="0.35">
      <c r="A20" s="72" t="s">
        <v>27</v>
      </c>
      <c r="B20" s="66">
        <f>0.25*B19</f>
        <v>6.5000000000000002E-2</v>
      </c>
    </row>
    <row r="21" spans="1:31" x14ac:dyDescent="0.35">
      <c r="A21" s="72" t="s">
        <v>16</v>
      </c>
      <c r="B21" s="15">
        <f>B12*B19</f>
        <v>6006</v>
      </c>
    </row>
    <row r="22" spans="1:31" x14ac:dyDescent="0.35">
      <c r="A22" s="72" t="s">
        <v>26</v>
      </c>
      <c r="B22" s="3">
        <f>B10*B20</f>
        <v>1501.5</v>
      </c>
    </row>
    <row r="23" spans="1:31" ht="13.15" thickBot="1" x14ac:dyDescent="0.4">
      <c r="A23" s="4"/>
      <c r="B23" s="3"/>
    </row>
    <row r="24" spans="1:31" ht="14.25" thickBot="1" x14ac:dyDescent="0.45">
      <c r="A24" s="79" t="s">
        <v>101</v>
      </c>
      <c r="B24" s="71"/>
      <c r="C24" s="64">
        <v>1</v>
      </c>
      <c r="D24" s="64">
        <f>C24+1</f>
        <v>2</v>
      </c>
      <c r="E24" s="64">
        <f t="shared" ref="E24:AA24" si="0">D24+1</f>
        <v>3</v>
      </c>
      <c r="F24" s="64">
        <f t="shared" si="0"/>
        <v>4</v>
      </c>
      <c r="G24" s="64">
        <f t="shared" si="0"/>
        <v>5</v>
      </c>
      <c r="H24" s="64">
        <f t="shared" si="0"/>
        <v>6</v>
      </c>
      <c r="I24" s="64">
        <f>H24+1</f>
        <v>7</v>
      </c>
      <c r="J24" s="64">
        <f>I24+1</f>
        <v>8</v>
      </c>
      <c r="K24" s="64">
        <f t="shared" si="0"/>
        <v>9</v>
      </c>
      <c r="L24" s="64">
        <f t="shared" si="0"/>
        <v>10</v>
      </c>
      <c r="M24" s="64">
        <f t="shared" si="0"/>
        <v>11</v>
      </c>
      <c r="N24" s="64">
        <f t="shared" si="0"/>
        <v>12</v>
      </c>
      <c r="O24" s="64">
        <f t="shared" si="0"/>
        <v>13</v>
      </c>
      <c r="P24" s="64">
        <f t="shared" si="0"/>
        <v>14</v>
      </c>
      <c r="Q24" s="64">
        <f t="shared" si="0"/>
        <v>15</v>
      </c>
      <c r="R24" s="64">
        <f t="shared" si="0"/>
        <v>16</v>
      </c>
      <c r="S24" s="64">
        <f t="shared" si="0"/>
        <v>17</v>
      </c>
      <c r="T24" s="64">
        <f t="shared" si="0"/>
        <v>18</v>
      </c>
      <c r="U24" s="64">
        <f t="shared" si="0"/>
        <v>19</v>
      </c>
      <c r="V24" s="64">
        <f t="shared" si="0"/>
        <v>20</v>
      </c>
      <c r="W24" s="64">
        <f t="shared" si="0"/>
        <v>21</v>
      </c>
      <c r="X24" s="64">
        <f t="shared" si="0"/>
        <v>22</v>
      </c>
      <c r="Y24" s="64">
        <f t="shared" si="0"/>
        <v>23</v>
      </c>
      <c r="Z24" s="64">
        <f t="shared" si="0"/>
        <v>24</v>
      </c>
      <c r="AA24" s="64">
        <f t="shared" si="0"/>
        <v>25</v>
      </c>
    </row>
    <row r="25" spans="1:31" x14ac:dyDescent="0.35">
      <c r="A25" s="73" t="s">
        <v>98</v>
      </c>
      <c r="C25" s="106">
        <v>0</v>
      </c>
      <c r="D25" s="106">
        <v>0</v>
      </c>
      <c r="E25" s="90">
        <v>0</v>
      </c>
      <c r="F25" s="90">
        <v>0</v>
      </c>
      <c r="G25" s="90">
        <v>0</v>
      </c>
      <c r="H25" s="90"/>
      <c r="I25" s="90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31" x14ac:dyDescent="0.35">
      <c r="A26" s="72" t="s">
        <v>17</v>
      </c>
      <c r="C26" s="16">
        <f t="shared" ref="C26:H26" si="1">($B$10 - 0.5*$B$21)*C25</f>
        <v>0</v>
      </c>
      <c r="D26" s="16">
        <f t="shared" si="1"/>
        <v>0</v>
      </c>
      <c r="E26" s="16">
        <f t="shared" si="1"/>
        <v>0</v>
      </c>
      <c r="F26" s="16">
        <f t="shared" si="1"/>
        <v>0</v>
      </c>
      <c r="G26" s="16">
        <f t="shared" si="1"/>
        <v>0</v>
      </c>
      <c r="H26" s="16">
        <f t="shared" si="1"/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</row>
    <row r="27" spans="1:31" ht="13.15" x14ac:dyDescent="0.4">
      <c r="A27" s="73" t="s">
        <v>57</v>
      </c>
      <c r="C27" s="28">
        <f t="shared" ref="C27:H27" si="2">C49-C26</f>
        <v>695.62</v>
      </c>
      <c r="D27" s="28">
        <f t="shared" si="2"/>
        <v>717.58783500000004</v>
      </c>
      <c r="E27" s="28">
        <f t="shared" si="2"/>
        <v>739.96621565812495</v>
      </c>
      <c r="F27" s="28">
        <f t="shared" si="2"/>
        <v>762.76342670714257</v>
      </c>
      <c r="G27" s="28">
        <f t="shared" si="2"/>
        <v>785.98791680944487</v>
      </c>
      <c r="H27" s="28">
        <f t="shared" si="2"/>
        <v>809.64830181672369</v>
      </c>
      <c r="I27" s="20">
        <f t="shared" ref="I27:AA27" si="3">-1*(I26-I49)</f>
        <v>833.75336809437692</v>
      </c>
      <c r="J27" s="20">
        <f t="shared" si="3"/>
        <v>858.31207591194493</v>
      </c>
      <c r="K27" s="20">
        <f t="shared" si="3"/>
        <v>883.33356290087636</v>
      </c>
      <c r="L27" s="20">
        <f t="shared" si="3"/>
        <v>908.82714758096654</v>
      </c>
      <c r="M27" s="20">
        <f t="shared" si="3"/>
        <v>-61099.285735001889</v>
      </c>
      <c r="N27" s="20">
        <f t="shared" si="3"/>
        <v>-215.14881743310161</v>
      </c>
      <c r="O27" s="20">
        <f t="shared" si="3"/>
        <v>-213.34907716207636</v>
      </c>
      <c r="P27" s="20">
        <f t="shared" si="3"/>
        <v>-211.53324366846277</v>
      </c>
      <c r="Q27" s="20">
        <f t="shared" si="3"/>
        <v>-209.70098279139029</v>
      </c>
      <c r="R27" s="20">
        <f t="shared" si="3"/>
        <v>-143.57142594247057</v>
      </c>
      <c r="S27" s="20">
        <f t="shared" si="3"/>
        <v>-142.02669083764226</v>
      </c>
      <c r="T27" s="20">
        <f t="shared" si="3"/>
        <v>-140.46288923300426</v>
      </c>
      <c r="U27" s="20">
        <f t="shared" si="3"/>
        <v>-138.87967501180788</v>
      </c>
      <c r="V27" s="20">
        <f t="shared" si="3"/>
        <v>-137.27669683419708</v>
      </c>
      <c r="W27" s="20">
        <f t="shared" si="3"/>
        <v>-135.65359806151673</v>
      </c>
      <c r="X27" s="20">
        <f t="shared" si="3"/>
        <v>-134.0100166797115</v>
      </c>
      <c r="Y27" s="20">
        <f t="shared" si="3"/>
        <v>-132.34558522179645</v>
      </c>
      <c r="Z27" s="20">
        <f t="shared" si="3"/>
        <v>-130.65993068940338</v>
      </c>
      <c r="AA27" s="20">
        <f t="shared" si="3"/>
        <v>-128.95267447338392</v>
      </c>
    </row>
    <row r="28" spans="1:31" x14ac:dyDescent="0.35">
      <c r="A28" s="74" t="s">
        <v>34</v>
      </c>
      <c r="C28" s="91">
        <f t="shared" ref="C28:H28" si="4">-1*C27*$B$15</f>
        <v>-194.77360000000002</v>
      </c>
      <c r="D28" s="20">
        <f t="shared" si="4"/>
        <v>-200.92459380000003</v>
      </c>
      <c r="E28" s="20">
        <f>-1*E27*$B$15</f>
        <v>-207.19054038427501</v>
      </c>
      <c r="F28" s="20">
        <f t="shared" si="4"/>
        <v>-213.57375947799994</v>
      </c>
      <c r="G28" s="20">
        <f t="shared" si="4"/>
        <v>-220.07661670664459</v>
      </c>
      <c r="H28" s="20">
        <f t="shared" si="4"/>
        <v>-226.70152450868267</v>
      </c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</row>
    <row r="29" spans="1:31" x14ac:dyDescent="0.35">
      <c r="A29" s="72" t="s">
        <v>14</v>
      </c>
      <c r="C29" s="92">
        <f>B21</f>
        <v>6006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C29" s="130"/>
      <c r="AD29" s="130"/>
      <c r="AE29" s="130"/>
    </row>
    <row r="30" spans="1:31" x14ac:dyDescent="0.35">
      <c r="A30" s="72" t="s">
        <v>18</v>
      </c>
      <c r="C30" s="92">
        <f>IF('Inputs &amp; Generation'!C20,B22,0)</f>
        <v>0</v>
      </c>
      <c r="D30" s="5"/>
      <c r="E30" s="5"/>
      <c r="F30" s="5"/>
      <c r="G30" s="28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C30" s="14"/>
      <c r="AD30" s="14"/>
      <c r="AE30" s="14"/>
    </row>
    <row r="31" spans="1:31" x14ac:dyDescent="0.35">
      <c r="A31" s="4"/>
      <c r="C31" s="92"/>
      <c r="D31" s="5"/>
      <c r="E31" s="5"/>
      <c r="F31" s="5"/>
      <c r="G31" s="28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C31" s="14"/>
      <c r="AD31" s="14"/>
      <c r="AE31" s="14"/>
    </row>
    <row r="32" spans="1:31" ht="13.15" x14ac:dyDescent="0.4">
      <c r="A32" s="7" t="s">
        <v>20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C32" s="17"/>
    </row>
    <row r="33" spans="1:31" x14ac:dyDescent="0.35">
      <c r="A33" s="87" t="s">
        <v>111</v>
      </c>
      <c r="C33" s="20">
        <f>'As Net Metering Customer'!B21</f>
        <v>997.92</v>
      </c>
      <c r="D33" s="20">
        <f>'As Net Metering Customer'!C21</f>
        <v>1021.201335</v>
      </c>
      <c r="E33" s="20">
        <f>'As Net Metering Customer'!D21</f>
        <v>1044.9281481581249</v>
      </c>
      <c r="F33" s="20">
        <f>'As Net Metering Customer'!E21</f>
        <v>1069.1093795446425</v>
      </c>
      <c r="G33" s="20">
        <f>'As Net Metering Customer'!F21</f>
        <v>1093.7541464827575</v>
      </c>
      <c r="H33" s="20">
        <f>'As Net Metering Customer'!G22</f>
        <v>1118.8717470736697</v>
      </c>
      <c r="I33" s="20">
        <f>'As Net Metering Customer'!H22</f>
        <v>1144.4716637916781</v>
      </c>
      <c r="J33" s="20">
        <f>'As Net Metering Customer'!I22</f>
        <v>1170.5635671507325</v>
      </c>
      <c r="K33" s="20">
        <f>'As Net Metering Customer'!J22</f>
        <v>1197.1573194438422</v>
      </c>
      <c r="L33" s="20">
        <f>'As Net Metering Customer'!K22</f>
        <v>1224.2629785567972</v>
      </c>
      <c r="M33" s="20">
        <f>'As Net Metering Customer'!L22</f>
        <v>1317.8027338989555</v>
      </c>
      <c r="N33" s="20">
        <f>'As Net Metering Customer'!M22</f>
        <v>1345.6336225447242</v>
      </c>
      <c r="O33" s="20">
        <f>'As Net Metering Customer'!N22</f>
        <v>1374.0094523057794</v>
      </c>
      <c r="P33" s="20">
        <f>'As Net Metering Customer'!O22</f>
        <v>1402.9410948757709</v>
      </c>
      <c r="Q33" s="20">
        <f>'As Net Metering Customer'!P22</f>
        <v>1432.4396378183137</v>
      </c>
      <c r="R33" s="20">
        <f>'As Net Metering Customer'!Q22</f>
        <v>1462.5163888584304</v>
      </c>
      <c r="S33" s="20">
        <f>'As Net Metering Customer'!R22</f>
        <v>1493.1828802592768</v>
      </c>
      <c r="T33" s="20">
        <f>'As Net Metering Customer'!S22</f>
        <v>1524.4508732858535</v>
      </c>
      <c r="U33" s="20">
        <f>'As Net Metering Customer'!T22</f>
        <v>1556.3323627574268</v>
      </c>
      <c r="V33" s="20">
        <f>'As Net Metering Customer'!U22</f>
        <v>1588.8395816904222</v>
      </c>
      <c r="W33" s="20">
        <f>'As Net Metering Customer'!V22</f>
        <v>1621.9850060335948</v>
      </c>
      <c r="X33" s="20">
        <f>'As Net Metering Customer'!W22</f>
        <v>1655.7813594973024</v>
      </c>
      <c r="Y33" s="20">
        <f>'As Net Metering Customer'!X22</f>
        <v>1690.2416184787576</v>
      </c>
      <c r="Z33" s="20">
        <f>'As Net Metering Customer'!Y22</f>
        <v>1725.3790170851621</v>
      </c>
      <c r="AA33" s="20">
        <f>'As Net Metering Customer'!Z22</f>
        <v>1761.2070522566728</v>
      </c>
      <c r="AC33" s="3"/>
    </row>
    <row r="34" spans="1:31" x14ac:dyDescent="0.35">
      <c r="A34" s="73" t="s">
        <v>112</v>
      </c>
      <c r="C34" s="20">
        <f>'As Net Metering Customer'!B24</f>
        <v>-69.3</v>
      </c>
      <c r="D34" s="20">
        <f>'As Net Metering Customer'!C24</f>
        <v>-68.953500000000005</v>
      </c>
      <c r="E34" s="20">
        <f>'As Net Metering Customer'!D24</f>
        <v>-68.608732500000002</v>
      </c>
      <c r="F34" s="20">
        <f>'As Net Metering Customer'!E24</f>
        <v>-68.265688837500008</v>
      </c>
      <c r="G34" s="20">
        <f>'As Net Metering Customer'!F24</f>
        <v>-67.924360393312497</v>
      </c>
      <c r="H34" s="20">
        <f>'As Net Metering Customer'!G24</f>
        <v>-67.584738591345939</v>
      </c>
      <c r="I34" s="20">
        <f>'As Net Metering Customer'!H24</f>
        <v>-67.246814898389218</v>
      </c>
      <c r="J34" s="20">
        <f>'As Net Metering Customer'!I24</f>
        <v>-66.910580823897263</v>
      </c>
      <c r="K34" s="20">
        <f>'As Net Metering Customer'!J24</f>
        <v>-66.576027919777786</v>
      </c>
      <c r="L34" s="20">
        <f>'As Net Metering Customer'!K24</f>
        <v>-66.243147780178887</v>
      </c>
      <c r="M34" s="20">
        <f>'As Net Metering Customer'!L24</f>
        <v>-65.911932041277993</v>
      </c>
      <c r="N34" s="20">
        <f>'As Net Metering Customer'!M24</f>
        <v>-65.582372381071607</v>
      </c>
      <c r="O34" s="20">
        <f>'As Net Metering Customer'!N24</f>
        <v>-65.254460519166258</v>
      </c>
      <c r="P34" s="20">
        <f>'As Net Metering Customer'!O24</f>
        <v>-64.928188216570419</v>
      </c>
      <c r="Q34" s="20">
        <f>'As Net Metering Customer'!P24</f>
        <v>-64.603547275487557</v>
      </c>
      <c r="R34" s="20">
        <f>'As Net Metering Customer'!Q24</f>
        <v>0</v>
      </c>
      <c r="S34" s="20">
        <f>'As Net Metering Customer'!R24</f>
        <v>0</v>
      </c>
      <c r="T34" s="20">
        <f>'As Net Metering Customer'!S24</f>
        <v>0</v>
      </c>
      <c r="U34" s="20">
        <f>'As Net Metering Customer'!T24</f>
        <v>0</v>
      </c>
      <c r="V34" s="20">
        <f>'As Net Metering Customer'!U24</f>
        <v>0</v>
      </c>
      <c r="W34" s="20">
        <f>'As Net Metering Customer'!V24</f>
        <v>0</v>
      </c>
      <c r="X34" s="20">
        <f>'As Net Metering Customer'!W24</f>
        <v>0</v>
      </c>
      <c r="Y34" s="20">
        <f>'As Net Metering Customer'!X24</f>
        <v>0</v>
      </c>
      <c r="Z34" s="20">
        <f>'As Net Metering Customer'!Y24</f>
        <v>0</v>
      </c>
      <c r="AA34" s="20">
        <f>'As Net Metering Customer'!Z24</f>
        <v>0</v>
      </c>
    </row>
    <row r="35" spans="1:31" ht="13.15" x14ac:dyDescent="0.4">
      <c r="A35" s="75" t="s">
        <v>19</v>
      </c>
      <c r="C35" s="20">
        <f>C33+C34</f>
        <v>928.62</v>
      </c>
      <c r="D35" s="20">
        <f t="shared" ref="D35:AA35" si="5">D33+D34</f>
        <v>952.24783500000001</v>
      </c>
      <c r="E35" s="20">
        <f t="shared" si="5"/>
        <v>976.31941565812497</v>
      </c>
      <c r="F35" s="20">
        <f t="shared" si="5"/>
        <v>1000.8436907071425</v>
      </c>
      <c r="G35" s="20">
        <f t="shared" si="5"/>
        <v>1025.829786089445</v>
      </c>
      <c r="H35" s="20">
        <f t="shared" si="5"/>
        <v>1051.2870084823237</v>
      </c>
      <c r="I35" s="20">
        <f t="shared" si="5"/>
        <v>1077.2248488932889</v>
      </c>
      <c r="J35" s="20">
        <f t="shared" si="5"/>
        <v>1103.6529863268352</v>
      </c>
      <c r="K35" s="20">
        <f t="shared" si="5"/>
        <v>1130.5812915240645</v>
      </c>
      <c r="L35" s="20">
        <f t="shared" si="5"/>
        <v>1158.0198307766184</v>
      </c>
      <c r="M35" s="20">
        <f t="shared" si="5"/>
        <v>1251.8908018576774</v>
      </c>
      <c r="N35" s="20">
        <f t="shared" si="5"/>
        <v>1280.0512501636526</v>
      </c>
      <c r="O35" s="20">
        <f t="shared" si="5"/>
        <v>1308.7549917866131</v>
      </c>
      <c r="P35" s="20">
        <f t="shared" si="5"/>
        <v>1338.0129066592006</v>
      </c>
      <c r="Q35" s="20">
        <f t="shared" si="5"/>
        <v>1367.8360905428262</v>
      </c>
      <c r="R35" s="20">
        <f t="shared" si="5"/>
        <v>1462.5163888584304</v>
      </c>
      <c r="S35" s="20">
        <f t="shared" si="5"/>
        <v>1493.1828802592768</v>
      </c>
      <c r="T35" s="20">
        <f t="shared" si="5"/>
        <v>1524.4508732858535</v>
      </c>
      <c r="U35" s="20">
        <f t="shared" si="5"/>
        <v>1556.3323627574268</v>
      </c>
      <c r="V35" s="20">
        <f t="shared" si="5"/>
        <v>1588.8395816904222</v>
      </c>
      <c r="W35" s="20">
        <f t="shared" si="5"/>
        <v>1621.9850060335948</v>
      </c>
      <c r="X35" s="20">
        <f t="shared" si="5"/>
        <v>1655.7813594973024</v>
      </c>
      <c r="Y35" s="20">
        <f t="shared" si="5"/>
        <v>1690.2416184787576</v>
      </c>
      <c r="Z35" s="20">
        <f t="shared" si="5"/>
        <v>1725.3790170851621</v>
      </c>
      <c r="AA35" s="20">
        <f t="shared" si="5"/>
        <v>1761.2070522566728</v>
      </c>
      <c r="AD35" s="1"/>
      <c r="AE35" s="1"/>
    </row>
    <row r="36" spans="1:31" ht="13.15" x14ac:dyDescent="0.4">
      <c r="A36" s="11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D36" s="1"/>
      <c r="AE36" s="1"/>
    </row>
    <row r="37" spans="1:31" ht="13.15" x14ac:dyDescent="0.4">
      <c r="A37" s="7" t="s">
        <v>80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 spans="1:31" x14ac:dyDescent="0.35">
      <c r="A38" s="73" t="s">
        <v>78</v>
      </c>
      <c r="B38" s="10"/>
      <c r="C38" s="20">
        <f>-'Inputs &amp; Generation'!C28*'Inputs &amp; Generation'!C7/1000/1.5</f>
        <v>0</v>
      </c>
      <c r="D38" s="20">
        <f>C38+(C38*'Inputs &amp; Generation'!$C$32)</f>
        <v>0</v>
      </c>
      <c r="E38" s="20">
        <f>D38+(D38*'Inputs &amp; Generation'!$C$32)</f>
        <v>0</v>
      </c>
      <c r="F38" s="20">
        <f>E38+(E38*'Inputs &amp; Generation'!$C$32)</f>
        <v>0</v>
      </c>
      <c r="G38" s="20">
        <f>F38+(F38*'Inputs &amp; Generation'!$C$32)</f>
        <v>0</v>
      </c>
      <c r="H38" s="20">
        <f>G38+(G38*'Inputs &amp; Generation'!$C$32)</f>
        <v>0</v>
      </c>
      <c r="I38" s="20">
        <f>H38+(H38*'Inputs &amp; Generation'!$C$32)</f>
        <v>0</v>
      </c>
      <c r="J38" s="20">
        <f>I38+(I38*'Inputs &amp; Generation'!$C$32)</f>
        <v>0</v>
      </c>
      <c r="K38" s="20">
        <f>J38+(J38*'Inputs &amp; Generation'!$C$32)</f>
        <v>0</v>
      </c>
      <c r="L38" s="20">
        <f>K38+(K38*'Inputs &amp; Generation'!$C$32)</f>
        <v>0</v>
      </c>
      <c r="M38" s="20">
        <f>L38+(L38*'Inputs &amp; Generation'!$C$32)</f>
        <v>0</v>
      </c>
      <c r="N38" s="20">
        <f>M38+(M38*'Inputs &amp; Generation'!$C$32)</f>
        <v>0</v>
      </c>
      <c r="O38" s="20">
        <f>N38+(N38*'Inputs &amp; Generation'!$C$32)</f>
        <v>0</v>
      </c>
      <c r="P38" s="20">
        <f>O38+(O38*'Inputs &amp; Generation'!$C$32)</f>
        <v>0</v>
      </c>
      <c r="Q38" s="20">
        <f>P38+(P38*'Inputs &amp; Generation'!$C$32)</f>
        <v>0</v>
      </c>
      <c r="R38" s="20">
        <f>Q38+(Q38*'Inputs &amp; Generation'!$C$32)</f>
        <v>0</v>
      </c>
      <c r="S38" s="20">
        <f>R38+(R38*'Inputs &amp; Generation'!$C$32)</f>
        <v>0</v>
      </c>
      <c r="T38" s="20">
        <f>S38+(S38*'Inputs &amp; Generation'!$C$32)</f>
        <v>0</v>
      </c>
      <c r="U38" s="20">
        <f>T38+(T38*'Inputs &amp; Generation'!$C$32)</f>
        <v>0</v>
      </c>
      <c r="V38" s="20">
        <f>U38+(U38*'Inputs &amp; Generation'!$C$32)</f>
        <v>0</v>
      </c>
      <c r="W38" s="20">
        <f>V38+(V38*'Inputs &amp; Generation'!$C$32)</f>
        <v>0</v>
      </c>
      <c r="X38" s="20">
        <f>W38+(W38*'Inputs &amp; Generation'!$C$32)</f>
        <v>0</v>
      </c>
      <c r="Y38" s="20">
        <f>X38+(X38*'Inputs &amp; Generation'!$C$32)</f>
        <v>0</v>
      </c>
      <c r="Z38" s="20">
        <f>Y38+(Y38*'Inputs &amp; Generation'!$C$32)</f>
        <v>0</v>
      </c>
      <c r="AA38" s="20">
        <f>Z38+(Z38*'Inputs &amp; Generation'!$C$32)</f>
        <v>0</v>
      </c>
    </row>
    <row r="39" spans="1:31" x14ac:dyDescent="0.35">
      <c r="A39" s="86" t="s">
        <v>22</v>
      </c>
      <c r="B39" s="16"/>
      <c r="C39" s="20">
        <v>1</v>
      </c>
      <c r="D39" s="20">
        <f>C39*(1+'Inputs &amp; Generation'!$C32)</f>
        <v>1.02</v>
      </c>
      <c r="E39" s="20">
        <f>D39*(1+'Inputs &amp; Generation'!$C32)</f>
        <v>1.0404</v>
      </c>
      <c r="F39" s="20">
        <f>E39*(1+'Inputs &amp; Generation'!$C32)</f>
        <v>1.0612079999999999</v>
      </c>
      <c r="G39" s="20">
        <f>F39*(1+'Inputs &amp; Generation'!$C32)</f>
        <v>1.08243216</v>
      </c>
      <c r="H39" s="20">
        <f>G39*(1+'Inputs &amp; Generation'!$C32)</f>
        <v>1.1040808032</v>
      </c>
      <c r="I39" s="20">
        <f>H39*(1+'Inputs &amp; Generation'!$C32)</f>
        <v>1.1261624192640001</v>
      </c>
      <c r="J39" s="20">
        <f>I39*(1+'Inputs &amp; Generation'!$C32)</f>
        <v>1.14868566764928</v>
      </c>
      <c r="K39" s="20">
        <f>J39*(1+'Inputs &amp; Generation'!$C32)</f>
        <v>1.1716593810022657</v>
      </c>
      <c r="L39" s="20">
        <f>K39*(1+'Inputs &amp; Generation'!$C32)</f>
        <v>1.1950925686223111</v>
      </c>
      <c r="M39" s="20">
        <f>L39*(1+'Inputs &amp; Generation'!$C32)</f>
        <v>1.2189944199947573</v>
      </c>
      <c r="N39" s="20">
        <f>M39*(1+'Inputs &amp; Generation'!$C32)</f>
        <v>1.2433743083946525</v>
      </c>
      <c r="O39" s="20">
        <f>N39*(1+'Inputs &amp; Generation'!$C32)</f>
        <v>1.2682417945625455</v>
      </c>
      <c r="P39" s="20">
        <f>O39*(1+'Inputs &amp; Generation'!$C32)</f>
        <v>1.2936066304537963</v>
      </c>
      <c r="Q39" s="20">
        <f>P39*(1+'Inputs &amp; Generation'!$C32)</f>
        <v>1.3194787630628724</v>
      </c>
      <c r="R39" s="20">
        <f>Q39*(1+'Inputs &amp; Generation'!$C32)</f>
        <v>1.3458683383241299</v>
      </c>
      <c r="S39" s="20">
        <f>R39*(1+'Inputs &amp; Generation'!$C32)</f>
        <v>1.3727857050906125</v>
      </c>
      <c r="T39" s="20">
        <f>S39*(1+'Inputs &amp; Generation'!$C32)</f>
        <v>1.4002414191924248</v>
      </c>
      <c r="U39" s="20">
        <f>T39*(1+'Inputs &amp; Generation'!$C32)</f>
        <v>1.4282462475762734</v>
      </c>
      <c r="V39" s="20">
        <f>U39*(1+'Inputs &amp; Generation'!$C32)</f>
        <v>1.4568111725277988</v>
      </c>
      <c r="W39" s="20">
        <f>V39*(1+'Inputs &amp; Generation'!$C32)</f>
        <v>1.4859473959783549</v>
      </c>
      <c r="X39" s="20">
        <f>W39*(1+'Inputs &amp; Generation'!$C32)</f>
        <v>1.5156663438979221</v>
      </c>
      <c r="Y39" s="20">
        <f>X39*(1+'Inputs &amp; Generation'!$C32)</f>
        <v>1.5459796707758806</v>
      </c>
      <c r="Z39" s="20">
        <f>Y39*(1+'Inputs &amp; Generation'!$C32)</f>
        <v>1.5768992641913981</v>
      </c>
      <c r="AA39" s="20">
        <f>Z39*(1+'Inputs &amp; Generation'!$C32)</f>
        <v>1.6084372494752261</v>
      </c>
    </row>
    <row r="40" spans="1:31" x14ac:dyDescent="0.35">
      <c r="A40" s="73" t="s">
        <v>25</v>
      </c>
      <c r="B40" s="16"/>
      <c r="C40" s="103">
        <f>-'Inputs &amp; Generation'!C34</f>
        <v>-150</v>
      </c>
      <c r="D40" s="20">
        <f>C40</f>
        <v>-150</v>
      </c>
      <c r="E40" s="20">
        <f t="shared" ref="E40:AA40" si="6">D40</f>
        <v>-150</v>
      </c>
      <c r="F40" s="20">
        <f t="shared" si="6"/>
        <v>-150</v>
      </c>
      <c r="G40" s="20">
        <f t="shared" si="6"/>
        <v>-150</v>
      </c>
      <c r="H40" s="20">
        <f t="shared" si="6"/>
        <v>-150</v>
      </c>
      <c r="I40" s="20">
        <f t="shared" si="6"/>
        <v>-150</v>
      </c>
      <c r="J40" s="20">
        <f t="shared" si="6"/>
        <v>-150</v>
      </c>
      <c r="K40" s="20">
        <f t="shared" si="6"/>
        <v>-150</v>
      </c>
      <c r="L40" s="20">
        <f t="shared" si="6"/>
        <v>-150</v>
      </c>
      <c r="M40" s="20">
        <f t="shared" si="6"/>
        <v>-150</v>
      </c>
      <c r="N40" s="20">
        <f t="shared" si="6"/>
        <v>-150</v>
      </c>
      <c r="O40" s="20">
        <f t="shared" si="6"/>
        <v>-150</v>
      </c>
      <c r="P40" s="20">
        <f t="shared" si="6"/>
        <v>-150</v>
      </c>
      <c r="Q40" s="20">
        <f t="shared" si="6"/>
        <v>-150</v>
      </c>
      <c r="R40" s="20">
        <f t="shared" si="6"/>
        <v>-150</v>
      </c>
      <c r="S40" s="20">
        <f t="shared" si="6"/>
        <v>-150</v>
      </c>
      <c r="T40" s="20">
        <f t="shared" si="6"/>
        <v>-150</v>
      </c>
      <c r="U40" s="20">
        <f t="shared" si="6"/>
        <v>-150</v>
      </c>
      <c r="V40" s="20">
        <f t="shared" si="6"/>
        <v>-150</v>
      </c>
      <c r="W40" s="20">
        <f t="shared" si="6"/>
        <v>-150</v>
      </c>
      <c r="X40" s="20">
        <f t="shared" si="6"/>
        <v>-150</v>
      </c>
      <c r="Y40" s="20">
        <f t="shared" si="6"/>
        <v>-150</v>
      </c>
      <c r="Z40" s="20">
        <f t="shared" si="6"/>
        <v>-150</v>
      </c>
      <c r="AA40" s="20">
        <f t="shared" si="6"/>
        <v>-150</v>
      </c>
    </row>
    <row r="41" spans="1:31" x14ac:dyDescent="0.35">
      <c r="A41" s="73" t="s">
        <v>79</v>
      </c>
      <c r="B41" s="16"/>
      <c r="C41" s="20">
        <f>-('Inputs &amp; Generation'!C30*'Inputs &amp; Generation'!C7/1000)</f>
        <v>-14</v>
      </c>
      <c r="D41" s="20">
        <f>C41+(C41*'Inputs &amp; Generation'!$C$32)</f>
        <v>-14.28</v>
      </c>
      <c r="E41" s="20">
        <f>D41+(D41*'Inputs &amp; Generation'!$C$32)</f>
        <v>-14.5656</v>
      </c>
      <c r="F41" s="20">
        <f>E41+(E41*'Inputs &amp; Generation'!$C$32)</f>
        <v>-14.856911999999999</v>
      </c>
      <c r="G41" s="20">
        <f>F41+(F41*'Inputs &amp; Generation'!$C$32)</f>
        <v>-15.15405024</v>
      </c>
      <c r="H41" s="20">
        <f>G41+(G41*'Inputs &amp; Generation'!$C$32)</f>
        <v>-15.457131244799999</v>
      </c>
      <c r="I41" s="20">
        <f>H41+(H41*'Inputs &amp; Generation'!$C$32)</f>
        <v>-15.766273869695999</v>
      </c>
      <c r="J41" s="20">
        <f>I41+(I41*'Inputs &amp; Generation'!$C$32)</f>
        <v>-16.08159934708992</v>
      </c>
      <c r="K41" s="20">
        <f>J41+(J41*'Inputs &amp; Generation'!$C$32)</f>
        <v>-16.40323133403172</v>
      </c>
      <c r="L41" s="20">
        <f>K41+(K41*'Inputs &amp; Generation'!$C$32)</f>
        <v>-16.731295960712355</v>
      </c>
      <c r="M41" s="20">
        <f>L41+(L41*'Inputs &amp; Generation'!$C$32)-60000</f>
        <v>-60017.065921879926</v>
      </c>
      <c r="N41" s="20">
        <f>M41+(M41*'Inputs &amp; Generation'!$C$32)+60000</f>
        <v>-1217.4072403175232</v>
      </c>
      <c r="O41" s="20">
        <f>N41+(N41*'Inputs &amp; Generation'!$C$32)</f>
        <v>-1241.7553851238738</v>
      </c>
      <c r="P41" s="20">
        <f>O41+(O41*'Inputs &amp; Generation'!$C$32)</f>
        <v>-1266.5904928263512</v>
      </c>
      <c r="Q41" s="20">
        <f>P41+(P41*'Inputs &amp; Generation'!$C$32)</f>
        <v>-1291.9223026828784</v>
      </c>
      <c r="R41" s="20">
        <f>Q41+(Q41*'Inputs &amp; Generation'!$C$32)</f>
        <v>-1317.760748736536</v>
      </c>
      <c r="S41" s="20">
        <f>R41+(R41*'Inputs &amp; Generation'!$C$32)</f>
        <v>-1344.1159637112667</v>
      </c>
      <c r="T41" s="20">
        <f>S41+(S41*'Inputs &amp; Generation'!$C$32)</f>
        <v>-1370.9982829854921</v>
      </c>
      <c r="U41" s="20">
        <f>T41+(T41*'Inputs &amp; Generation'!$C$32)</f>
        <v>-1398.4182486452019</v>
      </c>
      <c r="V41" s="20">
        <f>U41+(U41*'Inputs &amp; Generation'!$C$32)</f>
        <v>-1426.3866136181059</v>
      </c>
      <c r="W41" s="20">
        <f>V41+(V41*'Inputs &amp; Generation'!$C$32)</f>
        <v>-1454.914345890468</v>
      </c>
      <c r="X41" s="20">
        <f>W41+(W41*'Inputs &amp; Generation'!$C$32)</f>
        <v>-1484.0126328082774</v>
      </c>
      <c r="Y41" s="20">
        <f>X41+(X41*'Inputs &amp; Generation'!$C$32)</f>
        <v>-1513.692885464443</v>
      </c>
      <c r="Z41" s="20">
        <f>Y41+(Y41*'Inputs &amp; Generation'!$C$32)</f>
        <v>-1543.9667431737319</v>
      </c>
      <c r="AA41" s="20">
        <f>Z41+(Z41*'Inputs &amp; Generation'!$C$32)</f>
        <v>-1574.8460780372066</v>
      </c>
    </row>
    <row r="42" spans="1:31" x14ac:dyDescent="0.35">
      <c r="A42" s="73" t="s">
        <v>113</v>
      </c>
      <c r="B42" s="16"/>
      <c r="C42" s="20">
        <f>-('Inputs &amp; Generation'!C31*'Inputs &amp; Generation'!C7/1000)</f>
        <v>-70</v>
      </c>
      <c r="D42" s="20">
        <f>C42+(C42*'Inputs &amp; Generation'!$C$32)</f>
        <v>-71.400000000000006</v>
      </c>
      <c r="E42" s="20">
        <f>D42+(D42*'Inputs &amp; Generation'!$C$32)</f>
        <v>-72.828000000000003</v>
      </c>
      <c r="F42" s="20">
        <f>E42+(E42*'Inputs &amp; Generation'!$C$32)</f>
        <v>-74.284559999999999</v>
      </c>
      <c r="G42" s="20">
        <f>F42+(F42*'Inputs &amp; Generation'!$C$32)</f>
        <v>-75.770251200000004</v>
      </c>
      <c r="H42" s="20">
        <f>G42+(G42*'Inputs &amp; Generation'!$C$32)</f>
        <v>-77.285656224000007</v>
      </c>
      <c r="I42" s="20">
        <f>H42+(H42*'Inputs &amp; Generation'!$C$32)</f>
        <v>-78.83136934848001</v>
      </c>
      <c r="J42" s="20">
        <f>I42+(I42*'Inputs &amp; Generation'!$C$32)</f>
        <v>-80.407996735449615</v>
      </c>
      <c r="K42" s="20">
        <f>J42+(J42*'Inputs &amp; Generation'!$C$32)</f>
        <v>-82.016156670158608</v>
      </c>
      <c r="L42" s="20">
        <f>K42+(K42*'Inputs &amp; Generation'!$C$32)</f>
        <v>-83.65647980356178</v>
      </c>
      <c r="M42" s="20">
        <f>L42+(L42*'Inputs &amp; Generation'!$C$32)-'Inputs &amp; Generation'!D33</f>
        <v>-2185.3296093996332</v>
      </c>
      <c r="N42" s="20">
        <f>M42+(M42*'Inputs &amp; Generation'!$C$32)+'Inputs &amp; Generation'!D33</f>
        <v>-129.03620158762578</v>
      </c>
      <c r="O42" s="20">
        <f>N42+(N42*'Inputs &amp; Generation'!$C$32)</f>
        <v>-131.61692561937829</v>
      </c>
      <c r="P42" s="20">
        <f>O42+(O42*'Inputs &amp; Generation'!$C$32)</f>
        <v>-134.24926413176587</v>
      </c>
      <c r="Q42" s="20">
        <f>P42+(P42*'Inputs &amp; Generation'!$C$32)</f>
        <v>-136.93424941440119</v>
      </c>
      <c r="R42" s="20">
        <f>Q42+(Q42*'Inputs &amp; Generation'!$C$32)</f>
        <v>-139.67293440268921</v>
      </c>
      <c r="S42" s="20">
        <f>R42+(R42*'Inputs &amp; Generation'!$C$32)</f>
        <v>-142.466393090743</v>
      </c>
      <c r="T42" s="20">
        <f>S42+(S42*'Inputs &amp; Generation'!$C$32)</f>
        <v>-145.31572095255785</v>
      </c>
      <c r="U42" s="20">
        <f>T42+(T42*'Inputs &amp; Generation'!$C$32)</f>
        <v>-148.22203537160902</v>
      </c>
      <c r="V42" s="20">
        <f>U42+(U42*'Inputs &amp; Generation'!$C$32)</f>
        <v>-151.1864760790412</v>
      </c>
      <c r="W42" s="20">
        <f>V42+(V42*'Inputs &amp; Generation'!$C$32)</f>
        <v>-154.21020560062203</v>
      </c>
      <c r="X42" s="20">
        <f>W42+(W42*'Inputs &amp; Generation'!$C$32)</f>
        <v>-157.29440971263446</v>
      </c>
      <c r="Y42" s="20">
        <f>X42+(X42*'Inputs &amp; Generation'!$C$32)</f>
        <v>-160.44029790688714</v>
      </c>
      <c r="Z42" s="20">
        <f>Y42+(Y42*'Inputs &amp; Generation'!$C$32)</f>
        <v>-163.64910386502487</v>
      </c>
      <c r="AA42" s="20">
        <f>Z42+(Z42*'Inputs &amp; Generation'!$C$32)</f>
        <v>-166.92208594232537</v>
      </c>
    </row>
    <row r="43" spans="1:31" x14ac:dyDescent="0.35">
      <c r="A43" s="74" t="s">
        <v>35</v>
      </c>
      <c r="C43" s="20">
        <f>PMT('Inputs &amp; Generation'!$C$25,'Inputs &amp; Generation'!$C$26,$B$17)</f>
        <v>0</v>
      </c>
      <c r="D43" s="20">
        <f>PMT('Inputs &amp; Generation'!$C$25,'Inputs &amp; Generation'!$C$26,$B$17)</f>
        <v>0</v>
      </c>
      <c r="E43" s="20">
        <f>PMT('Inputs &amp; Generation'!$C$25,'Inputs &amp; Generation'!$C$26,$B$17)</f>
        <v>0</v>
      </c>
      <c r="F43" s="20">
        <f>PMT('Inputs &amp; Generation'!$C$25,'Inputs &amp; Generation'!$C$26,$B$17)</f>
        <v>0</v>
      </c>
      <c r="G43" s="20">
        <f>PMT('Inputs &amp; Generation'!$C$25,'Inputs &amp; Generation'!$C$26,$B$17)</f>
        <v>0</v>
      </c>
      <c r="H43" s="20">
        <f>PMT('Inputs &amp; Generation'!$C$25,'Inputs &amp; Generation'!$C$26,$B$17)</f>
        <v>0</v>
      </c>
      <c r="I43" s="20">
        <f>PMT('Inputs &amp; Generation'!$C$25,'Inputs &amp; Generation'!$C$26,$B$17)</f>
        <v>0</v>
      </c>
      <c r="J43" s="20">
        <f>PMT('Inputs &amp; Generation'!$C$25,'Inputs &amp; Generation'!$C$26,$B$17)</f>
        <v>0</v>
      </c>
      <c r="K43" s="20">
        <f>PMT('Inputs &amp; Generation'!$C$25,'Inputs &amp; Generation'!$C$26,$B$17)</f>
        <v>0</v>
      </c>
      <c r="L43" s="20">
        <f>PMT('Inputs &amp; Generation'!$C$25,'Inputs &amp; Generation'!$C$26,$B$17)</f>
        <v>0</v>
      </c>
      <c r="M43" s="20">
        <f>PMT('Inputs &amp; Generation'!$C$25,'Inputs &amp; Generation'!$C$26,$B$17)</f>
        <v>0</v>
      </c>
      <c r="N43" s="20">
        <f>PMT('Inputs &amp; Generation'!$C$25,'Inputs &amp; Generation'!$C$26,$B$17)</f>
        <v>0</v>
      </c>
      <c r="O43" s="20">
        <f>PMT('Inputs &amp; Generation'!$C$25,'Inputs &amp; Generation'!$C$26,$B$17)</f>
        <v>0</v>
      </c>
      <c r="P43" s="20">
        <f>PMT('Inputs &amp; Generation'!$C$25,'Inputs &amp; Generation'!$C$26,$B$17)</f>
        <v>0</v>
      </c>
      <c r="Q43" s="20">
        <f>PMT('Inputs &amp; Generation'!$C$25,'Inputs &amp; Generation'!$C$26,$B$17)</f>
        <v>0</v>
      </c>
      <c r="R43" s="20">
        <f>PMT('Inputs &amp; Generation'!$C$25,'Inputs &amp; Generation'!$C$26,$B$17)</f>
        <v>0</v>
      </c>
      <c r="S43" s="20">
        <f>PMT('Inputs &amp; Generation'!$C$25,'Inputs &amp; Generation'!$C$26,$B$17)</f>
        <v>0</v>
      </c>
      <c r="T43" s="20">
        <f>PMT('Inputs &amp; Generation'!$C$25,'Inputs &amp; Generation'!$C$26,$B$17)</f>
        <v>0</v>
      </c>
      <c r="U43" s="20">
        <f>PMT('Inputs &amp; Generation'!$C$25,'Inputs &amp; Generation'!$C$26,$B$17)</f>
        <v>0</v>
      </c>
      <c r="V43" s="20">
        <f>PMT('Inputs &amp; Generation'!$C$25,'Inputs &amp; Generation'!$C$26,$B$17)</f>
        <v>0</v>
      </c>
      <c r="W43" s="20">
        <f>PMT('Inputs &amp; Generation'!$C$25,'Inputs &amp; Generation'!$C$26,$B$17)</f>
        <v>0</v>
      </c>
      <c r="X43" s="20"/>
      <c r="Y43" s="20"/>
      <c r="Z43" s="20"/>
      <c r="AA43" s="20"/>
    </row>
    <row r="44" spans="1:31" x14ac:dyDescent="0.35">
      <c r="A44" s="76" t="s">
        <v>28</v>
      </c>
      <c r="C44" s="20">
        <f>-B17*'Inputs &amp; Generation'!C25</f>
        <v>0</v>
      </c>
      <c r="D44" s="20">
        <f>-C45*'Inputs &amp; Generation'!$C$25</f>
        <v>0</v>
      </c>
      <c r="E44" s="20">
        <f>-D45*'Inputs &amp; Generation'!$C$25</f>
        <v>0</v>
      </c>
      <c r="F44" s="20">
        <f>-E45*'Inputs &amp; Generation'!$C$25</f>
        <v>0</v>
      </c>
      <c r="G44" s="20">
        <f>-F45*'Inputs &amp; Generation'!$C$25</f>
        <v>0</v>
      </c>
      <c r="H44" s="20">
        <f>-G45*'Inputs &amp; Generation'!$C$25</f>
        <v>0</v>
      </c>
      <c r="I44" s="20">
        <f>-H45*'Inputs &amp; Generation'!$C$25</f>
        <v>0</v>
      </c>
      <c r="J44" s="20">
        <f>-I45*'Inputs &amp; Generation'!$C$25</f>
        <v>0</v>
      </c>
      <c r="K44" s="20">
        <f>-J45*'Inputs &amp; Generation'!$C$25</f>
        <v>0</v>
      </c>
      <c r="L44" s="20">
        <f>-K45*'Inputs &amp; Generation'!$C$25</f>
        <v>0</v>
      </c>
      <c r="M44" s="20">
        <f>-L45*'Inputs &amp; Generation'!$C$25</f>
        <v>0</v>
      </c>
      <c r="N44" s="20">
        <f>-M45*'Inputs &amp; Generation'!$C$25</f>
        <v>0</v>
      </c>
      <c r="O44" s="20">
        <f>-N45*'Inputs &amp; Generation'!$C$25</f>
        <v>0</v>
      </c>
      <c r="P44" s="20">
        <f>-O45*'Inputs &amp; Generation'!$C$25</f>
        <v>0</v>
      </c>
      <c r="Q44" s="20">
        <f>-P45*'Inputs &amp; Generation'!$C$25</f>
        <v>0</v>
      </c>
      <c r="R44" s="20">
        <f>-Q45*'Inputs &amp; Generation'!$C$25</f>
        <v>0</v>
      </c>
      <c r="S44" s="20">
        <f>-R45*'Inputs &amp; Generation'!$C$25</f>
        <v>0</v>
      </c>
      <c r="T44" s="20">
        <f>-S45*'Inputs &amp; Generation'!$C$25</f>
        <v>0</v>
      </c>
      <c r="U44" s="20">
        <f>-T45*'Inputs &amp; Generation'!$C$25</f>
        <v>0</v>
      </c>
      <c r="V44" s="20">
        <f>-U45*'Inputs &amp; Generation'!$C$25</f>
        <v>0</v>
      </c>
      <c r="W44" s="20">
        <f>-V45*'Inputs &amp; Generation'!$C$25</f>
        <v>0</v>
      </c>
      <c r="X44" s="20"/>
      <c r="Y44" s="20"/>
      <c r="Z44" s="20"/>
      <c r="AA44" s="20"/>
    </row>
    <row r="45" spans="1:31" x14ac:dyDescent="0.35">
      <c r="A45" s="76" t="s">
        <v>29</v>
      </c>
      <c r="C45" s="93">
        <f>B17+C46</f>
        <v>0</v>
      </c>
      <c r="D45" s="93">
        <f>C45+D46</f>
        <v>0</v>
      </c>
      <c r="E45" s="93">
        <f>D45+E46</f>
        <v>0</v>
      </c>
      <c r="F45" s="93">
        <f>E45+F46</f>
        <v>0</v>
      </c>
      <c r="G45" s="93">
        <f>F45+G46</f>
        <v>0</v>
      </c>
      <c r="H45" s="93">
        <f>C45</f>
        <v>0</v>
      </c>
      <c r="I45" s="93">
        <f t="shared" ref="I45:U45" si="7">H45+I46</f>
        <v>0</v>
      </c>
      <c r="J45" s="93">
        <f t="shared" si="7"/>
        <v>0</v>
      </c>
      <c r="K45" s="93">
        <f t="shared" si="7"/>
        <v>0</v>
      </c>
      <c r="L45" s="93">
        <f t="shared" si="7"/>
        <v>0</v>
      </c>
      <c r="M45" s="93">
        <f t="shared" si="7"/>
        <v>0</v>
      </c>
      <c r="N45" s="93">
        <f t="shared" si="7"/>
        <v>0</v>
      </c>
      <c r="O45" s="93">
        <f t="shared" si="7"/>
        <v>0</v>
      </c>
      <c r="P45" s="93">
        <f t="shared" si="7"/>
        <v>0</v>
      </c>
      <c r="Q45" s="93">
        <f t="shared" si="7"/>
        <v>0</v>
      </c>
      <c r="R45" s="93">
        <f t="shared" si="7"/>
        <v>0</v>
      </c>
      <c r="S45" s="93">
        <f t="shared" si="7"/>
        <v>0</v>
      </c>
      <c r="T45" s="93">
        <f t="shared" si="7"/>
        <v>0</v>
      </c>
      <c r="U45" s="93">
        <f t="shared" si="7"/>
        <v>0</v>
      </c>
      <c r="V45" s="93">
        <f t="shared" ref="V45" si="8">U45+V46</f>
        <v>0</v>
      </c>
      <c r="W45" s="93">
        <f t="shared" ref="W45" si="9">V45+W46</f>
        <v>0</v>
      </c>
      <c r="X45" s="20"/>
      <c r="Y45" s="20"/>
      <c r="Z45" s="20"/>
      <c r="AA45" s="20"/>
    </row>
    <row r="46" spans="1:31" x14ac:dyDescent="0.35">
      <c r="A46" s="76" t="s">
        <v>30</v>
      </c>
      <c r="C46" s="20">
        <f t="shared" ref="C46:U46" si="10">C43-C44</f>
        <v>0</v>
      </c>
      <c r="D46" s="20">
        <f t="shared" si="10"/>
        <v>0</v>
      </c>
      <c r="E46" s="20">
        <f t="shared" si="10"/>
        <v>0</v>
      </c>
      <c r="F46" s="20">
        <f t="shared" si="10"/>
        <v>0</v>
      </c>
      <c r="G46" s="20">
        <f t="shared" si="10"/>
        <v>0</v>
      </c>
      <c r="H46" s="20">
        <f t="shared" si="10"/>
        <v>0</v>
      </c>
      <c r="I46" s="20">
        <f t="shared" si="10"/>
        <v>0</v>
      </c>
      <c r="J46" s="20">
        <f t="shared" si="10"/>
        <v>0</v>
      </c>
      <c r="K46" s="20">
        <f t="shared" si="10"/>
        <v>0</v>
      </c>
      <c r="L46" s="20">
        <f t="shared" si="10"/>
        <v>0</v>
      </c>
      <c r="M46" s="20">
        <f t="shared" si="10"/>
        <v>0</v>
      </c>
      <c r="N46" s="20">
        <f t="shared" si="10"/>
        <v>0</v>
      </c>
      <c r="O46" s="20">
        <f t="shared" si="10"/>
        <v>0</v>
      </c>
      <c r="P46" s="20">
        <f t="shared" si="10"/>
        <v>0</v>
      </c>
      <c r="Q46" s="20">
        <f t="shared" si="10"/>
        <v>0</v>
      </c>
      <c r="R46" s="20">
        <f t="shared" si="10"/>
        <v>0</v>
      </c>
      <c r="S46" s="20">
        <f t="shared" si="10"/>
        <v>0</v>
      </c>
      <c r="T46" s="20">
        <f t="shared" si="10"/>
        <v>0</v>
      </c>
      <c r="U46" s="20">
        <f t="shared" si="10"/>
        <v>0</v>
      </c>
      <c r="V46" s="20">
        <f t="shared" ref="V46:W46" si="11">V43-V44</f>
        <v>0</v>
      </c>
      <c r="W46" s="20">
        <f t="shared" si="11"/>
        <v>0</v>
      </c>
      <c r="X46" s="20"/>
      <c r="Y46" s="20"/>
      <c r="Z46" s="20"/>
      <c r="AA46" s="20"/>
    </row>
    <row r="47" spans="1:31" x14ac:dyDescent="0.35">
      <c r="A47" s="72"/>
      <c r="C47" s="5"/>
      <c r="D47" s="5"/>
      <c r="E47" s="5"/>
      <c r="F47" s="5"/>
      <c r="G47" s="5"/>
      <c r="H47" s="5"/>
      <c r="I47" s="20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spans="1:31" x14ac:dyDescent="0.35">
      <c r="A48" s="76" t="s">
        <v>31</v>
      </c>
      <c r="C48" s="20">
        <f t="shared" ref="C48:AA48" si="12">SUM(C38:C42, C44)</f>
        <v>-233</v>
      </c>
      <c r="D48" s="20">
        <f t="shared" si="12"/>
        <v>-234.66</v>
      </c>
      <c r="E48" s="20">
        <f t="shared" si="12"/>
        <v>-236.35319999999999</v>
      </c>
      <c r="F48" s="20">
        <f t="shared" si="12"/>
        <v>-238.080264</v>
      </c>
      <c r="G48" s="20">
        <f t="shared" si="12"/>
        <v>-239.84186928000003</v>
      </c>
      <c r="H48" s="20">
        <f t="shared" si="12"/>
        <v>-241.63870666560001</v>
      </c>
      <c r="I48" s="20">
        <f t="shared" si="12"/>
        <v>-243.47148079891201</v>
      </c>
      <c r="J48" s="20">
        <f t="shared" si="12"/>
        <v>-245.34091041489023</v>
      </c>
      <c r="K48" s="20">
        <f t="shared" si="12"/>
        <v>-247.24772862318807</v>
      </c>
      <c r="L48" s="20">
        <f t="shared" si="12"/>
        <v>-249.19268319565182</v>
      </c>
      <c r="M48" s="20">
        <f t="shared" si="12"/>
        <v>-62351.176536859566</v>
      </c>
      <c r="N48" s="20">
        <f t="shared" si="12"/>
        <v>-1495.2000675967543</v>
      </c>
      <c r="O48" s="20">
        <f t="shared" si="12"/>
        <v>-1522.1040689486895</v>
      </c>
      <c r="P48" s="20">
        <f t="shared" si="12"/>
        <v>-1549.5461503276633</v>
      </c>
      <c r="Q48" s="20">
        <f t="shared" si="12"/>
        <v>-1577.5370733342165</v>
      </c>
      <c r="R48" s="20">
        <f t="shared" si="12"/>
        <v>-1606.087814800901</v>
      </c>
      <c r="S48" s="20">
        <f t="shared" si="12"/>
        <v>-1635.209571096919</v>
      </c>
      <c r="T48" s="20">
        <f t="shared" si="12"/>
        <v>-1664.9137625188578</v>
      </c>
      <c r="U48" s="20">
        <f t="shared" si="12"/>
        <v>-1695.2120377692347</v>
      </c>
      <c r="V48" s="20">
        <f t="shared" si="12"/>
        <v>-1726.1162785246192</v>
      </c>
      <c r="W48" s="20">
        <f t="shared" si="12"/>
        <v>-1757.6386040951115</v>
      </c>
      <c r="X48" s="20">
        <f t="shared" si="12"/>
        <v>-1789.7913761770139</v>
      </c>
      <c r="Y48" s="20">
        <f t="shared" si="12"/>
        <v>-1822.587203700554</v>
      </c>
      <c r="Z48" s="20">
        <f t="shared" si="12"/>
        <v>-1856.0389477745655</v>
      </c>
      <c r="AA48" s="20">
        <f t="shared" si="12"/>
        <v>-1890.1597267300567</v>
      </c>
    </row>
    <row r="49" spans="1:27" x14ac:dyDescent="0.35">
      <c r="A49" s="76" t="s">
        <v>33</v>
      </c>
      <c r="C49" s="28">
        <f t="shared" ref="C49:AA49" si="13">C35+C48</f>
        <v>695.62</v>
      </c>
      <c r="D49" s="28">
        <f t="shared" si="13"/>
        <v>717.58783500000004</v>
      </c>
      <c r="E49" s="28">
        <f t="shared" si="13"/>
        <v>739.96621565812495</v>
      </c>
      <c r="F49" s="28">
        <f t="shared" si="13"/>
        <v>762.76342670714257</v>
      </c>
      <c r="G49" s="28">
        <f t="shared" si="13"/>
        <v>785.98791680944487</v>
      </c>
      <c r="H49" s="28">
        <f t="shared" si="13"/>
        <v>809.64830181672369</v>
      </c>
      <c r="I49" s="28">
        <f t="shared" si="13"/>
        <v>833.75336809437692</v>
      </c>
      <c r="J49" s="28">
        <f t="shared" si="13"/>
        <v>858.31207591194493</v>
      </c>
      <c r="K49" s="28">
        <f t="shared" si="13"/>
        <v>883.33356290087636</v>
      </c>
      <c r="L49" s="28">
        <f t="shared" si="13"/>
        <v>908.82714758096654</v>
      </c>
      <c r="M49" s="28">
        <f t="shared" si="13"/>
        <v>-61099.285735001889</v>
      </c>
      <c r="N49" s="28">
        <f t="shared" si="13"/>
        <v>-215.14881743310161</v>
      </c>
      <c r="O49" s="28">
        <f t="shared" si="13"/>
        <v>-213.34907716207636</v>
      </c>
      <c r="P49" s="28">
        <f t="shared" si="13"/>
        <v>-211.53324366846277</v>
      </c>
      <c r="Q49" s="28">
        <f t="shared" si="13"/>
        <v>-209.70098279139029</v>
      </c>
      <c r="R49" s="28">
        <f t="shared" si="13"/>
        <v>-143.57142594247057</v>
      </c>
      <c r="S49" s="28">
        <f t="shared" si="13"/>
        <v>-142.02669083764226</v>
      </c>
      <c r="T49" s="28">
        <f t="shared" si="13"/>
        <v>-140.46288923300426</v>
      </c>
      <c r="U49" s="28">
        <f t="shared" si="13"/>
        <v>-138.87967501180788</v>
      </c>
      <c r="V49" s="28">
        <f t="shared" si="13"/>
        <v>-137.27669683419708</v>
      </c>
      <c r="W49" s="28">
        <f t="shared" si="13"/>
        <v>-135.65359806151673</v>
      </c>
      <c r="X49" s="28">
        <f t="shared" si="13"/>
        <v>-134.0100166797115</v>
      </c>
      <c r="Y49" s="28">
        <f t="shared" si="13"/>
        <v>-132.34558522179645</v>
      </c>
      <c r="Z49" s="28">
        <f t="shared" si="13"/>
        <v>-130.65993068940338</v>
      </c>
      <c r="AA49" s="28">
        <f t="shared" si="13"/>
        <v>-128.95267447338392</v>
      </c>
    </row>
    <row r="50" spans="1:27" x14ac:dyDescent="0.35">
      <c r="A50" s="76" t="s">
        <v>32</v>
      </c>
      <c r="C50" s="20">
        <f t="shared" ref="C50:AA50" si="14">C48+C46</f>
        <v>-233</v>
      </c>
      <c r="D50" s="20">
        <f t="shared" si="14"/>
        <v>-234.66</v>
      </c>
      <c r="E50" s="20">
        <f t="shared" si="14"/>
        <v>-236.35319999999999</v>
      </c>
      <c r="F50" s="20">
        <f t="shared" si="14"/>
        <v>-238.080264</v>
      </c>
      <c r="G50" s="20">
        <f t="shared" si="14"/>
        <v>-239.84186928000003</v>
      </c>
      <c r="H50" s="20">
        <f t="shared" si="14"/>
        <v>-241.63870666560001</v>
      </c>
      <c r="I50" s="20">
        <f t="shared" si="14"/>
        <v>-243.47148079891201</v>
      </c>
      <c r="J50" s="20">
        <f t="shared" si="14"/>
        <v>-245.34091041489023</v>
      </c>
      <c r="K50" s="20">
        <f t="shared" si="14"/>
        <v>-247.24772862318807</v>
      </c>
      <c r="L50" s="20">
        <f t="shared" si="14"/>
        <v>-249.19268319565182</v>
      </c>
      <c r="M50" s="20">
        <f t="shared" si="14"/>
        <v>-62351.176536859566</v>
      </c>
      <c r="N50" s="20">
        <f t="shared" si="14"/>
        <v>-1495.2000675967543</v>
      </c>
      <c r="O50" s="20">
        <f t="shared" si="14"/>
        <v>-1522.1040689486895</v>
      </c>
      <c r="P50" s="20">
        <f t="shared" si="14"/>
        <v>-1549.5461503276633</v>
      </c>
      <c r="Q50" s="20">
        <f t="shared" si="14"/>
        <v>-1577.5370733342165</v>
      </c>
      <c r="R50" s="20">
        <f t="shared" si="14"/>
        <v>-1606.087814800901</v>
      </c>
      <c r="S50" s="20">
        <f t="shared" si="14"/>
        <v>-1635.209571096919</v>
      </c>
      <c r="T50" s="20">
        <f t="shared" si="14"/>
        <v>-1664.9137625188578</v>
      </c>
      <c r="U50" s="20">
        <f t="shared" si="14"/>
        <v>-1695.2120377692347</v>
      </c>
      <c r="V50" s="20">
        <f t="shared" si="14"/>
        <v>-1726.1162785246192</v>
      </c>
      <c r="W50" s="20">
        <f t="shared" si="14"/>
        <v>-1757.6386040951115</v>
      </c>
      <c r="X50" s="20">
        <f t="shared" si="14"/>
        <v>-1789.7913761770139</v>
      </c>
      <c r="Y50" s="20">
        <f t="shared" si="14"/>
        <v>-1822.587203700554</v>
      </c>
      <c r="Z50" s="20">
        <f t="shared" si="14"/>
        <v>-1856.0389477745655</v>
      </c>
      <c r="AA50" s="20">
        <f t="shared" si="14"/>
        <v>-1890.1597267300567</v>
      </c>
    </row>
    <row r="51" spans="1:27" x14ac:dyDescent="0.35">
      <c r="A51" s="8"/>
      <c r="C51" s="20"/>
      <c r="D51" s="20"/>
      <c r="E51" s="20"/>
      <c r="F51" s="20"/>
      <c r="G51" s="20"/>
      <c r="H51" s="20"/>
      <c r="I51" s="5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</row>
    <row r="52" spans="1:27" s="11" customFormat="1" ht="13.15" x14ac:dyDescent="0.4">
      <c r="A52" s="11" t="s">
        <v>99</v>
      </c>
      <c r="C52" s="94">
        <f t="shared" ref="C52:AA52" si="15">C35/C50*-1</f>
        <v>3.9854935622317598</v>
      </c>
      <c r="D52" s="94">
        <f t="shared" si="15"/>
        <v>4.0579895806699051</v>
      </c>
      <c r="E52" s="94">
        <f t="shared" si="15"/>
        <v>4.1307645323106481</v>
      </c>
      <c r="F52" s="94">
        <f t="shared" si="15"/>
        <v>4.2038078834923605</v>
      </c>
      <c r="G52" s="94">
        <f t="shared" si="15"/>
        <v>4.2771088683096208</v>
      </c>
      <c r="H52" s="94">
        <f t="shared" si="15"/>
        <v>4.3506564945209014</v>
      </c>
      <c r="I52" s="94">
        <f t="shared" si="15"/>
        <v>4.4244395497926536</v>
      </c>
      <c r="J52" s="94">
        <f t="shared" si="15"/>
        <v>4.4984466082744765</v>
      </c>
      <c r="K52" s="94">
        <f t="shared" si="15"/>
        <v>4.5726660374991743</v>
      </c>
      <c r="L52" s="94">
        <f t="shared" si="15"/>
        <v>4.6470860056007641</v>
      </c>
      <c r="M52" s="94">
        <f t="shared" si="15"/>
        <v>2.0078062217761178E-2</v>
      </c>
      <c r="N52" s="94">
        <f t="shared" si="15"/>
        <v>0.8561070039416786</v>
      </c>
      <c r="O52" s="94">
        <f t="shared" si="15"/>
        <v>0.85983279230740406</v>
      </c>
      <c r="P52" s="94">
        <f t="shared" si="15"/>
        <v>0.86348696770100553</v>
      </c>
      <c r="Q52" s="94">
        <f t="shared" si="15"/>
        <v>0.86707064681010948</v>
      </c>
      <c r="R52" s="94">
        <f t="shared" si="15"/>
        <v>0.91060798505574336</v>
      </c>
      <c r="S52" s="94">
        <f t="shared" si="15"/>
        <v>0.91314465537137912</v>
      </c>
      <c r="T52" s="94">
        <f t="shared" si="15"/>
        <v>0.91563353466398334</v>
      </c>
      <c r="U52" s="94">
        <f t="shared" si="15"/>
        <v>0.91807533693863896</v>
      </c>
      <c r="V52" s="94">
        <f t="shared" si="15"/>
        <v>0.92047077097753061</v>
      </c>
      <c r="W52" s="94">
        <f t="shared" si="15"/>
        <v>0.92282054015799475</v>
      </c>
      <c r="X52" s="94">
        <f t="shared" si="15"/>
        <v>0.92512534228097787</v>
      </c>
      <c r="Y52" s="94">
        <f t="shared" si="15"/>
        <v>0.92738586940965906</v>
      </c>
      <c r="Z52" s="94">
        <f t="shared" si="15"/>
        <v>0.92960280771798043</v>
      </c>
      <c r="AA52" s="94">
        <f t="shared" si="15"/>
        <v>0.93177683734883621</v>
      </c>
    </row>
    <row r="53" spans="1:27" ht="13.15" x14ac:dyDescent="0.4">
      <c r="A53" s="7" t="s">
        <v>100</v>
      </c>
      <c r="C53" s="5"/>
      <c r="D53" s="5"/>
      <c r="E53" s="5"/>
      <c r="F53" s="5"/>
      <c r="G53" s="5"/>
      <c r="H53" s="5"/>
      <c r="I53" s="20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spans="1:27" x14ac:dyDescent="0.35">
      <c r="A54" s="86" t="s">
        <v>116</v>
      </c>
      <c r="C54" s="20">
        <f>C35+C50</f>
        <v>695.62</v>
      </c>
      <c r="D54" s="20">
        <f t="shared" ref="D54:AA54" si="16">D35</f>
        <v>952.24783500000001</v>
      </c>
      <c r="E54" s="20">
        <f t="shared" si="16"/>
        <v>976.31941565812497</v>
      </c>
      <c r="F54" s="20">
        <f t="shared" si="16"/>
        <v>1000.8436907071425</v>
      </c>
      <c r="G54" s="20">
        <f t="shared" si="16"/>
        <v>1025.829786089445</v>
      </c>
      <c r="H54" s="20">
        <f t="shared" si="16"/>
        <v>1051.2870084823237</v>
      </c>
      <c r="I54" s="20">
        <f t="shared" si="16"/>
        <v>1077.2248488932889</v>
      </c>
      <c r="J54" s="20">
        <f t="shared" si="16"/>
        <v>1103.6529863268352</v>
      </c>
      <c r="K54" s="20">
        <f t="shared" si="16"/>
        <v>1130.5812915240645</v>
      </c>
      <c r="L54" s="20">
        <f t="shared" si="16"/>
        <v>1158.0198307766184</v>
      </c>
      <c r="M54" s="20">
        <f t="shared" si="16"/>
        <v>1251.8908018576774</v>
      </c>
      <c r="N54" s="20">
        <f t="shared" si="16"/>
        <v>1280.0512501636526</v>
      </c>
      <c r="O54" s="20">
        <f t="shared" si="16"/>
        <v>1308.7549917866131</v>
      </c>
      <c r="P54" s="20">
        <f t="shared" si="16"/>
        <v>1338.0129066592006</v>
      </c>
      <c r="Q54" s="20">
        <f t="shared" si="16"/>
        <v>1367.8360905428262</v>
      </c>
      <c r="R54" s="20">
        <f t="shared" si="16"/>
        <v>1462.5163888584304</v>
      </c>
      <c r="S54" s="20">
        <f t="shared" si="16"/>
        <v>1493.1828802592768</v>
      </c>
      <c r="T54" s="20">
        <f t="shared" si="16"/>
        <v>1524.4508732858535</v>
      </c>
      <c r="U54" s="20">
        <f t="shared" si="16"/>
        <v>1556.3323627574268</v>
      </c>
      <c r="V54" s="20">
        <f t="shared" si="16"/>
        <v>1588.8395816904222</v>
      </c>
      <c r="W54" s="20">
        <f t="shared" si="16"/>
        <v>1621.9850060335948</v>
      </c>
      <c r="X54" s="20">
        <f t="shared" si="16"/>
        <v>1655.7813594973024</v>
      </c>
      <c r="Y54" s="20">
        <f t="shared" si="16"/>
        <v>1690.2416184787576</v>
      </c>
      <c r="Z54" s="20">
        <f t="shared" si="16"/>
        <v>1725.3790170851621</v>
      </c>
      <c r="AA54" s="20">
        <f t="shared" si="16"/>
        <v>1761.2070522566728</v>
      </c>
    </row>
    <row r="55" spans="1:27" x14ac:dyDescent="0.35">
      <c r="A55" s="73" t="s">
        <v>58</v>
      </c>
      <c r="C55" s="28">
        <f t="shared" ref="C55:H55" si="17">SUM(C29,C30)</f>
        <v>6006</v>
      </c>
      <c r="D55" s="28">
        <f t="shared" si="17"/>
        <v>0</v>
      </c>
      <c r="E55" s="28">
        <f t="shared" si="17"/>
        <v>0</v>
      </c>
      <c r="F55" s="28">
        <f t="shared" si="17"/>
        <v>0</v>
      </c>
      <c r="G55" s="28">
        <f t="shared" si="17"/>
        <v>0</v>
      </c>
      <c r="H55" s="28">
        <f t="shared" si="17"/>
        <v>0</v>
      </c>
      <c r="I55" s="28">
        <f t="shared" ref="I55:AA55" si="18">SUM(I26,I29,I30)</f>
        <v>0</v>
      </c>
      <c r="J55" s="28">
        <f t="shared" si="18"/>
        <v>0</v>
      </c>
      <c r="K55" s="28">
        <f t="shared" si="18"/>
        <v>0</v>
      </c>
      <c r="L55" s="28">
        <f t="shared" si="18"/>
        <v>0</v>
      </c>
      <c r="M55" s="28">
        <f t="shared" si="18"/>
        <v>0</v>
      </c>
      <c r="N55" s="28">
        <f t="shared" si="18"/>
        <v>0</v>
      </c>
      <c r="O55" s="28">
        <f t="shared" si="18"/>
        <v>0</v>
      </c>
      <c r="P55" s="28">
        <f t="shared" si="18"/>
        <v>0</v>
      </c>
      <c r="Q55" s="28">
        <f t="shared" si="18"/>
        <v>0</v>
      </c>
      <c r="R55" s="28">
        <f t="shared" si="18"/>
        <v>0</v>
      </c>
      <c r="S55" s="28">
        <f t="shared" si="18"/>
        <v>0</v>
      </c>
      <c r="T55" s="28">
        <f t="shared" si="18"/>
        <v>0</v>
      </c>
      <c r="U55" s="28">
        <f t="shared" si="18"/>
        <v>0</v>
      </c>
      <c r="V55" s="28">
        <f t="shared" si="18"/>
        <v>0</v>
      </c>
      <c r="W55" s="28">
        <f t="shared" si="18"/>
        <v>0</v>
      </c>
      <c r="X55" s="28">
        <f t="shared" si="18"/>
        <v>0</v>
      </c>
      <c r="Y55" s="28">
        <f t="shared" si="18"/>
        <v>0</v>
      </c>
      <c r="Z55" s="28">
        <f t="shared" si="18"/>
        <v>0</v>
      </c>
      <c r="AA55" s="28">
        <f t="shared" si="18"/>
        <v>0</v>
      </c>
    </row>
    <row r="56" spans="1:27" x14ac:dyDescent="0.35">
      <c r="A56" s="73" t="s">
        <v>59</v>
      </c>
      <c r="B56" s="20">
        <f>B14*-1</f>
        <v>-23100</v>
      </c>
      <c r="C56" s="1">
        <f t="shared" ref="C56:AA56" si="19">C54+C55+C28</f>
        <v>6506.8463999999994</v>
      </c>
      <c r="D56" s="1">
        <f t="shared" si="19"/>
        <v>751.32324119999998</v>
      </c>
      <c r="E56" s="1">
        <f t="shared" si="19"/>
        <v>769.12887527384999</v>
      </c>
      <c r="F56" s="1">
        <f t="shared" si="19"/>
        <v>787.26993122914257</v>
      </c>
      <c r="G56" s="1">
        <f t="shared" si="19"/>
        <v>805.75316938280037</v>
      </c>
      <c r="H56" s="1">
        <f t="shared" si="19"/>
        <v>824.58548397364098</v>
      </c>
      <c r="I56" s="1">
        <f t="shared" si="19"/>
        <v>1077.2248488932889</v>
      </c>
      <c r="J56" s="1">
        <f t="shared" si="19"/>
        <v>1103.6529863268352</v>
      </c>
      <c r="K56" s="1">
        <f t="shared" si="19"/>
        <v>1130.5812915240645</v>
      </c>
      <c r="L56" s="1">
        <f t="shared" si="19"/>
        <v>1158.0198307766184</v>
      </c>
      <c r="M56" s="1">
        <f t="shared" si="19"/>
        <v>1251.8908018576774</v>
      </c>
      <c r="N56" s="1">
        <f t="shared" si="19"/>
        <v>1280.0512501636526</v>
      </c>
      <c r="O56" s="1">
        <f t="shared" si="19"/>
        <v>1308.7549917866131</v>
      </c>
      <c r="P56" s="1">
        <f t="shared" si="19"/>
        <v>1338.0129066592006</v>
      </c>
      <c r="Q56" s="1">
        <f t="shared" si="19"/>
        <v>1367.8360905428262</v>
      </c>
      <c r="R56" s="1">
        <f t="shared" si="19"/>
        <v>1462.5163888584304</v>
      </c>
      <c r="S56" s="1">
        <f t="shared" si="19"/>
        <v>1493.1828802592768</v>
      </c>
      <c r="T56" s="1">
        <f t="shared" si="19"/>
        <v>1524.4508732858535</v>
      </c>
      <c r="U56" s="1">
        <f t="shared" si="19"/>
        <v>1556.3323627574268</v>
      </c>
      <c r="V56" s="1">
        <f t="shared" si="19"/>
        <v>1588.8395816904222</v>
      </c>
      <c r="W56" s="1">
        <f t="shared" si="19"/>
        <v>1621.9850060335948</v>
      </c>
      <c r="X56" s="1">
        <f t="shared" si="19"/>
        <v>1655.7813594973024</v>
      </c>
      <c r="Y56" s="1">
        <f t="shared" si="19"/>
        <v>1690.2416184787576</v>
      </c>
      <c r="Z56" s="1">
        <f t="shared" si="19"/>
        <v>1725.3790170851621</v>
      </c>
      <c r="AA56" s="1">
        <f t="shared" si="19"/>
        <v>1761.2070522566728</v>
      </c>
    </row>
    <row r="58" spans="1:27" x14ac:dyDescent="0.35">
      <c r="A58" s="8"/>
      <c r="B58" s="6"/>
    </row>
    <row r="59" spans="1:27" ht="13.15" thickBot="1" x14ac:dyDescent="0.4">
      <c r="A59" s="14" t="s">
        <v>115</v>
      </c>
      <c r="B59" s="6"/>
      <c r="C59" s="1">
        <f>C56</f>
        <v>6506.8463999999994</v>
      </c>
      <c r="D59" s="1">
        <f>C59+D56</f>
        <v>7258.1696411999992</v>
      </c>
      <c r="E59" s="1">
        <f t="shared" ref="E59:AA59" si="20">D59+E56</f>
        <v>8027.2985164738493</v>
      </c>
      <c r="F59" s="1">
        <f t="shared" si="20"/>
        <v>8814.5684477029918</v>
      </c>
      <c r="G59" s="1">
        <f t="shared" si="20"/>
        <v>9620.3216170857922</v>
      </c>
      <c r="H59" s="1">
        <f t="shared" si="20"/>
        <v>10444.907101059433</v>
      </c>
      <c r="I59" s="1">
        <f t="shared" si="20"/>
        <v>11522.131949952722</v>
      </c>
      <c r="J59" s="1">
        <f t="shared" si="20"/>
        <v>12625.784936279557</v>
      </c>
      <c r="K59" s="1">
        <f t="shared" si="20"/>
        <v>13756.366227803621</v>
      </c>
      <c r="L59" s="1">
        <f t="shared" si="20"/>
        <v>14914.386058580239</v>
      </c>
      <c r="M59" s="1">
        <f t="shared" si="20"/>
        <v>16166.276860437916</v>
      </c>
      <c r="N59" s="1">
        <f t="shared" si="20"/>
        <v>17446.328110601567</v>
      </c>
      <c r="O59" s="1">
        <f t="shared" si="20"/>
        <v>18755.08310238818</v>
      </c>
      <c r="P59" s="1">
        <f t="shared" si="20"/>
        <v>20093.096009047382</v>
      </c>
      <c r="Q59" s="1">
        <f t="shared" si="20"/>
        <v>21460.932099590209</v>
      </c>
      <c r="R59" s="1">
        <f t="shared" si="20"/>
        <v>22923.448488448641</v>
      </c>
      <c r="S59" s="1">
        <f t="shared" si="20"/>
        <v>24416.631368707916</v>
      </c>
      <c r="T59" s="1">
        <f t="shared" si="20"/>
        <v>25941.082241993769</v>
      </c>
      <c r="U59" s="1">
        <f t="shared" si="20"/>
        <v>27497.414604751197</v>
      </c>
      <c r="V59" s="1">
        <f t="shared" si="20"/>
        <v>29086.25418644162</v>
      </c>
      <c r="W59" s="1">
        <f t="shared" si="20"/>
        <v>30708.239192475216</v>
      </c>
      <c r="X59" s="1">
        <f t="shared" si="20"/>
        <v>32364.020551972517</v>
      </c>
      <c r="Y59" s="1">
        <f t="shared" si="20"/>
        <v>34054.262170451271</v>
      </c>
      <c r="Z59" s="1">
        <f t="shared" si="20"/>
        <v>35779.641187536436</v>
      </c>
      <c r="AA59" s="1">
        <f t="shared" si="20"/>
        <v>37540.848239793107</v>
      </c>
    </row>
    <row r="60" spans="1:27" ht="14.25" thickBot="1" x14ac:dyDescent="0.45">
      <c r="A60" s="79" t="s">
        <v>101</v>
      </c>
      <c r="B60" s="71"/>
      <c r="C60" s="64">
        <v>1</v>
      </c>
      <c r="D60" s="64">
        <f>C60+1</f>
        <v>2</v>
      </c>
      <c r="E60" s="64">
        <f t="shared" ref="E60" si="21">D60+1</f>
        <v>3</v>
      </c>
      <c r="F60" s="64">
        <f t="shared" ref="F60" si="22">E60+1</f>
        <v>4</v>
      </c>
      <c r="G60" s="64">
        <f t="shared" ref="G60" si="23">F60+1</f>
        <v>5</v>
      </c>
      <c r="H60" s="64">
        <f t="shared" ref="H60" si="24">G60+1</f>
        <v>6</v>
      </c>
      <c r="I60" s="64">
        <f>H60+1</f>
        <v>7</v>
      </c>
      <c r="J60" s="64">
        <f>I60+1</f>
        <v>8</v>
      </c>
      <c r="K60" s="64">
        <f t="shared" ref="K60" si="25">J60+1</f>
        <v>9</v>
      </c>
      <c r="L60" s="64">
        <f t="shared" ref="L60" si="26">K60+1</f>
        <v>10</v>
      </c>
      <c r="M60" s="64">
        <f t="shared" ref="M60" si="27">L60+1</f>
        <v>11</v>
      </c>
      <c r="N60" s="64">
        <f t="shared" ref="N60" si="28">M60+1</f>
        <v>12</v>
      </c>
      <c r="O60" s="64">
        <f t="shared" ref="O60" si="29">N60+1</f>
        <v>13</v>
      </c>
      <c r="P60" s="64">
        <f t="shared" ref="P60" si="30">O60+1</f>
        <v>14</v>
      </c>
      <c r="Q60" s="64">
        <f t="shared" ref="Q60" si="31">P60+1</f>
        <v>15</v>
      </c>
      <c r="R60" s="64">
        <f t="shared" ref="R60" si="32">Q60+1</f>
        <v>16</v>
      </c>
      <c r="S60" s="64">
        <f t="shared" ref="S60" si="33">R60+1</f>
        <v>17</v>
      </c>
      <c r="T60" s="64">
        <f t="shared" ref="T60" si="34">S60+1</f>
        <v>18</v>
      </c>
      <c r="U60" s="64">
        <f t="shared" ref="U60" si="35">T60+1</f>
        <v>19</v>
      </c>
      <c r="V60" s="64">
        <f t="shared" ref="V60" si="36">U60+1</f>
        <v>20</v>
      </c>
      <c r="W60" s="64">
        <f t="shared" ref="W60" si="37">V60+1</f>
        <v>21</v>
      </c>
      <c r="X60" s="64">
        <f t="shared" ref="X60" si="38">W60+1</f>
        <v>22</v>
      </c>
      <c r="Y60" s="64">
        <f t="shared" ref="Y60" si="39">X60+1</f>
        <v>23</v>
      </c>
      <c r="Z60" s="64">
        <f t="shared" ref="Z60" si="40">Y60+1</f>
        <v>24</v>
      </c>
      <c r="AA60" s="64">
        <f t="shared" ref="AA60" si="41">Z60+1</f>
        <v>25</v>
      </c>
    </row>
    <row r="61" spans="1:27" x14ac:dyDescent="0.35">
      <c r="D61" s="1"/>
      <c r="E61" s="21"/>
      <c r="F61" s="21"/>
      <c r="J61" s="22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7" x14ac:dyDescent="0.35">
      <c r="I62" s="1"/>
      <c r="J62" s="22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7" x14ac:dyDescent="0.35">
      <c r="G63" s="1"/>
      <c r="H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7" x14ac:dyDescent="0.35">
      <c r="G64" s="1"/>
      <c r="H64" s="1"/>
      <c r="J64" s="1"/>
      <c r="L64" s="1"/>
    </row>
    <row r="67" spans="3:6" x14ac:dyDescent="0.35">
      <c r="D67" s="1"/>
      <c r="F67" s="1"/>
    </row>
    <row r="68" spans="3:6" x14ac:dyDescent="0.35">
      <c r="F68" s="1"/>
    </row>
    <row r="69" spans="3:6" x14ac:dyDescent="0.35">
      <c r="C69" s="1"/>
      <c r="D69" s="1"/>
      <c r="F69" s="1"/>
    </row>
  </sheetData>
  <mergeCells count="9">
    <mergeCell ref="A5:B6"/>
    <mergeCell ref="AC29:AE29"/>
    <mergeCell ref="A1:A4"/>
    <mergeCell ref="Q4:S4"/>
    <mergeCell ref="Q5:R5"/>
    <mergeCell ref="Q6:R6"/>
    <mergeCell ref="Q7:R7"/>
    <mergeCell ref="Q8:R8"/>
    <mergeCell ref="H2:O3"/>
  </mergeCells>
  <conditionalFormatting sqref="C59">
    <cfRule type="cellIs" dxfId="2" priority="3" operator="lessThan">
      <formula>-$B$56</formula>
    </cfRule>
  </conditionalFormatting>
  <conditionalFormatting sqref="D59">
    <cfRule type="cellIs" dxfId="1" priority="2" operator="lessThan">
      <formula>-$B$56</formula>
    </cfRule>
  </conditionalFormatting>
  <conditionalFormatting sqref="E59:AA59">
    <cfRule type="cellIs" dxfId="0" priority="1" operator="lessThan">
      <formula>-$B$56</formula>
    </cfRule>
  </conditionalFormatting>
  <pageMargins left="0.7" right="0.7" top="0.75" bottom="0.75" header="0.3" footer="0.3"/>
  <pageSetup paperSize="17" scale="5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23146-C7F1-4D40-AC81-199DD6DFA7CE}">
  <dimension ref="C2:G13"/>
  <sheetViews>
    <sheetView workbookViewId="0">
      <selection activeCell="I14" sqref="I14"/>
    </sheetView>
  </sheetViews>
  <sheetFormatPr defaultRowHeight="12.75" x14ac:dyDescent="0.35"/>
  <cols>
    <col min="4" max="4" width="8.796875" style="68" bestFit="1" customWidth="1"/>
    <col min="5" max="5" width="18.53125" style="68" bestFit="1" customWidth="1"/>
    <col min="6" max="6" width="15.46484375" style="68" customWidth="1"/>
    <col min="7" max="7" width="43.796875" bestFit="1" customWidth="1"/>
    <col min="8" max="8" width="32" bestFit="1" customWidth="1"/>
  </cols>
  <sheetData>
    <row r="2" spans="3:7" ht="24.75" customHeight="1" x14ac:dyDescent="0.4">
      <c r="C2" s="112" t="s">
        <v>119</v>
      </c>
      <c r="D2" s="112" t="s">
        <v>121</v>
      </c>
      <c r="E2" s="112" t="s">
        <v>125</v>
      </c>
      <c r="F2" s="113" t="s">
        <v>120</v>
      </c>
      <c r="G2" s="114" t="s">
        <v>122</v>
      </c>
    </row>
    <row r="3" spans="3:7" x14ac:dyDescent="0.35">
      <c r="C3" s="108">
        <v>2018</v>
      </c>
      <c r="D3" s="108">
        <v>1</v>
      </c>
      <c r="E3" s="111" t="s">
        <v>126</v>
      </c>
      <c r="F3" s="108">
        <v>10.9</v>
      </c>
      <c r="G3" s="111" t="s">
        <v>136</v>
      </c>
    </row>
    <row r="4" spans="3:7" x14ac:dyDescent="0.35">
      <c r="C4" s="108">
        <v>2019</v>
      </c>
      <c r="D4" s="108">
        <v>2</v>
      </c>
      <c r="E4" s="111" t="s">
        <v>127</v>
      </c>
      <c r="F4" s="108">
        <v>11.3</v>
      </c>
      <c r="G4" s="111" t="s">
        <v>136</v>
      </c>
    </row>
    <row r="5" spans="3:7" x14ac:dyDescent="0.35">
      <c r="C5" s="108">
        <v>2020</v>
      </c>
      <c r="D5" s="108">
        <v>3</v>
      </c>
      <c r="E5" s="111" t="s">
        <v>128</v>
      </c>
      <c r="F5" s="108">
        <v>12.9</v>
      </c>
      <c r="G5" s="111" t="s">
        <v>136</v>
      </c>
    </row>
    <row r="6" spans="3:7" x14ac:dyDescent="0.35">
      <c r="C6" s="108">
        <v>2021</v>
      </c>
      <c r="D6" s="108">
        <v>4</v>
      </c>
      <c r="E6" s="111" t="s">
        <v>129</v>
      </c>
      <c r="F6" s="108">
        <v>13.5</v>
      </c>
      <c r="G6" s="111" t="s">
        <v>136</v>
      </c>
    </row>
    <row r="7" spans="3:7" x14ac:dyDescent="0.35">
      <c r="C7" s="108">
        <v>2022</v>
      </c>
      <c r="D7" s="108">
        <v>5</v>
      </c>
      <c r="E7" s="111" t="s">
        <v>130</v>
      </c>
      <c r="F7" s="108">
        <v>14</v>
      </c>
      <c r="G7" s="111" t="s">
        <v>136</v>
      </c>
    </row>
    <row r="8" spans="3:7" x14ac:dyDescent="0.35">
      <c r="C8" s="108">
        <v>2023</v>
      </c>
      <c r="D8" s="108">
        <v>6</v>
      </c>
      <c r="E8" s="111" t="s">
        <v>131</v>
      </c>
      <c r="F8" s="108">
        <v>14.6</v>
      </c>
      <c r="G8" s="111" t="s">
        <v>138</v>
      </c>
    </row>
    <row r="9" spans="3:7" x14ac:dyDescent="0.35">
      <c r="C9" s="108">
        <v>2023</v>
      </c>
      <c r="D9" s="108">
        <v>7</v>
      </c>
      <c r="E9" s="111" t="s">
        <v>132</v>
      </c>
      <c r="F9" s="108">
        <v>15.1</v>
      </c>
      <c r="G9" s="107" t="s">
        <v>133</v>
      </c>
    </row>
    <row r="10" spans="3:7" x14ac:dyDescent="0.35">
      <c r="C10" s="108">
        <v>2023</v>
      </c>
      <c r="D10" s="108">
        <v>8</v>
      </c>
      <c r="E10" s="111" t="s">
        <v>132</v>
      </c>
      <c r="F10" s="108">
        <v>16.2</v>
      </c>
      <c r="G10" s="111" t="s">
        <v>137</v>
      </c>
    </row>
    <row r="11" spans="3:7" x14ac:dyDescent="0.35">
      <c r="C11" s="108">
        <v>2024</v>
      </c>
      <c r="D11" s="108">
        <v>9</v>
      </c>
      <c r="E11" s="107" t="s">
        <v>118</v>
      </c>
      <c r="F11" s="108">
        <v>18.100000000000001</v>
      </c>
      <c r="G11" s="107" t="s">
        <v>134</v>
      </c>
    </row>
    <row r="12" spans="3:7" x14ac:dyDescent="0.35">
      <c r="C12" s="108">
        <v>2024</v>
      </c>
      <c r="D12" s="108">
        <v>10</v>
      </c>
      <c r="E12" s="107" t="s">
        <v>118</v>
      </c>
      <c r="F12" s="108">
        <v>19.3</v>
      </c>
      <c r="G12" s="111" t="s">
        <v>137</v>
      </c>
    </row>
    <row r="13" spans="3:7" x14ac:dyDescent="0.35">
      <c r="C13" s="108">
        <v>2024</v>
      </c>
      <c r="D13" s="108">
        <v>11</v>
      </c>
      <c r="E13" s="107" t="s">
        <v>118</v>
      </c>
      <c r="F13" s="108">
        <v>20</v>
      </c>
      <c r="G13" s="107" t="s">
        <v>135</v>
      </c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40252-7702-40E3-8565-F2FD8CC59451}">
  <dimension ref="C2:M13"/>
  <sheetViews>
    <sheetView topLeftCell="B1" workbookViewId="0">
      <selection activeCell="J11" sqref="J11"/>
    </sheetView>
  </sheetViews>
  <sheetFormatPr defaultRowHeight="12.75" x14ac:dyDescent="0.35"/>
  <cols>
    <col min="4" max="4" width="8.796875" style="68" bestFit="1" customWidth="1"/>
    <col min="5" max="5" width="18.53125" style="68" bestFit="1" customWidth="1"/>
    <col min="6" max="6" width="15.46484375" style="68" customWidth="1"/>
    <col min="7" max="7" width="18.53125" customWidth="1"/>
    <col min="8" max="8" width="43.796875" bestFit="1" customWidth="1"/>
    <col min="9" max="9" width="32" bestFit="1" customWidth="1"/>
  </cols>
  <sheetData>
    <row r="2" spans="3:13" ht="24.75" customHeight="1" x14ac:dyDescent="0.4">
      <c r="C2" s="112" t="s">
        <v>119</v>
      </c>
      <c r="D2" s="112" t="s">
        <v>121</v>
      </c>
      <c r="E2" s="112" t="s">
        <v>125</v>
      </c>
      <c r="F2" s="113" t="s">
        <v>120</v>
      </c>
      <c r="G2" s="113" t="s">
        <v>123</v>
      </c>
      <c r="H2" s="114" t="s">
        <v>122</v>
      </c>
      <c r="L2" t="s">
        <v>119</v>
      </c>
      <c r="M2" t="s">
        <v>139</v>
      </c>
    </row>
    <row r="3" spans="3:13" x14ac:dyDescent="0.35">
      <c r="C3" s="108">
        <v>2018</v>
      </c>
      <c r="D3" s="108">
        <v>1</v>
      </c>
      <c r="E3" s="111" t="s">
        <v>126</v>
      </c>
      <c r="F3" s="108">
        <v>10.9</v>
      </c>
      <c r="G3" s="109">
        <v>19.2</v>
      </c>
      <c r="H3" s="111" t="s">
        <v>136</v>
      </c>
      <c r="L3" s="108">
        <v>2018</v>
      </c>
      <c r="M3" s="108">
        <v>10.9</v>
      </c>
    </row>
    <row r="4" spans="3:13" x14ac:dyDescent="0.35">
      <c r="C4" s="108">
        <v>2019</v>
      </c>
      <c r="D4" s="108">
        <v>2</v>
      </c>
      <c r="E4" s="111" t="s">
        <v>127</v>
      </c>
      <c r="F4" s="108">
        <v>11.3</v>
      </c>
      <c r="G4" s="109">
        <v>18</v>
      </c>
      <c r="H4" s="111" t="s">
        <v>136</v>
      </c>
      <c r="L4" s="108">
        <v>2019</v>
      </c>
      <c r="M4" s="108">
        <v>11.3</v>
      </c>
    </row>
    <row r="5" spans="3:13" x14ac:dyDescent="0.35">
      <c r="C5" s="108">
        <v>2020</v>
      </c>
      <c r="D5" s="108">
        <v>3</v>
      </c>
      <c r="E5" s="111" t="s">
        <v>128</v>
      </c>
      <c r="F5" s="108">
        <v>12.9</v>
      </c>
      <c r="G5" s="109">
        <f>(13.45+9.3+2.6)*12/19</f>
        <v>16.010526315789477</v>
      </c>
      <c r="H5" s="111" t="s">
        <v>136</v>
      </c>
      <c r="L5" s="108">
        <v>2020</v>
      </c>
      <c r="M5" s="108">
        <v>12.9</v>
      </c>
    </row>
    <row r="6" spans="3:13" x14ac:dyDescent="0.35">
      <c r="C6" s="108">
        <v>2021</v>
      </c>
      <c r="D6" s="108">
        <v>4</v>
      </c>
      <c r="E6" s="111" t="s">
        <v>129</v>
      </c>
      <c r="F6" s="108">
        <v>13.5</v>
      </c>
      <c r="G6" s="109">
        <f>(7.9+9.14)*12/7</f>
        <v>29.21142857142857</v>
      </c>
      <c r="H6" s="111" t="s">
        <v>136</v>
      </c>
      <c r="L6" s="108">
        <v>2021</v>
      </c>
      <c r="M6" s="108">
        <v>13.5</v>
      </c>
    </row>
    <row r="7" spans="3:13" x14ac:dyDescent="0.35">
      <c r="C7" s="108">
        <v>2022</v>
      </c>
      <c r="D7" s="108">
        <v>5</v>
      </c>
      <c r="E7" s="111" t="s">
        <v>130</v>
      </c>
      <c r="F7" s="108">
        <v>14</v>
      </c>
      <c r="G7" s="109">
        <f>(7.1+5.2)*(12/8)</f>
        <v>18.450000000000003</v>
      </c>
      <c r="H7" s="111" t="s">
        <v>136</v>
      </c>
      <c r="L7" s="108">
        <v>2022</v>
      </c>
      <c r="M7" s="108">
        <v>14</v>
      </c>
    </row>
    <row r="8" spans="3:13" x14ac:dyDescent="0.35">
      <c r="C8" s="108">
        <v>2023</v>
      </c>
      <c r="D8" s="108">
        <v>6</v>
      </c>
      <c r="E8" s="111" t="s">
        <v>131</v>
      </c>
      <c r="F8" s="108">
        <v>14.6</v>
      </c>
      <c r="G8" s="110" t="s">
        <v>124</v>
      </c>
      <c r="H8" s="111" t="s">
        <v>138</v>
      </c>
      <c r="L8" t="s">
        <v>140</v>
      </c>
      <c r="M8">
        <f>F9</f>
        <v>15.1</v>
      </c>
    </row>
    <row r="9" spans="3:13" x14ac:dyDescent="0.35">
      <c r="C9" s="108">
        <v>2023</v>
      </c>
      <c r="D9" s="108">
        <v>7</v>
      </c>
      <c r="E9" s="111" t="s">
        <v>132</v>
      </c>
      <c r="F9" s="108">
        <v>15.1</v>
      </c>
      <c r="G9" s="110" t="s">
        <v>124</v>
      </c>
      <c r="H9" s="107" t="s">
        <v>133</v>
      </c>
      <c r="L9" s="115" t="s">
        <v>141</v>
      </c>
      <c r="M9">
        <f>F11</f>
        <v>18.100000000000001</v>
      </c>
    </row>
    <row r="10" spans="3:13" x14ac:dyDescent="0.35">
      <c r="C10" s="108">
        <v>2023</v>
      </c>
      <c r="D10" s="108">
        <v>8</v>
      </c>
      <c r="E10" s="111" t="s">
        <v>132</v>
      </c>
      <c r="F10" s="108">
        <v>16.2</v>
      </c>
      <c r="G10" s="110" t="s">
        <v>124</v>
      </c>
      <c r="H10" s="111" t="s">
        <v>137</v>
      </c>
    </row>
    <row r="11" spans="3:13" x14ac:dyDescent="0.35">
      <c r="C11" s="108">
        <v>2024</v>
      </c>
      <c r="D11" s="108">
        <v>9</v>
      </c>
      <c r="E11" s="107" t="s">
        <v>118</v>
      </c>
      <c r="F11" s="108">
        <v>18.100000000000001</v>
      </c>
      <c r="G11" s="110" t="s">
        <v>124</v>
      </c>
      <c r="H11" s="107" t="s">
        <v>134</v>
      </c>
    </row>
    <row r="12" spans="3:13" x14ac:dyDescent="0.35">
      <c r="C12" s="108">
        <v>2024</v>
      </c>
      <c r="D12" s="108">
        <v>10</v>
      </c>
      <c r="E12" s="107" t="s">
        <v>118</v>
      </c>
      <c r="F12" s="108">
        <v>19.3</v>
      </c>
      <c r="G12" s="110" t="s">
        <v>124</v>
      </c>
      <c r="H12" s="111" t="s">
        <v>137</v>
      </c>
    </row>
    <row r="13" spans="3:13" x14ac:dyDescent="0.35">
      <c r="C13" s="108">
        <v>2024</v>
      </c>
      <c r="D13" s="108">
        <v>11</v>
      </c>
      <c r="E13" s="107" t="s">
        <v>118</v>
      </c>
      <c r="F13" s="108">
        <v>20</v>
      </c>
      <c r="G13" s="110" t="s">
        <v>124</v>
      </c>
      <c r="H13" s="107" t="s">
        <v>135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Inputs &amp; Generation</vt:lpstr>
      <vt:lpstr>As Net Metering Customer</vt:lpstr>
      <vt:lpstr>As Direct Owner RESI</vt:lpstr>
      <vt:lpstr>Results</vt:lpstr>
      <vt:lpstr>Results (2)</vt:lpstr>
      <vt:lpstr>'Inputs &amp; Generation'!Print_Area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Teller</dc:creator>
  <cp:lastModifiedBy>Jim Merriam</cp:lastModifiedBy>
  <cp:lastPrinted>2022-03-22T14:13:41Z</cp:lastPrinted>
  <dcterms:created xsi:type="dcterms:W3CDTF">2013-04-06T14:25:23Z</dcterms:created>
  <dcterms:modified xsi:type="dcterms:W3CDTF">2022-04-21T17:42:38Z</dcterms:modified>
</cp:coreProperties>
</file>