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44a2f1673b332bc/Documents/Regulatory/2022 Biennial Review/"/>
    </mc:Choice>
  </mc:AlternateContent>
  <xr:revisionPtr revIDLastSave="0" documentId="8_{350FBFE9-1A8C-4411-9995-AB0D71244559}" xr6:coauthVersionLast="47" xr6:coauthVersionMax="47" xr10:uidLastSave="{00000000-0000-0000-0000-000000000000}"/>
  <workbookProtection workbookAlgorithmName="SHA-512" workbookHashValue="UpPu8PQkM8ZiieH6PWQApW++1fT3oPuJREx+vbOZ5akAB20YTcRHJuajNlLgWk4pMM7w+sWJptAZmeODbc+gAw==" workbookSaltValue="cEUqFVjl+PaL3F5eg6fhig==" workbookSpinCount="100000" lockStructure="1"/>
  <bookViews>
    <workbookView xWindow="40920" yWindow="-120" windowWidth="29040" windowHeight="15720" tabRatio="644" activeTab="3" xr2:uid="{00000000-000D-0000-FFFF-FFFF00000000}"/>
  </bookViews>
  <sheets>
    <sheet name="Inputs &amp; Generation" sheetId="7" r:id="rId1"/>
    <sheet name="As Net Metering Customer" sheetId="16" state="hidden" r:id="rId2"/>
    <sheet name="As Direct Owner COMM" sheetId="17" r:id="rId3"/>
    <sheet name="Results" sheetId="18" r:id="rId4"/>
  </sheets>
  <definedNames>
    <definedName name="_xlnm.Print_Area" localSheetId="0">'Inputs &amp; Generation'!$A$1:$H$57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3" i="7" l="1"/>
  <c r="I7" i="18"/>
  <c r="I6" i="18" l="1"/>
  <c r="I5" i="18"/>
  <c r="C38" i="17" l="1"/>
  <c r="Q15" i="16" l="1"/>
  <c r="U15" i="16" s="1"/>
  <c r="R15" i="16"/>
  <c r="S15" i="16"/>
  <c r="T15" i="16"/>
  <c r="V15" i="16"/>
  <c r="W15" i="16" s="1"/>
  <c r="X15" i="16"/>
  <c r="Z15" i="16"/>
  <c r="B15" i="16"/>
  <c r="D59" i="17"/>
  <c r="E59" i="17" s="1"/>
  <c r="F59" i="17" s="1"/>
  <c r="G59" i="17" s="1"/>
  <c r="H59" i="17" s="1"/>
  <c r="I59" i="17" s="1"/>
  <c r="J59" i="17" s="1"/>
  <c r="K59" i="17" s="1"/>
  <c r="L59" i="17" s="1"/>
  <c r="M59" i="17" s="1"/>
  <c r="N59" i="17" s="1"/>
  <c r="O59" i="17" s="1"/>
  <c r="P59" i="17" s="1"/>
  <c r="Q59" i="17" s="1"/>
  <c r="R59" i="17" s="1"/>
  <c r="S59" i="17" s="1"/>
  <c r="T59" i="17" s="1"/>
  <c r="U59" i="17" s="1"/>
  <c r="V59" i="17" s="1"/>
  <c r="W59" i="17" s="1"/>
  <c r="X59" i="17" s="1"/>
  <c r="Y59" i="17" s="1"/>
  <c r="Z59" i="17" s="1"/>
  <c r="AA59" i="17" s="1"/>
  <c r="Y15" i="16" l="1"/>
  <c r="C39" i="17" l="1"/>
  <c r="B8" i="17" l="1"/>
  <c r="AA54" i="17" l="1"/>
  <c r="Z54" i="17"/>
  <c r="Y54" i="17"/>
  <c r="X54" i="17"/>
  <c r="W54" i="17"/>
  <c r="V54" i="17"/>
  <c r="U54" i="17"/>
  <c r="T54" i="17"/>
  <c r="S54" i="17"/>
  <c r="R54" i="17"/>
  <c r="Q54" i="17"/>
  <c r="P54" i="17"/>
  <c r="O54" i="17"/>
  <c r="N54" i="17"/>
  <c r="M54" i="17"/>
  <c r="L54" i="17"/>
  <c r="K54" i="17"/>
  <c r="J54" i="17"/>
  <c r="I54" i="17"/>
  <c r="H54" i="17"/>
  <c r="G54" i="17"/>
  <c r="F54" i="17"/>
  <c r="E54" i="17"/>
  <c r="D54" i="17"/>
  <c r="C41" i="17"/>
  <c r="D41" i="17" s="1"/>
  <c r="E41" i="17" s="1"/>
  <c r="F41" i="17" s="1"/>
  <c r="G41" i="17" s="1"/>
  <c r="H41" i="17" s="1"/>
  <c r="I41" i="17" s="1"/>
  <c r="J41" i="17" s="1"/>
  <c r="K41" i="17" s="1"/>
  <c r="L41" i="17" s="1"/>
  <c r="C40" i="17"/>
  <c r="D40" i="17" s="1"/>
  <c r="E40" i="17" s="1"/>
  <c r="F40" i="17" s="1"/>
  <c r="G40" i="17" s="1"/>
  <c r="H40" i="17" s="1"/>
  <c r="I40" i="17" s="1"/>
  <c r="J40" i="17" s="1"/>
  <c r="K40" i="17" s="1"/>
  <c r="L40" i="17" s="1"/>
  <c r="D39" i="17"/>
  <c r="E39" i="17" s="1"/>
  <c r="F39" i="17" s="1"/>
  <c r="G39" i="17" s="1"/>
  <c r="H39" i="17" s="1"/>
  <c r="I39" i="17" s="1"/>
  <c r="J39" i="17" s="1"/>
  <c r="K39" i="17" s="1"/>
  <c r="L39" i="17" s="1"/>
  <c r="M39" i="17" s="1"/>
  <c r="N39" i="17" s="1"/>
  <c r="O39" i="17" s="1"/>
  <c r="P39" i="17" s="1"/>
  <c r="Q39" i="17" s="1"/>
  <c r="R39" i="17" s="1"/>
  <c r="S39" i="17" s="1"/>
  <c r="T39" i="17" s="1"/>
  <c r="U39" i="17" s="1"/>
  <c r="V39" i="17" s="1"/>
  <c r="W39" i="17" s="1"/>
  <c r="X39" i="17" s="1"/>
  <c r="Y39" i="17" s="1"/>
  <c r="Z39" i="17" s="1"/>
  <c r="AA39" i="17" s="1"/>
  <c r="D38" i="17"/>
  <c r="E38" i="17" s="1"/>
  <c r="F38" i="17" s="1"/>
  <c r="G38" i="17" s="1"/>
  <c r="H38" i="17" s="1"/>
  <c r="I38" i="17" s="1"/>
  <c r="J38" i="17" s="1"/>
  <c r="K38" i="17" s="1"/>
  <c r="L38" i="17" s="1"/>
  <c r="M38" i="17" s="1"/>
  <c r="N38" i="17" s="1"/>
  <c r="O38" i="17" s="1"/>
  <c r="P38" i="17" s="1"/>
  <c r="Q38" i="17" s="1"/>
  <c r="R38" i="17" s="1"/>
  <c r="S38" i="17" s="1"/>
  <c r="T38" i="17" s="1"/>
  <c r="U38" i="17" s="1"/>
  <c r="V38" i="17" s="1"/>
  <c r="W38" i="17" s="1"/>
  <c r="X38" i="17" s="1"/>
  <c r="Y38" i="17" s="1"/>
  <c r="Z38" i="17" s="1"/>
  <c r="AA38" i="17" s="1"/>
  <c r="C37" i="17"/>
  <c r="C29" i="17"/>
  <c r="D23" i="17"/>
  <c r="E23" i="17" s="1"/>
  <c r="F23" i="17" s="1"/>
  <c r="G23" i="17" s="1"/>
  <c r="H23" i="17" s="1"/>
  <c r="I23" i="17" s="1"/>
  <c r="J23" i="17" s="1"/>
  <c r="K23" i="17" s="1"/>
  <c r="L23" i="17" s="1"/>
  <c r="M23" i="17" s="1"/>
  <c r="N23" i="17" s="1"/>
  <c r="O23" i="17" s="1"/>
  <c r="P23" i="17" s="1"/>
  <c r="Q23" i="17" s="1"/>
  <c r="R23" i="17" s="1"/>
  <c r="S23" i="17" s="1"/>
  <c r="T23" i="17" s="1"/>
  <c r="U23" i="17" s="1"/>
  <c r="V23" i="17" s="1"/>
  <c r="W23" i="17" s="1"/>
  <c r="X23" i="17" s="1"/>
  <c r="Y23" i="17" s="1"/>
  <c r="Z23" i="17" s="1"/>
  <c r="AA23" i="17" s="1"/>
  <c r="B19" i="17"/>
  <c r="B15" i="17"/>
  <c r="B10" i="17"/>
  <c r="B7" i="17"/>
  <c r="B6" i="17"/>
  <c r="M41" i="17" l="1"/>
  <c r="N41" i="17" s="1"/>
  <c r="O41" i="17" s="1"/>
  <c r="P41" i="17" s="1"/>
  <c r="Q41" i="17" s="1"/>
  <c r="R41" i="17" s="1"/>
  <c r="S41" i="17" s="1"/>
  <c r="T41" i="17" s="1"/>
  <c r="U41" i="17" s="1"/>
  <c r="V41" i="17" s="1"/>
  <c r="W41" i="17" s="1"/>
  <c r="X41" i="17" s="1"/>
  <c r="Y41" i="17" s="1"/>
  <c r="Z41" i="17" s="1"/>
  <c r="AA41" i="17" s="1"/>
  <c r="M40" i="17"/>
  <c r="N40" i="17" s="1"/>
  <c r="O40" i="17" s="1"/>
  <c r="P40" i="17" s="1"/>
  <c r="Q40" i="17" s="1"/>
  <c r="R40" i="17" s="1"/>
  <c r="S40" i="17" s="1"/>
  <c r="T40" i="17" s="1"/>
  <c r="U40" i="17" s="1"/>
  <c r="V40" i="17" s="1"/>
  <c r="W40" i="17" s="1"/>
  <c r="X40" i="17" s="1"/>
  <c r="Y40" i="17" s="1"/>
  <c r="Z40" i="17" s="1"/>
  <c r="AA40" i="17" s="1"/>
  <c r="D37" i="17"/>
  <c r="C15" i="16"/>
  <c r="G15" i="16" s="1"/>
  <c r="D15" i="16"/>
  <c r="E15" i="16"/>
  <c r="F15" i="16"/>
  <c r="K15" i="16" l="1"/>
  <c r="L15" i="16" s="1"/>
  <c r="I15" i="16"/>
  <c r="H15" i="16"/>
  <c r="J15" i="16"/>
  <c r="E37" i="17"/>
  <c r="O15" i="16" l="1"/>
  <c r="N15" i="16"/>
  <c r="M15" i="16"/>
  <c r="P15" i="16"/>
  <c r="F37" i="17"/>
  <c r="G37" i="17" l="1"/>
  <c r="H37" i="17" l="1"/>
  <c r="C19" i="7"/>
  <c r="B9" i="17" s="1"/>
  <c r="B11" i="17" l="1"/>
  <c r="B20" i="17" s="1"/>
  <c r="C28" i="17" s="1"/>
  <c r="C54" i="17" s="1"/>
  <c r="B13" i="17"/>
  <c r="B21" i="17"/>
  <c r="I37" i="17"/>
  <c r="C39" i="7"/>
  <c r="E25" i="17" l="1"/>
  <c r="C25" i="17"/>
  <c r="F25" i="17"/>
  <c r="H25" i="17"/>
  <c r="G25" i="17"/>
  <c r="B16" i="17"/>
  <c r="B55" i="17"/>
  <c r="D25" i="17"/>
  <c r="J37" i="17"/>
  <c r="V42" i="17" l="1"/>
  <c r="W42" i="17"/>
  <c r="P42" i="17"/>
  <c r="U42" i="17"/>
  <c r="C42" i="17"/>
  <c r="H42" i="17"/>
  <c r="M42" i="17"/>
  <c r="R42" i="17"/>
  <c r="I42" i="17"/>
  <c r="E42" i="17"/>
  <c r="J42" i="17"/>
  <c r="O42" i="17"/>
  <c r="T42" i="17"/>
  <c r="Q42" i="17"/>
  <c r="F42" i="17"/>
  <c r="G42" i="17"/>
  <c r="L42" i="17"/>
  <c r="N42" i="17"/>
  <c r="S42" i="17"/>
  <c r="K42" i="17"/>
  <c r="C43" i="17"/>
  <c r="C47" i="17" s="1"/>
  <c r="D42" i="17"/>
  <c r="K37" i="17"/>
  <c r="C45" i="17" l="1"/>
  <c r="C44" i="17" s="1"/>
  <c r="L37" i="17"/>
  <c r="D43" i="17" l="1"/>
  <c r="H44" i="17"/>
  <c r="I43" i="17" s="1"/>
  <c r="C49" i="17"/>
  <c r="M37" i="17"/>
  <c r="B19" i="16"/>
  <c r="C19" i="16" s="1"/>
  <c r="D19" i="16" s="1"/>
  <c r="E19" i="16" s="1"/>
  <c r="F19" i="16" s="1"/>
  <c r="G19" i="16" s="1"/>
  <c r="C17" i="16"/>
  <c r="D17" i="16" s="1"/>
  <c r="E17" i="16" s="1"/>
  <c r="F17" i="16" s="1"/>
  <c r="G17" i="16" s="1"/>
  <c r="H17" i="16" s="1"/>
  <c r="I17" i="16" s="1"/>
  <c r="J17" i="16" s="1"/>
  <c r="K17" i="16" s="1"/>
  <c r="L17" i="16" s="1"/>
  <c r="M17" i="16" s="1"/>
  <c r="N17" i="16" s="1"/>
  <c r="O17" i="16" s="1"/>
  <c r="P17" i="16" s="1"/>
  <c r="Q17" i="16" s="1"/>
  <c r="R17" i="16" s="1"/>
  <c r="S17" i="16" s="1"/>
  <c r="T17" i="16" s="1"/>
  <c r="U17" i="16" s="1"/>
  <c r="V17" i="16" s="1"/>
  <c r="W17" i="16" s="1"/>
  <c r="X17" i="16" s="1"/>
  <c r="Y17" i="16" s="1"/>
  <c r="Z17" i="16" s="1"/>
  <c r="H19" i="16" l="1"/>
  <c r="G20" i="16"/>
  <c r="D47" i="17"/>
  <c r="D45" i="17"/>
  <c r="D44" i="17" s="1"/>
  <c r="E43" i="17" s="1"/>
  <c r="I45" i="17"/>
  <c r="I44" i="17" s="1"/>
  <c r="J43" i="17" s="1"/>
  <c r="I47" i="17"/>
  <c r="N37" i="17"/>
  <c r="B20" i="16"/>
  <c r="B31" i="16" s="1"/>
  <c r="B18" i="16"/>
  <c r="B24" i="16" s="1"/>
  <c r="C33" i="17" s="1"/>
  <c r="G31" i="16" l="1"/>
  <c r="I19" i="16"/>
  <c r="H20" i="16"/>
  <c r="D49" i="17"/>
  <c r="E47" i="17"/>
  <c r="E45" i="17"/>
  <c r="E44" i="17" s="1"/>
  <c r="F43" i="17" s="1"/>
  <c r="I49" i="17"/>
  <c r="J45" i="17"/>
  <c r="J44" i="17" s="1"/>
  <c r="J47" i="17"/>
  <c r="O37" i="17"/>
  <c r="C20" i="16"/>
  <c r="C31" i="16" s="1"/>
  <c r="B21" i="16"/>
  <c r="C32" i="17" s="1"/>
  <c r="C34" i="17" s="1"/>
  <c r="C53" i="17" s="1"/>
  <c r="C18" i="16"/>
  <c r="C48" i="17" l="1"/>
  <c r="C26" i="17" s="1"/>
  <c r="C27" i="17" s="1"/>
  <c r="C55" i="17" s="1"/>
  <c r="C51" i="17"/>
  <c r="H31" i="16"/>
  <c r="J19" i="16"/>
  <c r="I20" i="16"/>
  <c r="E49" i="17"/>
  <c r="F45" i="17"/>
  <c r="F44" i="17" s="1"/>
  <c r="G43" i="17" s="1"/>
  <c r="F47" i="17"/>
  <c r="J49" i="17"/>
  <c r="K43" i="17"/>
  <c r="P37" i="17"/>
  <c r="C22" i="16"/>
  <c r="B22" i="16"/>
  <c r="B32" i="16"/>
  <c r="C32" i="16"/>
  <c r="E20" i="16"/>
  <c r="D20" i="16"/>
  <c r="B42" i="16"/>
  <c r="B25" i="16"/>
  <c r="C21" i="16"/>
  <c r="D32" i="17" s="1"/>
  <c r="D18" i="16"/>
  <c r="C24" i="16"/>
  <c r="D33" i="17" s="1"/>
  <c r="D34" i="17" l="1"/>
  <c r="D53" i="17" s="1"/>
  <c r="C58" i="17"/>
  <c r="E31" i="16"/>
  <c r="I31" i="16"/>
  <c r="K19" i="16"/>
  <c r="J20" i="16"/>
  <c r="D21" i="16"/>
  <c r="E32" i="17" s="1"/>
  <c r="D31" i="16"/>
  <c r="D22" i="16" s="1"/>
  <c r="K45" i="17"/>
  <c r="K44" i="17" s="1"/>
  <c r="K47" i="17"/>
  <c r="F49" i="17"/>
  <c r="G47" i="17"/>
  <c r="G45" i="17"/>
  <c r="G44" i="17" s="1"/>
  <c r="H43" i="17" s="1"/>
  <c r="Q37" i="17"/>
  <c r="B26" i="16"/>
  <c r="B28" i="16" s="1"/>
  <c r="F20" i="16"/>
  <c r="C25" i="16"/>
  <c r="D24" i="16"/>
  <c r="E33" i="17" s="1"/>
  <c r="E18" i="16"/>
  <c r="E21" i="16" s="1"/>
  <c r="D32" i="16" l="1"/>
  <c r="D51" i="17"/>
  <c r="D48" i="17"/>
  <c r="D26" i="17" s="1"/>
  <c r="D27" i="17" s="1"/>
  <c r="D55" i="17" s="1"/>
  <c r="E34" i="17"/>
  <c r="E53" i="17" s="1"/>
  <c r="E22" i="16"/>
  <c r="F31" i="16"/>
  <c r="J31" i="16"/>
  <c r="K20" i="16"/>
  <c r="K31" i="16" s="1"/>
  <c r="L19" i="16"/>
  <c r="G49" i="17"/>
  <c r="H45" i="17"/>
  <c r="H47" i="17"/>
  <c r="K49" i="17"/>
  <c r="L43" i="17"/>
  <c r="R37" i="17"/>
  <c r="F32" i="17"/>
  <c r="E32" i="16"/>
  <c r="B27" i="16"/>
  <c r="C26" i="16"/>
  <c r="D25" i="16"/>
  <c r="E24" i="16"/>
  <c r="F33" i="17" s="1"/>
  <c r="F18" i="16"/>
  <c r="F21" i="16" s="1"/>
  <c r="E51" i="17" l="1"/>
  <c r="E48" i="17"/>
  <c r="E26" i="17" s="1"/>
  <c r="E27" i="17" s="1"/>
  <c r="E55" i="17" s="1"/>
  <c r="F34" i="17"/>
  <c r="F51" i="17" s="1"/>
  <c r="D26" i="16"/>
  <c r="D27" i="16" s="1"/>
  <c r="D58" i="17"/>
  <c r="F22" i="16"/>
  <c r="M19" i="16"/>
  <c r="L20" i="16"/>
  <c r="L31" i="16" s="1"/>
  <c r="L45" i="17"/>
  <c r="L44" i="17" s="1"/>
  <c r="L47" i="17"/>
  <c r="H49" i="17"/>
  <c r="S37" i="17"/>
  <c r="C27" i="16"/>
  <c r="G32" i="17"/>
  <c r="F32" i="16"/>
  <c r="C28" i="16"/>
  <c r="E25" i="16"/>
  <c r="E26" i="16" s="1"/>
  <c r="F24" i="16"/>
  <c r="G33" i="17" s="1"/>
  <c r="G18" i="16"/>
  <c r="F48" i="17" l="1"/>
  <c r="F26" i="17" s="1"/>
  <c r="F27" i="17" s="1"/>
  <c r="F53" i="17"/>
  <c r="G34" i="17"/>
  <c r="G51" i="17" s="1"/>
  <c r="E58" i="17"/>
  <c r="G21" i="16"/>
  <c r="G22" i="16"/>
  <c r="H32" i="17" s="1"/>
  <c r="N19" i="16"/>
  <c r="M20" i="16"/>
  <c r="M31" i="16" s="1"/>
  <c r="M43" i="17"/>
  <c r="L49" i="17"/>
  <c r="T37" i="17"/>
  <c r="G32" i="16"/>
  <c r="D28" i="16"/>
  <c r="F25" i="16"/>
  <c r="H18" i="16"/>
  <c r="G24" i="16"/>
  <c r="H33" i="17" s="1"/>
  <c r="F55" i="17" l="1"/>
  <c r="F58" i="17" s="1"/>
  <c r="G48" i="17"/>
  <c r="G26" i="17" s="1"/>
  <c r="G27" i="17" s="1"/>
  <c r="G53" i="17"/>
  <c r="F26" i="16"/>
  <c r="F27" i="16" s="1"/>
  <c r="H34" i="17"/>
  <c r="H51" i="17" s="1"/>
  <c r="H21" i="16"/>
  <c r="H22" i="16"/>
  <c r="I32" i="17" s="1"/>
  <c r="O19" i="16"/>
  <c r="N20" i="16"/>
  <c r="N31" i="16" s="1"/>
  <c r="M45" i="17"/>
  <c r="M44" i="17" s="1"/>
  <c r="M47" i="17"/>
  <c r="U37" i="17"/>
  <c r="E27" i="16"/>
  <c r="H32" i="16"/>
  <c r="E28" i="16"/>
  <c r="G25" i="16"/>
  <c r="H24" i="16"/>
  <c r="I33" i="17" s="1"/>
  <c r="I18" i="16"/>
  <c r="G55" i="17" l="1"/>
  <c r="G58" i="17" s="1"/>
  <c r="H48" i="17"/>
  <c r="H26" i="17" s="1"/>
  <c r="H27" i="17" s="1"/>
  <c r="I34" i="17"/>
  <c r="I51" i="17" s="1"/>
  <c r="H53" i="17"/>
  <c r="I48" i="17"/>
  <c r="I21" i="16"/>
  <c r="I22" i="16"/>
  <c r="J32" i="17" s="1"/>
  <c r="G26" i="16"/>
  <c r="P19" i="16"/>
  <c r="O20" i="16"/>
  <c r="O31" i="16" s="1"/>
  <c r="M49" i="17"/>
  <c r="N43" i="17"/>
  <c r="V37" i="17"/>
  <c r="I32" i="16"/>
  <c r="F28" i="16"/>
  <c r="H25" i="16"/>
  <c r="I24" i="16"/>
  <c r="J33" i="17" s="1"/>
  <c r="J18" i="16"/>
  <c r="I53" i="17" l="1"/>
  <c r="H55" i="17"/>
  <c r="H58" i="17" s="1"/>
  <c r="J34" i="17"/>
  <c r="H26" i="16"/>
  <c r="H27" i="16" s="1"/>
  <c r="J51" i="17"/>
  <c r="J53" i="17"/>
  <c r="J48" i="17"/>
  <c r="J21" i="16"/>
  <c r="J22" i="16"/>
  <c r="K32" i="17" s="1"/>
  <c r="I26" i="17"/>
  <c r="I27" i="17" s="1"/>
  <c r="Q19" i="16"/>
  <c r="P20" i="16"/>
  <c r="P31" i="16" s="1"/>
  <c r="N45" i="17"/>
  <c r="N44" i="17" s="1"/>
  <c r="O43" i="17" s="1"/>
  <c r="N47" i="17"/>
  <c r="W37" i="17"/>
  <c r="G27" i="16"/>
  <c r="J32" i="16"/>
  <c r="G28" i="16"/>
  <c r="I25" i="16"/>
  <c r="K18" i="16"/>
  <c r="J24" i="16"/>
  <c r="K33" i="17" s="1"/>
  <c r="I55" i="17" l="1"/>
  <c r="I58" i="17" s="1"/>
  <c r="H28" i="16"/>
  <c r="K34" i="17"/>
  <c r="K53" i="17" s="1"/>
  <c r="I26" i="16"/>
  <c r="J26" i="17"/>
  <c r="J27" i="17" s="1"/>
  <c r="J55" i="17" s="1"/>
  <c r="R19" i="16"/>
  <c r="Q20" i="16"/>
  <c r="Q31" i="16" s="1"/>
  <c r="N49" i="17"/>
  <c r="O45" i="17"/>
  <c r="O44" i="17" s="1"/>
  <c r="P43" i="17" s="1"/>
  <c r="O47" i="17"/>
  <c r="X37" i="17"/>
  <c r="K22" i="16"/>
  <c r="K32" i="16"/>
  <c r="J25" i="16"/>
  <c r="L18" i="16"/>
  <c r="K24" i="16"/>
  <c r="L33" i="17" s="1"/>
  <c r="K21" i="16"/>
  <c r="J58" i="17" l="1"/>
  <c r="K48" i="17"/>
  <c r="K51" i="17"/>
  <c r="J26" i="16"/>
  <c r="J27" i="16" s="1"/>
  <c r="K26" i="17"/>
  <c r="K27" i="17" s="1"/>
  <c r="K55" i="17" s="1"/>
  <c r="S19" i="16"/>
  <c r="R20" i="16"/>
  <c r="R31" i="16" s="1"/>
  <c r="L32" i="17"/>
  <c r="L34" i="17" s="1"/>
  <c r="O49" i="17"/>
  <c r="P45" i="17"/>
  <c r="P44" i="17" s="1"/>
  <c r="Q43" i="17" s="1"/>
  <c r="P47" i="17"/>
  <c r="X47" i="17"/>
  <c r="Y37" i="17"/>
  <c r="I27" i="16"/>
  <c r="K26" i="16"/>
  <c r="L21" i="16"/>
  <c r="L32" i="16"/>
  <c r="L22" i="16"/>
  <c r="M32" i="17" s="1"/>
  <c r="I28" i="16"/>
  <c r="K25" i="16"/>
  <c r="L24" i="16"/>
  <c r="M33" i="17" s="1"/>
  <c r="M18" i="16"/>
  <c r="K58" i="17" l="1"/>
  <c r="M34" i="17"/>
  <c r="T19" i="16"/>
  <c r="S20" i="16"/>
  <c r="S31" i="16" s="1"/>
  <c r="M53" i="17"/>
  <c r="M48" i="17"/>
  <c r="M51" i="17"/>
  <c r="L53" i="17"/>
  <c r="L48" i="17"/>
  <c r="L51" i="17"/>
  <c r="P49" i="17"/>
  <c r="Q45" i="17"/>
  <c r="Q44" i="17" s="1"/>
  <c r="R43" i="17" s="1"/>
  <c r="Q47" i="17"/>
  <c r="Y47" i="17"/>
  <c r="Z37" i="17"/>
  <c r="X49" i="17"/>
  <c r="M22" i="16"/>
  <c r="M32" i="16"/>
  <c r="J28" i="16"/>
  <c r="M24" i="16"/>
  <c r="N33" i="17" s="1"/>
  <c r="M21" i="16"/>
  <c r="N18" i="16"/>
  <c r="L25" i="16"/>
  <c r="U19" i="16" l="1"/>
  <c r="T20" i="16"/>
  <c r="T31" i="16" s="1"/>
  <c r="N32" i="17"/>
  <c r="N34" i="17" s="1"/>
  <c r="M26" i="17"/>
  <c r="M27" i="17" s="1"/>
  <c r="M55" i="17" s="1"/>
  <c r="L26" i="17"/>
  <c r="L27" i="17" s="1"/>
  <c r="L55" i="17" s="1"/>
  <c r="L58" i="17" s="1"/>
  <c r="Q49" i="17"/>
  <c r="R45" i="17"/>
  <c r="R44" i="17" s="1"/>
  <c r="R47" i="17"/>
  <c r="Z47" i="17"/>
  <c r="AA37" i="17"/>
  <c r="AA47" i="17" s="1"/>
  <c r="Y49" i="17"/>
  <c r="K27" i="16"/>
  <c r="K28" i="16"/>
  <c r="N21" i="16"/>
  <c r="N32" i="16"/>
  <c r="L26" i="16"/>
  <c r="N22" i="16"/>
  <c r="O32" i="17" s="1"/>
  <c r="M25" i="16"/>
  <c r="O18" i="16"/>
  <c r="N24" i="16"/>
  <c r="O33" i="17" s="1"/>
  <c r="M58" i="17" l="1"/>
  <c r="O34" i="17"/>
  <c r="O53" i="17" s="1"/>
  <c r="V19" i="16"/>
  <c r="U20" i="16"/>
  <c r="U31" i="16" s="1"/>
  <c r="N53" i="17"/>
  <c r="N48" i="17"/>
  <c r="N51" i="17"/>
  <c r="R49" i="17"/>
  <c r="S43" i="17"/>
  <c r="AA49" i="17"/>
  <c r="Z49" i="17"/>
  <c r="O32" i="16"/>
  <c r="L28" i="16"/>
  <c r="L27" i="16"/>
  <c r="M26" i="16"/>
  <c r="N25" i="16"/>
  <c r="O24" i="16"/>
  <c r="P33" i="17" s="1"/>
  <c r="P18" i="16"/>
  <c r="O21" i="16"/>
  <c r="O22" i="16"/>
  <c r="P32" i="17" s="1"/>
  <c r="P34" i="17" l="1"/>
  <c r="O51" i="17"/>
  <c r="O48" i="17"/>
  <c r="O26" i="17" s="1"/>
  <c r="O27" i="17" s="1"/>
  <c r="O55" i="17" s="1"/>
  <c r="W19" i="16"/>
  <c r="V20" i="16"/>
  <c r="V31" i="16" s="1"/>
  <c r="N26" i="17"/>
  <c r="N27" i="17" s="1"/>
  <c r="N55" i="17" s="1"/>
  <c r="N58" i="17" s="1"/>
  <c r="O58" i="17" s="1"/>
  <c r="P53" i="17"/>
  <c r="P48" i="17"/>
  <c r="P51" i="17"/>
  <c r="S45" i="17"/>
  <c r="S44" i="17" s="1"/>
  <c r="S47" i="17"/>
  <c r="M27" i="16"/>
  <c r="P21" i="16"/>
  <c r="P32" i="16"/>
  <c r="M28" i="16"/>
  <c r="N26" i="16"/>
  <c r="N27" i="16" s="1"/>
  <c r="P22" i="16"/>
  <c r="Q32" i="17" s="1"/>
  <c r="O25" i="16"/>
  <c r="Q18" i="16"/>
  <c r="P24" i="16"/>
  <c r="Q33" i="17" s="1"/>
  <c r="Q34" i="17" l="1"/>
  <c r="Q48" i="17" s="1"/>
  <c r="X19" i="16"/>
  <c r="W20" i="16"/>
  <c r="W31" i="16" s="1"/>
  <c r="P26" i="17"/>
  <c r="P27" i="17" s="1"/>
  <c r="P55" i="17" s="1"/>
  <c r="P58" i="17" s="1"/>
  <c r="S49" i="17"/>
  <c r="T43" i="17"/>
  <c r="Q32" i="16"/>
  <c r="N28" i="16"/>
  <c r="O26" i="16"/>
  <c r="P25" i="16"/>
  <c r="Q24" i="16"/>
  <c r="R33" i="17" s="1"/>
  <c r="Q21" i="16"/>
  <c r="R18" i="16"/>
  <c r="Q22" i="16"/>
  <c r="R32" i="17" s="1"/>
  <c r="Q53" i="17" l="1"/>
  <c r="Q51" i="17"/>
  <c r="R34" i="17"/>
  <c r="R51" i="17" s="1"/>
  <c r="Y19" i="16"/>
  <c r="X20" i="16"/>
  <c r="X31" i="16" s="1"/>
  <c r="Q26" i="17"/>
  <c r="Q27" i="17" s="1"/>
  <c r="Q55" i="17" s="1"/>
  <c r="Q58" i="17" s="1"/>
  <c r="R53" i="17"/>
  <c r="R48" i="17"/>
  <c r="T45" i="17"/>
  <c r="T44" i="17" s="1"/>
  <c r="T47" i="17"/>
  <c r="O27" i="16"/>
  <c r="R21" i="16"/>
  <c r="R32" i="16"/>
  <c r="P26" i="16"/>
  <c r="R22" i="16"/>
  <c r="S32" i="17" s="1"/>
  <c r="S34" i="17" s="1"/>
  <c r="O28" i="16"/>
  <c r="Q25" i="16"/>
  <c r="S18" i="16"/>
  <c r="R24" i="16"/>
  <c r="S33" i="17" s="1"/>
  <c r="Z19" i="16" l="1"/>
  <c r="Z20" i="16" s="1"/>
  <c r="Z31" i="16" s="1"/>
  <c r="Y20" i="16"/>
  <c r="Y31" i="16" s="1"/>
  <c r="S53" i="17"/>
  <c r="S48" i="17"/>
  <c r="R26" i="17"/>
  <c r="R27" i="17" s="1"/>
  <c r="R55" i="17" s="1"/>
  <c r="R58" i="17" s="1"/>
  <c r="S51" i="17"/>
  <c r="B40" i="16"/>
  <c r="T49" i="17"/>
  <c r="U43" i="17"/>
  <c r="P27" i="16"/>
  <c r="S32" i="16"/>
  <c r="P28" i="16"/>
  <c r="R25" i="16"/>
  <c r="S21" i="16"/>
  <c r="S24" i="16"/>
  <c r="T33" i="17" s="1"/>
  <c r="T18" i="16"/>
  <c r="S22" i="16"/>
  <c r="T32" i="17" s="1"/>
  <c r="Q26" i="16"/>
  <c r="T34" i="17" l="1"/>
  <c r="T53" i="17" s="1"/>
  <c r="T48" i="17"/>
  <c r="S26" i="17"/>
  <c r="S27" i="17" s="1"/>
  <c r="S55" i="17" s="1"/>
  <c r="S58" i="17" s="1"/>
  <c r="T51" i="17"/>
  <c r="U45" i="17"/>
  <c r="U44" i="17" s="1"/>
  <c r="V43" i="17" s="1"/>
  <c r="U47" i="17"/>
  <c r="Q27" i="16"/>
  <c r="T32" i="16"/>
  <c r="R26" i="16"/>
  <c r="R27" i="16" s="1"/>
  <c r="Q28" i="16"/>
  <c r="T24" i="16"/>
  <c r="U33" i="17" s="1"/>
  <c r="T21" i="16"/>
  <c r="U18" i="16"/>
  <c r="T22" i="16"/>
  <c r="U32" i="17" s="1"/>
  <c r="U34" i="17" s="1"/>
  <c r="U53" i="17" s="1"/>
  <c r="S25" i="16"/>
  <c r="T26" i="17" l="1"/>
  <c r="T27" i="17" s="1"/>
  <c r="T55" i="17" s="1"/>
  <c r="T58" i="17" s="1"/>
  <c r="V45" i="17"/>
  <c r="V44" i="17" s="1"/>
  <c r="V47" i="17"/>
  <c r="U48" i="17"/>
  <c r="U49" i="17"/>
  <c r="U22" i="16"/>
  <c r="V32" i="17" s="1"/>
  <c r="V34" i="17" s="1"/>
  <c r="V53" i="17" s="1"/>
  <c r="U32" i="16"/>
  <c r="R28" i="16"/>
  <c r="S26" i="16"/>
  <c r="S27" i="16" s="1"/>
  <c r="U24" i="16"/>
  <c r="V33" i="17" s="1"/>
  <c r="V18" i="16"/>
  <c r="T25" i="16"/>
  <c r="U21" i="16"/>
  <c r="V48" i="17" l="1"/>
  <c r="V49" i="17"/>
  <c r="W43" i="17"/>
  <c r="U51" i="17"/>
  <c r="U26" i="17"/>
  <c r="U27" i="17" s="1"/>
  <c r="U55" i="17" s="1"/>
  <c r="U58" i="17" s="1"/>
  <c r="V32" i="16"/>
  <c r="S28" i="16"/>
  <c r="T26" i="16"/>
  <c r="T27" i="16" s="1"/>
  <c r="V21" i="16"/>
  <c r="W18" i="16"/>
  <c r="V24" i="16"/>
  <c r="W33" i="17" s="1"/>
  <c r="U25" i="16"/>
  <c r="V22" i="16"/>
  <c r="W32" i="17" s="1"/>
  <c r="W34" i="17" s="1"/>
  <c r="W53" i="17" s="1"/>
  <c r="W45" i="17" l="1"/>
  <c r="W44" i="17" s="1"/>
  <c r="W47" i="17"/>
  <c r="V51" i="17"/>
  <c r="V26" i="17"/>
  <c r="V27" i="17" s="1"/>
  <c r="V55" i="17" s="1"/>
  <c r="V58" i="17" s="1"/>
  <c r="W22" i="16"/>
  <c r="X32" i="17" s="1"/>
  <c r="X34" i="17" s="1"/>
  <c r="W32" i="16"/>
  <c r="U26" i="16"/>
  <c r="U27" i="16" s="1"/>
  <c r="T28" i="16"/>
  <c r="V25" i="16"/>
  <c r="W21" i="16"/>
  <c r="W24" i="16"/>
  <c r="X33" i="17" s="1"/>
  <c r="X18" i="16"/>
  <c r="X53" i="17" l="1"/>
  <c r="X48" i="17"/>
  <c r="X51" i="17"/>
  <c r="W49" i="17"/>
  <c r="W48" i="17"/>
  <c r="X21" i="16"/>
  <c r="X32" i="16"/>
  <c r="U28" i="16"/>
  <c r="V26" i="16"/>
  <c r="V27" i="16" s="1"/>
  <c r="X24" i="16"/>
  <c r="Y33" i="17" s="1"/>
  <c r="Y18" i="16"/>
  <c r="X22" i="16"/>
  <c r="Y32" i="17" s="1"/>
  <c r="Y34" i="17" s="1"/>
  <c r="W25" i="16"/>
  <c r="Y53" i="17" l="1"/>
  <c r="Y48" i="17"/>
  <c r="Y51" i="17"/>
  <c r="X26" i="17"/>
  <c r="X27" i="17" s="1"/>
  <c r="X55" i="17" s="1"/>
  <c r="W26" i="17"/>
  <c r="W27" i="17" s="1"/>
  <c r="W55" i="17" s="1"/>
  <c r="W58" i="17" s="1"/>
  <c r="W51" i="17"/>
  <c r="Y21" i="16"/>
  <c r="Y32" i="16"/>
  <c r="W26" i="16"/>
  <c r="W27" i="16" s="1"/>
  <c r="V28" i="16"/>
  <c r="Y22" i="16"/>
  <c r="Z32" i="17" s="1"/>
  <c r="Z18" i="16"/>
  <c r="Y24" i="16"/>
  <c r="Z33" i="17" s="1"/>
  <c r="X25" i="16"/>
  <c r="X58" i="17" l="1"/>
  <c r="Z34" i="17"/>
  <c r="Z53" i="17"/>
  <c r="Z48" i="17"/>
  <c r="Z51" i="17"/>
  <c r="Y26" i="17"/>
  <c r="Y27" i="17" s="1"/>
  <c r="Y55" i="17" s="1"/>
  <c r="Z32" i="16"/>
  <c r="W28" i="16"/>
  <c r="X26" i="16"/>
  <c r="X27" i="16" s="1"/>
  <c r="Z21" i="16"/>
  <c r="Z22" i="16"/>
  <c r="Z24" i="16"/>
  <c r="AA33" i="17" s="1"/>
  <c r="Y25" i="16"/>
  <c r="Y58" i="17" l="1"/>
  <c r="AA32" i="17"/>
  <c r="AA34" i="17" s="1"/>
  <c r="B35" i="16"/>
  <c r="Z26" i="17"/>
  <c r="Z27" i="17" s="1"/>
  <c r="Z55" i="17" s="1"/>
  <c r="B34" i="16"/>
  <c r="X28" i="16"/>
  <c r="Y26" i="16"/>
  <c r="Y27" i="16" s="1"/>
  <c r="Z25" i="16"/>
  <c r="Z58" i="17" l="1"/>
  <c r="AA53" i="17"/>
  <c r="AA48" i="17"/>
  <c r="AA51" i="17"/>
  <c r="B36" i="16"/>
  <c r="Z26" i="16"/>
  <c r="Y28" i="16"/>
  <c r="AA26" i="17" l="1"/>
  <c r="AA27" i="17" s="1"/>
  <c r="AA55" i="17" s="1"/>
  <c r="Z28" i="16"/>
  <c r="Z27" i="16"/>
  <c r="AA58" i="17" l="1"/>
  <c r="B38" i="16"/>
  <c r="B29" i="16"/>
  <c r="B39" i="16" l="1"/>
  <c r="B41" i="16" l="1"/>
  <c r="B44" i="16" s="1"/>
</calcChain>
</file>

<file path=xl/sharedStrings.xml><?xml version="1.0" encoding="utf-8"?>
<sst xmlns="http://schemas.openxmlformats.org/spreadsheetml/2006/main" count="146" uniqueCount="136">
  <si>
    <t>REC value</t>
  </si>
  <si>
    <t>REC retained (%)</t>
  </si>
  <si>
    <t>Solar Generation (kWh)</t>
  </si>
  <si>
    <t>Savings on electricity ($)</t>
  </si>
  <si>
    <t>REC Value ($)</t>
  </si>
  <si>
    <t>REC retained value ($)</t>
  </si>
  <si>
    <t>Total solar savings ($)</t>
  </si>
  <si>
    <t>Equivalent savings off solar (%)</t>
  </si>
  <si>
    <t>Cumulative Savings ($)</t>
  </si>
  <si>
    <t>System cost ($/watt)</t>
  </si>
  <si>
    <t>System Size (W DC)</t>
  </si>
  <si>
    <t>Financed Amount</t>
  </si>
  <si>
    <t>Loan Term (years)</t>
  </si>
  <si>
    <t>Loan Interest</t>
  </si>
  <si>
    <t>Federal Tax Credit</t>
  </si>
  <si>
    <t>Federal Tax Credit (%)</t>
  </si>
  <si>
    <t>Federal Tax Credit Value ($)</t>
  </si>
  <si>
    <t>Depreciation Value</t>
  </si>
  <si>
    <t>State Tax Credit</t>
  </si>
  <si>
    <t>Total revenue ($)</t>
  </si>
  <si>
    <t>Revenue (see customer tab)</t>
  </si>
  <si>
    <t>Inverter cost ($/watt_dc)</t>
  </si>
  <si>
    <t>Lease ($/year)</t>
  </si>
  <si>
    <t>System Price ($)</t>
  </si>
  <si>
    <t>Insurance ($/kW_dc/yr)</t>
  </si>
  <si>
    <t>Production meter ($/year)</t>
  </si>
  <si>
    <t>VT State Tax Credit Value ($)</t>
  </si>
  <si>
    <t>VT State Tax Credit (%)</t>
  </si>
  <si>
    <t>Loan interest payment</t>
  </si>
  <si>
    <t>Principal remaining</t>
  </si>
  <si>
    <t>Prinicipal payment</t>
  </si>
  <si>
    <t>Total expenses (excl prinicipal)</t>
  </si>
  <si>
    <t>Total expenses (incl prinicipal)</t>
  </si>
  <si>
    <t>Total income (excl principal)</t>
  </si>
  <si>
    <r>
      <t xml:space="preserve">Investor Tax Benefit </t>
    </r>
    <r>
      <rPr>
        <sz val="10"/>
        <color indexed="10"/>
        <rFont val="Arial"/>
        <family val="2"/>
      </rPr>
      <t>(Liability)</t>
    </r>
  </si>
  <si>
    <t>Loan payment*</t>
  </si>
  <si>
    <t>Tax Investor Equity ($)</t>
  </si>
  <si>
    <t>Tax Investor Tax Rate (%)</t>
  </si>
  <si>
    <t>Tax Investor from VT</t>
  </si>
  <si>
    <t>Average Solar Savings</t>
  </si>
  <si>
    <t>Annual Lease ($/yr)</t>
  </si>
  <si>
    <t>Customer Discount ($/kWh)</t>
  </si>
  <si>
    <t xml:space="preserve">25  Year FMV (%) of Original </t>
  </si>
  <si>
    <t>Generation Factor (kWh/W)</t>
  </si>
  <si>
    <t>Solar Value ($) [Amt. Customer Credit]</t>
  </si>
  <si>
    <t>Solar Cost ($) [Amt. Customer Pays for Credit]</t>
  </si>
  <si>
    <t>Base Tariff ($/kWh)</t>
  </si>
  <si>
    <t>System Size (W-DC)</t>
  </si>
  <si>
    <t>ITC Eligble Basis</t>
  </si>
  <si>
    <t>Interconnection Costs ($)</t>
  </si>
  <si>
    <t>Project cost (including developer expenses/fees) ($/w)</t>
  </si>
  <si>
    <t>Total Project Cost ($)</t>
  </si>
  <si>
    <t>Customer REC Ownership (%)</t>
  </si>
  <si>
    <t>Non-ITC Costs</t>
  </si>
  <si>
    <t>Grants ($)</t>
  </si>
  <si>
    <t>Year 1 Est. Generation (kWh)</t>
  </si>
  <si>
    <t>Annual Taxes Rate ($/kWac/yr)</t>
  </si>
  <si>
    <r>
      <t xml:space="preserve">Taxable Income </t>
    </r>
    <r>
      <rPr>
        <sz val="10"/>
        <color indexed="10"/>
        <rFont val="Arial"/>
        <family val="2"/>
      </rPr>
      <t xml:space="preserve">(Loss) </t>
    </r>
    <r>
      <rPr>
        <b/>
        <sz val="10"/>
        <color indexed="10"/>
        <rFont val="Arial"/>
        <family val="2"/>
      </rPr>
      <t>pre-depreciation</t>
    </r>
  </si>
  <si>
    <t xml:space="preserve">Tax credits </t>
  </si>
  <si>
    <t>Total Net (including depreciation)</t>
  </si>
  <si>
    <t>Savings by Customer</t>
  </si>
  <si>
    <t>Total Investor Expenses (excl principal)</t>
  </si>
  <si>
    <t>Total Investor Expenses (principal only )</t>
  </si>
  <si>
    <t>From above -- Solar Value minus Savings</t>
  </si>
  <si>
    <t>Investor Tax costs / benefit from Depreciation</t>
  </si>
  <si>
    <t>Value of Tax Credit</t>
  </si>
  <si>
    <t>Net to Investor</t>
  </si>
  <si>
    <t>Percentage Financed</t>
  </si>
  <si>
    <t>Solar Site Adder ($/kWh)</t>
  </si>
  <si>
    <t>Tariff + Site Adder + REC Adder</t>
  </si>
  <si>
    <t>Solar REC Adder ($/kWh)</t>
  </si>
  <si>
    <t>Solar Degradation / Year</t>
  </si>
  <si>
    <t>Operations and Maintenance ($/kW_dc/yr)</t>
  </si>
  <si>
    <t xml:space="preserve">Customer Energy Price Escalator (%) </t>
  </si>
  <si>
    <t>NMA Rate</t>
  </si>
  <si>
    <t>NMA Revenues</t>
  </si>
  <si>
    <t>NM Compensation rate ($/kWh)</t>
  </si>
  <si>
    <t>Property tax ($/yr)</t>
  </si>
  <si>
    <t>Insurance ($/yr)</t>
  </si>
  <si>
    <t>Project Expenses</t>
  </si>
  <si>
    <t>Applies to Owner Only</t>
  </si>
  <si>
    <t>Net Meter Credit Specifics</t>
  </si>
  <si>
    <t>System Specifics</t>
  </si>
  <si>
    <t>Annual increase in Expenses (%)</t>
  </si>
  <si>
    <t>OWNER SPECIFICS</t>
  </si>
  <si>
    <t>CUSTOMER SPECIFICS</t>
  </si>
  <si>
    <t>Retired to Utility</t>
  </si>
  <si>
    <t>ANNUAL OWNER EXPENSES</t>
  </si>
  <si>
    <t>INFLATION ASSUMPTIONS</t>
  </si>
  <si>
    <t>OWNER FINANCING SPECIFICS</t>
  </si>
  <si>
    <t>Loan Interest Rate %</t>
  </si>
  <si>
    <t>TAX CREDITS</t>
  </si>
  <si>
    <t>LOAN and TAX RATES</t>
  </si>
  <si>
    <t xml:space="preserve">OWNER MODEL AND ASSUMPTIONS </t>
  </si>
  <si>
    <t>Depreciation Schedule (can distibute)</t>
  </si>
  <si>
    <t>DSCR (Debt Service Coverage Ration  must be &gt; 1.2)</t>
  </si>
  <si>
    <t xml:space="preserve">Net </t>
  </si>
  <si>
    <t>PROFORMA</t>
  </si>
  <si>
    <t>INPUTS AND ASSUMPTIONS</t>
  </si>
  <si>
    <t xml:space="preserve">Solar Value </t>
  </si>
  <si>
    <t xml:space="preserve">Total Customer Expenses </t>
  </si>
  <si>
    <t xml:space="preserve">Utility rate Inflation  (% / yr) </t>
  </si>
  <si>
    <t>INPUTS in Yellow</t>
  </si>
  <si>
    <t xml:space="preserve">Not for C corps - "True or False" </t>
  </si>
  <si>
    <t>CURRENT Yr</t>
  </si>
  <si>
    <t>SOLAR NMC ($)  PAID BY CUSTOMER</t>
  </si>
  <si>
    <t>REC payments ($) levelized at value of 1c</t>
  </si>
  <si>
    <t>Operations and Maintenance ($/yr) (includes inverters replaced Y11)</t>
  </si>
  <si>
    <t>NET METERING CUSTOMER</t>
  </si>
  <si>
    <t>Cummulative</t>
  </si>
  <si>
    <t>Credits - expenses</t>
  </si>
  <si>
    <t>Blended rate ($/kWh)</t>
  </si>
  <si>
    <t>Year</t>
  </si>
  <si>
    <t>Scenario</t>
  </si>
  <si>
    <t>PSD Base w/ 10% inflation (2.42/WDC)</t>
  </si>
  <si>
    <t>PSD Base w/ 10% inflation and 16.4c residential rate</t>
  </si>
  <si>
    <t>NM 2.0 @30% ITC</t>
  </si>
  <si>
    <t>NM2.1 @30% ITC</t>
  </si>
  <si>
    <t>NM2.2 @26% ITC</t>
  </si>
  <si>
    <t>NM2.3 @26% ITC</t>
  </si>
  <si>
    <t>NM2.4 @26% ITC</t>
  </si>
  <si>
    <t>NM-PSD @26% ITC</t>
  </si>
  <si>
    <t>NM-PSD @22%  ITC</t>
  </si>
  <si>
    <t>NM-PSD @22% ITC</t>
  </si>
  <si>
    <t>NM-PSD @10% ITC</t>
  </si>
  <si>
    <t>NM Regime and ITC%</t>
  </si>
  <si>
    <t>Notes on Variations</t>
  </si>
  <si>
    <t>($2.2/WDC)</t>
  </si>
  <si>
    <t>PROPOSED BY PSD Base (-.01) REC</t>
  </si>
  <si>
    <t>PSD Base Jan 1,2023 ITC Change</t>
  </si>
  <si>
    <t>PSD Base Jan 1, 2024 ITC Change</t>
  </si>
  <si>
    <t>Payback (Years)</t>
  </si>
  <si>
    <t>Annualized Cat III Application MW/YR</t>
  </si>
  <si>
    <t xml:space="preserve">Average VT FIRST YEAR GENERATION </t>
  </si>
  <si>
    <t>2.5% matched  utility inflation</t>
  </si>
  <si>
    <t>Direct Ownership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</si>
</sst>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&quot;$&quot;#,##0.0000_);[Red]\(&quot;$&quot;#,##0.0000\)"/>
    <numFmt numFmtId="166" formatCode="0.000"/>
    <numFmt numFmtId="167" formatCode="&quot;Year&quot;\ 0"/>
    <numFmt numFmtId="168" formatCode="_(&quot;$&quot;* #,##0_);_(&quot;$&quot;* \(#,##0\);_(&quot;$&quot;* &quot;-&quot;??_);_(@_)"/>
    <numFmt numFmtId="169" formatCode="#,##0.0000"/>
    <numFmt numFmtId="170" formatCode="0.0000"/>
    <numFmt numFmtId="171" formatCode="&quot;$&quot;#,##0"/>
    <numFmt numFmtId="172" formatCode="_(&quot;$&quot;* #,##0.0_);_(&quot;$&quot;* \(#,##0.0\);_(&quot;$&quot;* &quot;-&quot;?_);_(@_)"/>
    <numFmt numFmtId="173" formatCode="_(&quot;$&quot;* #,##0.000_);_(&quot;$&quot;* \(#,##0.000\);_(&quot;$&quot;* &quot;-&quot;??_);_(@_)"/>
    <numFmt numFmtId="174" formatCode="_(&quot;$&quot;* #,##0.0000_);_(&quot;$&quot;* \(#,##0.0000\);_(&quot;$&quot;* &quot;-&quot;??_);_(@_)"/>
    <numFmt numFmtId="175" formatCode="_(&quot;$&quot;* #,##0.0_);_(&quot;$&quot;* \(#,##0.0\);_(&quot;$&quot;* &quot;-&quot;??_);_(@_)"/>
    <numFmt numFmtId="176" formatCode="_(* #,##0_);_(* \(#,##0\);_(* &quot;-&quot;??_);_(@_)"/>
    <numFmt numFmtId="177" formatCode="0.0"/>
  </numFmts>
  <fonts count="3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b/>
      <sz val="10"/>
      <color indexed="10"/>
      <name val="Arial"/>
      <family val="2"/>
    </font>
    <font>
      <sz val="10"/>
      <name val="Arial"/>
      <family val="2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Arial"/>
      <family val="2"/>
    </font>
    <font>
      <b/>
      <sz val="14"/>
      <name val="Arial"/>
      <family val="2"/>
    </font>
    <font>
      <b/>
      <sz val="2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2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ashed">
        <color theme="0" tint="-0.2499465926084170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9" fillId="26" borderId="0" applyNumberFormat="0" applyBorder="0" applyAlignment="0" applyProtection="0"/>
    <xf numFmtId="0" fontId="10" fillId="27" borderId="1" applyNumberFormat="0" applyAlignment="0" applyProtection="0"/>
    <xf numFmtId="0" fontId="11" fillId="28" borderId="2" applyNumberFormat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29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30" borderId="1" applyNumberFormat="0" applyAlignment="0" applyProtection="0"/>
    <xf numFmtId="0" fontId="18" fillId="0" borderId="6" applyNumberFormat="0" applyFill="0" applyAlignment="0" applyProtection="0"/>
    <xf numFmtId="0" fontId="19" fillId="31" borderId="0" applyNumberFormat="0" applyBorder="0" applyAlignment="0" applyProtection="0"/>
    <xf numFmtId="0" fontId="7" fillId="0" borderId="0"/>
    <xf numFmtId="0" fontId="7" fillId="32" borderId="7" applyNumberFormat="0" applyFont="0" applyAlignment="0" applyProtection="0"/>
    <xf numFmtId="0" fontId="20" fillId="27" borderId="8" applyNumberFormat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5" fillId="0" borderId="10" applyNumberFormat="0" applyFont="0" applyProtection="0">
      <alignment wrapText="1"/>
    </xf>
    <xf numFmtId="44" fontId="1" fillId="0" borderId="0" applyFont="0" applyFill="0" applyBorder="0" applyAlignment="0" applyProtection="0"/>
    <xf numFmtId="43" fontId="27" fillId="0" borderId="0" applyFont="0" applyFill="0" applyBorder="0" applyAlignment="0" applyProtection="0"/>
  </cellStyleXfs>
  <cellXfs count="133">
    <xf numFmtId="0" fontId="0" fillId="0" borderId="0" xfId="0"/>
    <xf numFmtId="6" fontId="0" fillId="0" borderId="0" xfId="0" applyNumberFormat="1"/>
    <xf numFmtId="9" fontId="0" fillId="0" borderId="0" xfId="42" applyFont="1"/>
    <xf numFmtId="168" fontId="0" fillId="0" borderId="0" xfId="0" applyNumberFormat="1"/>
    <xf numFmtId="0" fontId="3" fillId="0" borderId="0" xfId="0" applyFont="1"/>
    <xf numFmtId="0" fontId="0" fillId="0" borderId="0" xfId="0" applyFill="1"/>
    <xf numFmtId="10" fontId="0" fillId="0" borderId="0" xfId="0" applyNumberFormat="1"/>
    <xf numFmtId="0" fontId="4" fillId="0" borderId="0" xfId="0" applyFont="1"/>
    <xf numFmtId="0" fontId="0" fillId="0" borderId="0" xfId="0" applyFont="1"/>
    <xf numFmtId="9" fontId="0" fillId="0" borderId="0" xfId="0" applyNumberFormat="1" applyFill="1"/>
    <xf numFmtId="1" fontId="0" fillId="0" borderId="0" xfId="0" applyNumberFormat="1" applyFill="1"/>
    <xf numFmtId="0" fontId="24" fillId="0" borderId="0" xfId="0" applyFont="1"/>
    <xf numFmtId="0" fontId="24" fillId="0" borderId="11" xfId="0" applyFont="1" applyBorder="1"/>
    <xf numFmtId="44" fontId="24" fillId="0" borderId="11" xfId="0" applyNumberFormat="1" applyFont="1" applyBorder="1"/>
    <xf numFmtId="0" fontId="1" fillId="0" borderId="0" xfId="0" applyFont="1"/>
    <xf numFmtId="171" fontId="0" fillId="0" borderId="0" xfId="0" applyNumberFormat="1"/>
    <xf numFmtId="168" fontId="0" fillId="0" borderId="0" xfId="48" applyNumberFormat="1" applyFont="1" applyFill="1"/>
    <xf numFmtId="168" fontId="0" fillId="0" borderId="0" xfId="48" applyNumberFormat="1" applyFont="1"/>
    <xf numFmtId="44" fontId="0" fillId="0" borderId="0" xfId="48" applyNumberFormat="1" applyFont="1" applyFill="1"/>
    <xf numFmtId="173" fontId="0" fillId="0" borderId="0" xfId="48" applyNumberFormat="1" applyFont="1" applyFill="1"/>
    <xf numFmtId="6" fontId="0" fillId="0" borderId="0" xfId="0" applyNumberFormat="1" applyFill="1"/>
    <xf numFmtId="8" fontId="0" fillId="0" borderId="0" xfId="0" applyNumberFormat="1"/>
    <xf numFmtId="6" fontId="1" fillId="0" borderId="0" xfId="0" applyNumberFormat="1" applyFont="1"/>
    <xf numFmtId="165" fontId="0" fillId="0" borderId="0" xfId="0" applyNumberFormat="1" applyFill="1"/>
    <xf numFmtId="1" fontId="0" fillId="0" borderId="0" xfId="48" applyNumberFormat="1" applyFont="1" applyFill="1"/>
    <xf numFmtId="44" fontId="0" fillId="0" borderId="0" xfId="48" applyNumberFormat="1" applyFont="1"/>
    <xf numFmtId="10" fontId="0" fillId="0" borderId="0" xfId="42" applyNumberFormat="1" applyFont="1"/>
    <xf numFmtId="168" fontId="24" fillId="0" borderId="11" xfId="0" applyNumberFormat="1" applyFont="1" applyFill="1" applyBorder="1"/>
    <xf numFmtId="168" fontId="0" fillId="0" borderId="0" xfId="0" applyNumberFormat="1" applyFill="1"/>
    <xf numFmtId="0" fontId="28" fillId="0" borderId="0" xfId="0" applyFont="1"/>
    <xf numFmtId="0" fontId="29" fillId="0" borderId="0" xfId="0" applyFont="1"/>
    <xf numFmtId="0" fontId="30" fillId="0" borderId="0" xfId="0" applyFont="1"/>
    <xf numFmtId="171" fontId="28" fillId="0" borderId="0" xfId="0" applyNumberFormat="1" applyFont="1" applyFill="1" applyAlignment="1">
      <alignment horizontal="center"/>
    </xf>
    <xf numFmtId="2" fontId="28" fillId="0" borderId="0" xfId="0" applyNumberFormat="1" applyFont="1"/>
    <xf numFmtId="0" fontId="31" fillId="0" borderId="0" xfId="0" applyFont="1"/>
    <xf numFmtId="9" fontId="28" fillId="0" borderId="0" xfId="0" applyNumberFormat="1" applyFont="1" applyAlignment="1">
      <alignment horizontal="center"/>
    </xf>
    <xf numFmtId="9" fontId="28" fillId="0" borderId="0" xfId="0" applyNumberFormat="1" applyFont="1" applyFill="1" applyAlignment="1">
      <alignment horizontal="center"/>
    </xf>
    <xf numFmtId="1" fontId="28" fillId="0" borderId="0" xfId="0" applyNumberFormat="1" applyFont="1"/>
    <xf numFmtId="170" fontId="28" fillId="0" borderId="0" xfId="0" applyNumberFormat="1" applyFont="1"/>
    <xf numFmtId="166" fontId="28" fillId="0" borderId="0" xfId="0" applyNumberFormat="1" applyFont="1"/>
    <xf numFmtId="9" fontId="28" fillId="33" borderId="0" xfId="0" applyNumberFormat="1" applyFont="1" applyFill="1" applyAlignment="1">
      <alignment horizontal="center"/>
    </xf>
    <xf numFmtId="176" fontId="28" fillId="33" borderId="0" xfId="49" applyNumberFormat="1" applyFont="1" applyFill="1" applyAlignment="1">
      <alignment horizontal="center"/>
    </xf>
    <xf numFmtId="44" fontId="28" fillId="33" borderId="0" xfId="48" applyFont="1" applyFill="1" applyAlignment="1">
      <alignment horizontal="center"/>
    </xf>
    <xf numFmtId="173" fontId="28" fillId="33" borderId="0" xfId="48" applyNumberFormat="1" applyFont="1" applyFill="1" applyAlignment="1">
      <alignment horizontal="center"/>
    </xf>
    <xf numFmtId="168" fontId="28" fillId="0" borderId="0" xfId="48" applyNumberFormat="1" applyFont="1" applyFill="1" applyAlignment="1">
      <alignment horizontal="center"/>
    </xf>
    <xf numFmtId="175" fontId="28" fillId="33" borderId="0" xfId="48" applyNumberFormat="1" applyFont="1" applyFill="1" applyAlignment="1">
      <alignment horizontal="center"/>
    </xf>
    <xf numFmtId="166" fontId="28" fillId="0" borderId="0" xfId="0" applyNumberFormat="1" applyFont="1" applyFill="1" applyAlignment="1">
      <alignment horizontal="left" indent="1"/>
    </xf>
    <xf numFmtId="171" fontId="28" fillId="0" borderId="0" xfId="0" applyNumberFormat="1" applyFont="1" applyFill="1" applyAlignment="1">
      <alignment horizontal="left" indent="1"/>
    </xf>
    <xf numFmtId="2" fontId="28" fillId="0" borderId="0" xfId="0" applyNumberFormat="1" applyFont="1" applyFill="1" applyAlignment="1">
      <alignment horizontal="left" indent="1"/>
    </xf>
    <xf numFmtId="9" fontId="28" fillId="0" borderId="0" xfId="0" applyNumberFormat="1" applyFont="1" applyFill="1" applyAlignment="1">
      <alignment horizontal="left" indent="1"/>
    </xf>
    <xf numFmtId="164" fontId="28" fillId="0" borderId="0" xfId="0" applyNumberFormat="1" applyFont="1" applyFill="1" applyAlignment="1">
      <alignment horizontal="left" indent="1"/>
    </xf>
    <xf numFmtId="10" fontId="28" fillId="0" borderId="0" xfId="0" applyNumberFormat="1" applyFont="1" applyFill="1" applyAlignment="1">
      <alignment horizontal="left" indent="1"/>
    </xf>
    <xf numFmtId="1" fontId="28" fillId="0" borderId="0" xfId="0" applyNumberFormat="1" applyFont="1" applyFill="1" applyAlignment="1">
      <alignment horizontal="left" indent="1"/>
    </xf>
    <xf numFmtId="170" fontId="28" fillId="0" borderId="0" xfId="0" applyNumberFormat="1" applyFont="1" applyFill="1" applyAlignment="1">
      <alignment horizontal="left" indent="1"/>
    </xf>
    <xf numFmtId="176" fontId="28" fillId="0" borderId="0" xfId="49" applyNumberFormat="1" applyFont="1" applyFill="1" applyAlignment="1">
      <alignment horizontal="center"/>
    </xf>
    <xf numFmtId="164" fontId="28" fillId="33" borderId="0" xfId="0" applyNumberFormat="1" applyFont="1" applyFill="1" applyAlignment="1">
      <alignment horizontal="right"/>
    </xf>
    <xf numFmtId="168" fontId="28" fillId="33" borderId="0" xfId="48" applyNumberFormat="1" applyFont="1" applyFill="1" applyAlignment="1">
      <alignment horizontal="center"/>
    </xf>
    <xf numFmtId="10" fontId="28" fillId="33" borderId="0" xfId="0" applyNumberFormat="1" applyFont="1" applyFill="1" applyAlignment="1">
      <alignment horizontal="right"/>
    </xf>
    <xf numFmtId="2" fontId="28" fillId="33" borderId="0" xfId="0" applyNumberFormat="1" applyFont="1" applyFill="1" applyAlignment="1">
      <alignment horizontal="right"/>
    </xf>
    <xf numFmtId="44" fontId="28" fillId="33" borderId="0" xfId="48" applyNumberFormat="1" applyFont="1" applyFill="1" applyAlignment="1">
      <alignment horizontal="center"/>
    </xf>
    <xf numFmtId="0" fontId="30" fillId="33" borderId="0" xfId="0" applyFont="1" applyFill="1" applyAlignment="1">
      <alignment horizontal="center"/>
    </xf>
    <xf numFmtId="0" fontId="28" fillId="35" borderId="0" xfId="0" applyFont="1" applyFill="1"/>
    <xf numFmtId="0" fontId="29" fillId="35" borderId="0" xfId="0" applyFont="1" applyFill="1"/>
    <xf numFmtId="9" fontId="29" fillId="33" borderId="0" xfId="0" applyNumberFormat="1" applyFont="1" applyFill="1"/>
    <xf numFmtId="167" fontId="24" fillId="35" borderId="22" xfId="0" applyNumberFormat="1" applyFont="1" applyFill="1" applyBorder="1" applyAlignment="1">
      <alignment horizontal="center"/>
    </xf>
    <xf numFmtId="10" fontId="0" fillId="0" borderId="0" xfId="42" applyNumberFormat="1" applyFont="1" applyFill="1"/>
    <xf numFmtId="164" fontId="0" fillId="0" borderId="0" xfId="0" applyNumberFormat="1" applyFill="1"/>
    <xf numFmtId="0" fontId="24" fillId="35" borderId="0" xfId="0" applyFont="1" applyFill="1"/>
    <xf numFmtId="0" fontId="0" fillId="0" borderId="0" xfId="0" applyAlignment="1">
      <alignment horizontal="center"/>
    </xf>
    <xf numFmtId="167" fontId="24" fillId="0" borderId="12" xfId="0" applyNumberFormat="1" applyFont="1" applyBorder="1" applyAlignment="1">
      <alignment horizontal="center"/>
    </xf>
    <xf numFmtId="0" fontId="24" fillId="0" borderId="11" xfId="0" applyFont="1" applyFill="1" applyBorder="1"/>
    <xf numFmtId="0" fontId="24" fillId="35" borderId="15" xfId="0" applyFont="1" applyFill="1" applyBorder="1"/>
    <xf numFmtId="0" fontId="3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0" fontId="6" fillId="0" borderId="0" xfId="0" applyFont="1" applyAlignment="1">
      <alignment horizontal="left" indent="1"/>
    </xf>
    <xf numFmtId="0" fontId="24" fillId="0" borderId="0" xfId="0" applyFont="1" applyAlignment="1">
      <alignment horizontal="left" indent="1"/>
    </xf>
    <xf numFmtId="0" fontId="0" fillId="0" borderId="0" xfId="0" applyFont="1" applyAlignment="1">
      <alignment horizontal="left" indent="1"/>
    </xf>
    <xf numFmtId="0" fontId="24" fillId="0" borderId="11" xfId="0" applyFont="1" applyBorder="1" applyAlignment="1">
      <alignment horizontal="left" indent="2"/>
    </xf>
    <xf numFmtId="0" fontId="33" fillId="35" borderId="11" xfId="0" applyFont="1" applyFill="1" applyBorder="1" applyAlignment="1">
      <alignment horizontal="left"/>
    </xf>
    <xf numFmtId="0" fontId="33" fillId="35" borderId="13" xfId="0" applyFont="1" applyFill="1" applyBorder="1"/>
    <xf numFmtId="0" fontId="32" fillId="35" borderId="0" xfId="0" applyFont="1" applyFill="1"/>
    <xf numFmtId="0" fontId="28" fillId="0" borderId="0" xfId="0" applyFont="1" applyAlignment="1">
      <alignment horizontal="left" indent="1"/>
    </xf>
    <xf numFmtId="9" fontId="30" fillId="33" borderId="0" xfId="0" applyNumberFormat="1" applyFont="1" applyFill="1" applyAlignment="1">
      <alignment horizontal="right"/>
    </xf>
    <xf numFmtId="177" fontId="28" fillId="33" borderId="0" xfId="0" applyNumberFormat="1" applyFont="1" applyFill="1" applyAlignment="1">
      <alignment horizontal="right"/>
    </xf>
    <xf numFmtId="43" fontId="28" fillId="0" borderId="0" xfId="0" applyNumberFormat="1" applyFont="1"/>
    <xf numFmtId="9" fontId="0" fillId="36" borderId="0" xfId="0" applyNumberFormat="1" applyFill="1"/>
    <xf numFmtId="0" fontId="1" fillId="36" borderId="0" xfId="0" applyFont="1" applyFill="1" applyAlignment="1">
      <alignment horizontal="left" indent="1"/>
    </xf>
    <xf numFmtId="0" fontId="1" fillId="34" borderId="0" xfId="0" applyFont="1" applyFill="1" applyAlignment="1">
      <alignment horizontal="left" indent="1"/>
    </xf>
    <xf numFmtId="10" fontId="0" fillId="0" borderId="0" xfId="0" applyNumberFormat="1" applyFill="1"/>
    <xf numFmtId="8" fontId="0" fillId="0" borderId="0" xfId="48" applyNumberFormat="1" applyFont="1" applyFill="1"/>
    <xf numFmtId="44" fontId="0" fillId="0" borderId="0" xfId="48" applyFont="1" applyFill="1"/>
    <xf numFmtId="172" fontId="0" fillId="0" borderId="0" xfId="0" applyNumberFormat="1" applyFill="1"/>
    <xf numFmtId="0" fontId="24" fillId="0" borderId="0" xfId="0" applyFont="1" applyFill="1"/>
    <xf numFmtId="3" fontId="0" fillId="0" borderId="0" xfId="0" applyNumberFormat="1" applyFill="1" applyBorder="1"/>
    <xf numFmtId="38" fontId="0" fillId="0" borderId="0" xfId="0" applyNumberFormat="1" applyFill="1"/>
    <xf numFmtId="169" fontId="0" fillId="0" borderId="0" xfId="0" applyNumberFormat="1" applyFill="1"/>
    <xf numFmtId="6" fontId="33" fillId="0" borderId="0" xfId="0" applyNumberFormat="1" applyFont="1" applyFill="1"/>
    <xf numFmtId="9" fontId="0" fillId="0" borderId="0" xfId="42" applyFont="1" applyFill="1"/>
    <xf numFmtId="6" fontId="0" fillId="0" borderId="0" xfId="42" applyNumberFormat="1" applyFont="1" applyFill="1"/>
    <xf numFmtId="168" fontId="22" fillId="0" borderId="0" xfId="0" applyNumberFormat="1" applyFont="1" applyFill="1"/>
    <xf numFmtId="174" fontId="0" fillId="0" borderId="0" xfId="0" applyNumberFormat="1" applyFill="1"/>
    <xf numFmtId="44" fontId="0" fillId="0" borderId="0" xfId="0" applyNumberFormat="1" applyFill="1"/>
    <xf numFmtId="167" fontId="24" fillId="0" borderId="12" xfId="0" applyNumberFormat="1" applyFont="1" applyFill="1" applyBorder="1" applyAlignment="1">
      <alignment horizontal="center"/>
    </xf>
    <xf numFmtId="0" fontId="24" fillId="0" borderId="11" xfId="0" applyFont="1" applyFill="1" applyBorder="1" applyAlignment="1">
      <alignment horizontal="left" indent="2"/>
    </xf>
    <xf numFmtId="9" fontId="0" fillId="33" borderId="0" xfId="0" applyNumberFormat="1" applyFill="1"/>
    <xf numFmtId="0" fontId="24" fillId="0" borderId="24" xfId="0" applyFont="1" applyBorder="1" applyAlignment="1">
      <alignment wrapText="1"/>
    </xf>
    <xf numFmtId="0" fontId="0" fillId="0" borderId="24" xfId="0" applyBorder="1" applyAlignment="1">
      <alignment horizontal="center"/>
    </xf>
    <xf numFmtId="0" fontId="0" fillId="0" borderId="24" xfId="0" applyBorder="1"/>
    <xf numFmtId="177" fontId="0" fillId="0" borderId="24" xfId="0" applyNumberFormat="1" applyBorder="1"/>
    <xf numFmtId="0" fontId="35" fillId="0" borderId="13" xfId="0" applyFont="1" applyBorder="1" applyAlignment="1">
      <alignment horizontal="center"/>
    </xf>
    <xf numFmtId="0" fontId="35" fillId="0" borderId="14" xfId="0" applyFont="1" applyBorder="1" applyAlignment="1">
      <alignment horizontal="center"/>
    </xf>
    <xf numFmtId="0" fontId="35" fillId="0" borderId="15" xfId="0" applyFont="1" applyBorder="1" applyAlignment="1">
      <alignment horizontal="center"/>
    </xf>
    <xf numFmtId="0" fontId="24" fillId="0" borderId="11" xfId="0" applyFont="1" applyBorder="1" applyAlignment="1">
      <alignment horizontal="left" wrapText="1" indent="1"/>
    </xf>
    <xf numFmtId="0" fontId="34" fillId="37" borderId="16" xfId="0" applyFont="1" applyFill="1" applyBorder="1" applyAlignment="1">
      <alignment horizontal="center" vertical="center"/>
    </xf>
    <xf numFmtId="0" fontId="34" fillId="37" borderId="17" xfId="0" applyFont="1" applyFill="1" applyBorder="1" applyAlignment="1">
      <alignment horizontal="center" vertical="center"/>
    </xf>
    <xf numFmtId="0" fontId="34" fillId="37" borderId="18" xfId="0" applyFont="1" applyFill="1" applyBorder="1" applyAlignment="1">
      <alignment horizontal="center" vertical="center"/>
    </xf>
    <xf numFmtId="0" fontId="34" fillId="37" borderId="19" xfId="0" applyFont="1" applyFill="1" applyBorder="1" applyAlignment="1">
      <alignment horizontal="center" vertical="center"/>
    </xf>
    <xf numFmtId="0" fontId="34" fillId="37" borderId="0" xfId="0" applyFont="1" applyFill="1" applyBorder="1" applyAlignment="1">
      <alignment horizontal="center" vertical="center"/>
    </xf>
    <xf numFmtId="0" fontId="34" fillId="37" borderId="20" xfId="0" applyFont="1" applyFill="1" applyBorder="1" applyAlignment="1">
      <alignment horizontal="center" vertical="center"/>
    </xf>
    <xf numFmtId="0" fontId="34" fillId="37" borderId="21" xfId="0" applyFont="1" applyFill="1" applyBorder="1" applyAlignment="1">
      <alignment horizontal="center" vertical="center"/>
    </xf>
    <xf numFmtId="0" fontId="34" fillId="37" borderId="22" xfId="0" applyFont="1" applyFill="1" applyBorder="1" applyAlignment="1">
      <alignment horizontal="center" vertical="center"/>
    </xf>
    <xf numFmtId="0" fontId="34" fillId="37" borderId="23" xfId="0" applyFont="1" applyFill="1" applyBorder="1" applyAlignment="1">
      <alignment horizontal="center" vertical="center"/>
    </xf>
    <xf numFmtId="0" fontId="24" fillId="35" borderId="0" xfId="0" applyFont="1" applyFill="1" applyAlignment="1">
      <alignment horizontal="left"/>
    </xf>
    <xf numFmtId="9" fontId="0" fillId="0" borderId="0" xfId="0" applyNumberFormat="1" applyAlignment="1">
      <alignment horizontal="center"/>
    </xf>
    <xf numFmtId="0" fontId="34" fillId="38" borderId="16" xfId="0" applyFont="1" applyFill="1" applyBorder="1" applyAlignment="1">
      <alignment horizontal="center" vertical="center"/>
    </xf>
    <xf numFmtId="0" fontId="34" fillId="38" borderId="17" xfId="0" applyFont="1" applyFill="1" applyBorder="1" applyAlignment="1">
      <alignment horizontal="center" vertical="center"/>
    </xf>
    <xf numFmtId="0" fontId="34" fillId="38" borderId="18" xfId="0" applyFont="1" applyFill="1" applyBorder="1" applyAlignment="1">
      <alignment horizontal="center" vertical="center"/>
    </xf>
    <xf numFmtId="0" fontId="34" fillId="38" borderId="19" xfId="0" applyFont="1" applyFill="1" applyBorder="1" applyAlignment="1">
      <alignment horizontal="center" vertical="center"/>
    </xf>
    <xf numFmtId="0" fontId="34" fillId="38" borderId="0" xfId="0" applyFont="1" applyFill="1" applyBorder="1" applyAlignment="1">
      <alignment horizontal="center" vertical="center"/>
    </xf>
    <xf numFmtId="0" fontId="34" fillId="38" borderId="20" xfId="0" applyFont="1" applyFill="1" applyBorder="1" applyAlignment="1">
      <alignment horizontal="center" vertical="center"/>
    </xf>
    <xf numFmtId="0" fontId="34" fillId="38" borderId="21" xfId="0" applyFont="1" applyFill="1" applyBorder="1" applyAlignment="1">
      <alignment horizontal="center" vertical="center"/>
    </xf>
    <xf numFmtId="0" fontId="34" fillId="38" borderId="22" xfId="0" applyFont="1" applyFill="1" applyBorder="1" applyAlignment="1">
      <alignment horizontal="center" vertical="center"/>
    </xf>
    <xf numFmtId="0" fontId="34" fillId="38" borderId="23" xfId="0" applyFont="1" applyFill="1" applyBorder="1" applyAlignment="1">
      <alignment horizontal="center" vertical="center"/>
    </xf>
  </cellXfs>
  <cellStyles count="5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Body: normal cell" xfId="47" xr:uid="{00000000-0005-0000-0000-000019000000}"/>
    <cellStyle name="Calculation" xfId="26" builtinId="22" customBuiltin="1"/>
    <cellStyle name="Check Cell" xfId="27" builtinId="23" customBuiltin="1"/>
    <cellStyle name="Comma" xfId="49" builtinId="3"/>
    <cellStyle name="Comma 2" xfId="28" xr:uid="{00000000-0005-0000-0000-00001C000000}"/>
    <cellStyle name="Currency" xfId="48" builtinId="4"/>
    <cellStyle name="Currency 2" xfId="29" xr:uid="{00000000-0005-0000-0000-00001E000000}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rmal 2" xfId="39" xr:uid="{00000000-0005-0000-0000-000029000000}"/>
    <cellStyle name="Note 2" xfId="40" xr:uid="{00000000-0005-0000-0000-00002A000000}"/>
    <cellStyle name="Output" xfId="41" builtinId="21" customBuiltin="1"/>
    <cellStyle name="Percent" xfId="42" builtinId="5"/>
    <cellStyle name="Percent 2" xfId="43" xr:uid="{00000000-0005-0000-0000-00002D000000}"/>
    <cellStyle name="Title 2" xfId="44" xr:uid="{00000000-0005-0000-0000-00002E000000}"/>
    <cellStyle name="Total" xfId="45" builtinId="25" customBuiltin="1"/>
    <cellStyle name="Warning Text" xfId="46" builtinId="11" customBuiltin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Catagory III Simple Payback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Results!$H$2</c:f>
              <c:strCache>
                <c:ptCount val="1"/>
                <c:pt idx="0">
                  <c:v>Payback (Years)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100000"/>
                    <a:shade val="100000"/>
                    <a:satMod val="130000"/>
                  </a:schemeClr>
                </a:gs>
                <a:gs pos="100000">
                  <a:schemeClr val="accent1">
                    <a:tint val="50000"/>
                    <a:shade val="100000"/>
                    <a:satMod val="350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numRef>
              <c:f>Results!$G$3:$G$13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numCache>
            </c:numRef>
          </c:cat>
          <c:val>
            <c:numRef>
              <c:f>Results!$H$3:$H$13</c:f>
              <c:numCache>
                <c:formatCode>0.0</c:formatCode>
                <c:ptCount val="11"/>
                <c:pt idx="0">
                  <c:v>6</c:v>
                </c:pt>
                <c:pt idx="1">
                  <c:v>7</c:v>
                </c:pt>
                <c:pt idx="2">
                  <c:v>8.1</c:v>
                </c:pt>
                <c:pt idx="3">
                  <c:v>9</c:v>
                </c:pt>
                <c:pt idx="4">
                  <c:v>9.1</c:v>
                </c:pt>
                <c:pt idx="5">
                  <c:v>10</c:v>
                </c:pt>
                <c:pt idx="6">
                  <c:v>10.1</c:v>
                </c:pt>
                <c:pt idx="7">
                  <c:v>11</c:v>
                </c:pt>
                <c:pt idx="8">
                  <c:v>11.5</c:v>
                </c:pt>
                <c:pt idx="9">
                  <c:v>12.2</c:v>
                </c:pt>
                <c:pt idx="10">
                  <c:v>12.8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35-4819-87DB-05945F3223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17601135"/>
        <c:axId val="117602383"/>
      </c:barChart>
      <c:catAx>
        <c:axId val="11760113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Scenario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602383"/>
        <c:crosses val="autoZero"/>
        <c:auto val="1"/>
        <c:lblAlgn val="ctr"/>
        <c:lblOffset val="100"/>
        <c:noMultiLvlLbl val="0"/>
      </c:catAx>
      <c:valAx>
        <c:axId val="117602383"/>
        <c:scaling>
          <c:orientation val="minMax"/>
          <c:min val="5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6011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Cat III Application Rate as Payback Increases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Results!$H$2</c:f>
              <c:strCache>
                <c:ptCount val="1"/>
                <c:pt idx="0">
                  <c:v>Payback (Years)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Results!$G$3:$G$13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numCache>
            </c:numRef>
          </c:cat>
          <c:val>
            <c:numRef>
              <c:f>Results!$H$3:$H$13</c:f>
              <c:numCache>
                <c:formatCode>0.0</c:formatCode>
                <c:ptCount val="11"/>
                <c:pt idx="0">
                  <c:v>6</c:v>
                </c:pt>
                <c:pt idx="1">
                  <c:v>7</c:v>
                </c:pt>
                <c:pt idx="2">
                  <c:v>8.1</c:v>
                </c:pt>
                <c:pt idx="3">
                  <c:v>9</c:v>
                </c:pt>
                <c:pt idx="4">
                  <c:v>9.1</c:v>
                </c:pt>
                <c:pt idx="5">
                  <c:v>10</c:v>
                </c:pt>
                <c:pt idx="6">
                  <c:v>10.1</c:v>
                </c:pt>
                <c:pt idx="7">
                  <c:v>11</c:v>
                </c:pt>
                <c:pt idx="8">
                  <c:v>11.5</c:v>
                </c:pt>
                <c:pt idx="9">
                  <c:v>12.2</c:v>
                </c:pt>
                <c:pt idx="10">
                  <c:v>12.8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4E-470D-A09D-91FFCDEF3F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3993311"/>
        <c:axId val="503990399"/>
      </c:lineChart>
      <c:lineChart>
        <c:grouping val="standard"/>
        <c:varyColors val="0"/>
        <c:ser>
          <c:idx val="1"/>
          <c:order val="1"/>
          <c:tx>
            <c:strRef>
              <c:f>Results!$I$2</c:f>
              <c:strCache>
                <c:ptCount val="1"/>
                <c:pt idx="0">
                  <c:v>Annualized Cat III Application MW/YR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Results!$G$3:$G$13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numCache>
            </c:numRef>
          </c:cat>
          <c:val>
            <c:numRef>
              <c:f>Results!$I$3:$I$13</c:f>
              <c:numCache>
                <c:formatCode>0.0</c:formatCode>
                <c:ptCount val="11"/>
                <c:pt idx="0">
                  <c:v>36.5</c:v>
                </c:pt>
                <c:pt idx="1">
                  <c:v>20</c:v>
                </c:pt>
                <c:pt idx="2">
                  <c:v>21.410526315789472</c:v>
                </c:pt>
                <c:pt idx="3">
                  <c:v>14.22857142857143</c:v>
                </c:pt>
                <c:pt idx="4">
                  <c:v>0.35549999999999998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4E-470D-A09D-91FFCDEF3F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3028431"/>
        <c:axId val="983020111"/>
      </c:lineChart>
      <c:catAx>
        <c:axId val="5039933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Scenarios</a:t>
                </a:r>
              </a:p>
            </c:rich>
          </c:tx>
          <c:layout>
            <c:manualLayout>
              <c:xMode val="edge"/>
              <c:yMode val="edge"/>
              <c:x val="0.42803455818022751"/>
              <c:y val="0.7784251968503936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3990399"/>
        <c:crosses val="autoZero"/>
        <c:auto val="1"/>
        <c:lblAlgn val="ctr"/>
        <c:lblOffset val="100"/>
        <c:noMultiLvlLbl val="0"/>
      </c:catAx>
      <c:valAx>
        <c:axId val="503990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Payback 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3993311"/>
        <c:crosses val="autoZero"/>
        <c:crossBetween val="between"/>
      </c:valAx>
      <c:valAx>
        <c:axId val="983020111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Application Rate / Yr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&quot; MW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3028431"/>
        <c:crosses val="max"/>
        <c:crossBetween val="between"/>
      </c:valAx>
      <c:catAx>
        <c:axId val="983028431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98302011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1119188</xdr:colOff>
      <xdr:row>1</xdr:row>
      <xdr:rowOff>114238</xdr:rowOff>
    </xdr:from>
    <xdr:to>
      <xdr:col>8</xdr:col>
      <xdr:colOff>569197</xdr:colOff>
      <xdr:row>10</xdr:row>
      <xdr:rowOff>95277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1DECF4-6FB3-4363-A416-70A9B3740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63126" y="447613"/>
          <a:ext cx="6196090" cy="23337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266699</xdr:colOff>
      <xdr:row>15</xdr:row>
      <xdr:rowOff>95249</xdr:rowOff>
    </xdr:from>
    <xdr:to>
      <xdr:col>8</xdr:col>
      <xdr:colOff>371475</xdr:colOff>
      <xdr:row>32</xdr:row>
      <xdr:rowOff>85724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832CFD2-E127-49FE-8770-E58DB8A15A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183356</xdr:colOff>
      <xdr:row>33</xdr:row>
      <xdr:rowOff>97630</xdr:rowOff>
    </xdr:from>
    <xdr:to>
      <xdr:col>8</xdr:col>
      <xdr:colOff>611980</xdr:colOff>
      <xdr:row>50</xdr:row>
      <xdr:rowOff>88105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D829FA6-DD6F-4722-BB41-12FA0553F8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7"/>
  <sheetViews>
    <sheetView zoomScale="80" workbookViewId="0">
      <selection activeCell="C4" sqref="C4"/>
    </sheetView>
  </sheetViews>
  <sheetFormatPr defaultColWidth="22.73046875" defaultRowHeight="21" x14ac:dyDescent="0.65"/>
  <cols>
    <col min="1" max="1" width="15.1328125" style="29" customWidth="1"/>
    <col min="2" max="2" width="56.86328125" style="29" customWidth="1"/>
    <col min="3" max="3" width="20.86328125" style="29" customWidth="1"/>
    <col min="4" max="4" width="27.86328125" style="29" customWidth="1"/>
    <col min="5" max="6" width="19.265625" style="29" customWidth="1"/>
    <col min="7" max="7" width="28.73046875" style="29" customWidth="1"/>
    <col min="8" max="8" width="26.86328125" style="29" customWidth="1"/>
    <col min="9" max="16384" width="22.73046875" style="29"/>
  </cols>
  <sheetData>
    <row r="1" spans="1:7" ht="25.9" thickBot="1" x14ac:dyDescent="0.8">
      <c r="A1" s="109" t="s">
        <v>98</v>
      </c>
      <c r="B1" s="110"/>
      <c r="C1" s="111"/>
    </row>
    <row r="2" spans="1:7" x14ac:dyDescent="0.65">
      <c r="A2" s="80" t="s">
        <v>81</v>
      </c>
      <c r="B2" s="62"/>
      <c r="C2" s="60" t="s">
        <v>102</v>
      </c>
      <c r="D2" s="31"/>
      <c r="E2" s="30"/>
      <c r="F2" s="30"/>
      <c r="G2" s="30"/>
    </row>
    <row r="3" spans="1:7" x14ac:dyDescent="0.65">
      <c r="A3" s="81" t="s">
        <v>111</v>
      </c>
      <c r="C3" s="43">
        <v>0.1714</v>
      </c>
      <c r="D3" s="46"/>
    </row>
    <row r="4" spans="1:7" x14ac:dyDescent="0.65">
      <c r="A4" s="81" t="s">
        <v>68</v>
      </c>
      <c r="C4" s="43">
        <v>-0.04</v>
      </c>
      <c r="D4" s="46"/>
    </row>
    <row r="5" spans="1:7" x14ac:dyDescent="0.65">
      <c r="A5" s="81" t="s">
        <v>70</v>
      </c>
      <c r="C5" s="43">
        <v>-0.01</v>
      </c>
      <c r="D5" s="46"/>
    </row>
    <row r="6" spans="1:7" x14ac:dyDescent="0.65">
      <c r="A6" s="80" t="s">
        <v>82</v>
      </c>
      <c r="B6" s="61"/>
      <c r="C6" s="32"/>
      <c r="D6" s="46"/>
    </row>
    <row r="7" spans="1:7" x14ac:dyDescent="0.65">
      <c r="A7" s="81" t="s">
        <v>47</v>
      </c>
      <c r="C7" s="41">
        <v>755000</v>
      </c>
      <c r="D7" s="46"/>
    </row>
    <row r="8" spans="1:7" x14ac:dyDescent="0.65">
      <c r="A8" s="81" t="s">
        <v>43</v>
      </c>
      <c r="C8" s="58">
        <v>1.18</v>
      </c>
      <c r="D8" s="29" t="s">
        <v>133</v>
      </c>
    </row>
    <row r="9" spans="1:7" x14ac:dyDescent="0.65">
      <c r="A9" s="81" t="s">
        <v>71</v>
      </c>
      <c r="C9" s="57">
        <v>5.0000000000000001E-3</v>
      </c>
      <c r="E9" s="84"/>
      <c r="F9" s="34"/>
    </row>
    <row r="10" spans="1:7" x14ac:dyDescent="0.65">
      <c r="C10" s="57"/>
      <c r="F10" s="34"/>
    </row>
    <row r="11" spans="1:7" x14ac:dyDescent="0.65">
      <c r="A11" s="80" t="s">
        <v>85</v>
      </c>
      <c r="B11" s="61"/>
      <c r="C11" s="57"/>
    </row>
    <row r="12" spans="1:7" x14ac:dyDescent="0.65">
      <c r="A12" s="81" t="s">
        <v>41</v>
      </c>
      <c r="C12" s="55">
        <v>0</v>
      </c>
      <c r="D12" s="49"/>
    </row>
    <row r="13" spans="1:7" x14ac:dyDescent="0.65">
      <c r="A13" s="81" t="s">
        <v>52</v>
      </c>
      <c r="C13" s="55">
        <v>0</v>
      </c>
      <c r="D13" s="29" t="s">
        <v>86</v>
      </c>
    </row>
    <row r="14" spans="1:7" x14ac:dyDescent="0.65">
      <c r="A14" s="81" t="s">
        <v>73</v>
      </c>
      <c r="C14" s="55">
        <v>2.5000000000000001E-2</v>
      </c>
      <c r="D14" s="29" t="s">
        <v>134</v>
      </c>
    </row>
    <row r="15" spans="1:7" x14ac:dyDescent="0.65">
      <c r="C15" s="55"/>
    </row>
    <row r="16" spans="1:7" x14ac:dyDescent="0.65">
      <c r="A16" s="80" t="s">
        <v>84</v>
      </c>
      <c r="B16" s="61"/>
      <c r="C16" s="58"/>
    </row>
    <row r="17" spans="1:6" x14ac:dyDescent="0.65">
      <c r="A17" s="81" t="s">
        <v>50</v>
      </c>
      <c r="C17" s="42">
        <v>2.2000000000000002</v>
      </c>
      <c r="D17" s="48" t="s">
        <v>80</v>
      </c>
      <c r="E17" s="33"/>
      <c r="F17" s="33"/>
    </row>
    <row r="18" spans="1:6" x14ac:dyDescent="0.65">
      <c r="A18" s="81" t="s">
        <v>49</v>
      </c>
      <c r="C18" s="45">
        <v>225000</v>
      </c>
      <c r="D18" s="47"/>
    </row>
    <row r="19" spans="1:6" x14ac:dyDescent="0.65">
      <c r="A19" s="81" t="s">
        <v>51</v>
      </c>
      <c r="C19" s="44">
        <f>C17*C7</f>
        <v>1661000.0000000002</v>
      </c>
      <c r="E19" s="34"/>
      <c r="F19" s="34"/>
    </row>
    <row r="20" spans="1:6" x14ac:dyDescent="0.65">
      <c r="A20" s="81" t="s">
        <v>38</v>
      </c>
      <c r="C20" s="82" t="b">
        <v>0</v>
      </c>
      <c r="D20" s="50" t="s">
        <v>103</v>
      </c>
    </row>
    <row r="21" spans="1:6" x14ac:dyDescent="0.65">
      <c r="C21" s="63"/>
      <c r="D21" s="50"/>
    </row>
    <row r="22" spans="1:6" x14ac:dyDescent="0.65">
      <c r="A22" s="80" t="s">
        <v>89</v>
      </c>
      <c r="B22" s="80"/>
      <c r="C22" s="63"/>
      <c r="D22" s="50"/>
    </row>
    <row r="23" spans="1:6" x14ac:dyDescent="0.65">
      <c r="A23" s="81" t="s">
        <v>67</v>
      </c>
      <c r="C23" s="55">
        <v>0</v>
      </c>
    </row>
    <row r="24" spans="1:6" x14ac:dyDescent="0.65">
      <c r="A24" s="81" t="s">
        <v>54</v>
      </c>
      <c r="C24" s="43">
        <v>0</v>
      </c>
    </row>
    <row r="25" spans="1:6" x14ac:dyDescent="0.65">
      <c r="A25" s="81" t="s">
        <v>13</v>
      </c>
      <c r="C25" s="55">
        <v>5.2499999999999998E-2</v>
      </c>
    </row>
    <row r="26" spans="1:6" x14ac:dyDescent="0.65">
      <c r="A26" s="81" t="s">
        <v>12</v>
      </c>
      <c r="C26" s="83">
        <v>15</v>
      </c>
    </row>
    <row r="27" spans="1:6" x14ac:dyDescent="0.65">
      <c r="A27" s="61" t="s">
        <v>87</v>
      </c>
      <c r="B27" s="61"/>
      <c r="C27" s="35"/>
      <c r="D27" s="50"/>
    </row>
    <row r="28" spans="1:6" x14ac:dyDescent="0.65">
      <c r="A28" s="81" t="s">
        <v>56</v>
      </c>
      <c r="C28" s="56">
        <v>12</v>
      </c>
      <c r="D28" s="52"/>
      <c r="E28" s="37"/>
      <c r="F28" s="38"/>
    </row>
    <row r="29" spans="1:6" x14ac:dyDescent="0.65">
      <c r="A29" s="81" t="s">
        <v>40</v>
      </c>
      <c r="C29" s="56">
        <v>10000</v>
      </c>
      <c r="D29" s="47"/>
      <c r="E29" s="39"/>
      <c r="F29" s="39"/>
    </row>
    <row r="30" spans="1:6" x14ac:dyDescent="0.65">
      <c r="A30" s="81" t="s">
        <v>24</v>
      </c>
      <c r="C30" s="56">
        <v>6</v>
      </c>
      <c r="D30" s="53"/>
    </row>
    <row r="31" spans="1:6" x14ac:dyDescent="0.65">
      <c r="A31" s="81" t="s">
        <v>72</v>
      </c>
      <c r="C31" s="56">
        <v>8</v>
      </c>
      <c r="D31" s="53"/>
    </row>
    <row r="32" spans="1:6" x14ac:dyDescent="0.65">
      <c r="A32" s="81" t="s">
        <v>83</v>
      </c>
      <c r="C32" s="57">
        <v>0.02</v>
      </c>
      <c r="D32" s="47"/>
      <c r="E32" s="39"/>
      <c r="F32" s="39"/>
    </row>
    <row r="33" spans="1:6" x14ac:dyDescent="0.65">
      <c r="A33" s="81" t="s">
        <v>21</v>
      </c>
      <c r="C33" s="59">
        <v>0.12</v>
      </c>
      <c r="D33" s="47">
        <f>C33*C7</f>
        <v>90600</v>
      </c>
      <c r="E33" s="39"/>
      <c r="F33" s="39"/>
    </row>
    <row r="34" spans="1:6" x14ac:dyDescent="0.65">
      <c r="A34" s="81" t="s">
        <v>25</v>
      </c>
      <c r="C34" s="59">
        <v>150</v>
      </c>
      <c r="D34" s="47"/>
      <c r="E34" s="39"/>
      <c r="F34" s="39"/>
    </row>
    <row r="35" spans="1:6" x14ac:dyDescent="0.65">
      <c r="A35" s="61" t="s">
        <v>88</v>
      </c>
      <c r="B35" s="61"/>
      <c r="D35" s="51"/>
    </row>
    <row r="36" spans="1:6" x14ac:dyDescent="0.65">
      <c r="A36" s="81" t="s">
        <v>101</v>
      </c>
      <c r="C36" s="57">
        <v>2.5000000000000001E-2</v>
      </c>
    </row>
    <row r="39" spans="1:6" hidden="1" x14ac:dyDescent="0.65">
      <c r="A39" s="29" t="s">
        <v>55</v>
      </c>
      <c r="C39" s="54">
        <f>C7*C8</f>
        <v>890900</v>
      </c>
      <c r="D39" s="48"/>
    </row>
    <row r="40" spans="1:6" hidden="1" x14ac:dyDescent="0.65">
      <c r="A40" s="29" t="s">
        <v>42</v>
      </c>
      <c r="C40" s="40">
        <v>0.2</v>
      </c>
      <c r="D40" s="49"/>
    </row>
    <row r="41" spans="1:6" x14ac:dyDescent="0.65">
      <c r="D41" s="36"/>
    </row>
    <row r="57" spans="7:8" x14ac:dyDescent="0.65">
      <c r="G57" s="35"/>
      <c r="H57" s="35"/>
    </row>
  </sheetData>
  <mergeCells count="1">
    <mergeCell ref="A1:C1"/>
  </mergeCells>
  <phoneticPr fontId="2" type="noConversion"/>
  <pageMargins left="0.75" right="0.75" top="1" bottom="1" header="0.5" footer="0.5"/>
  <pageSetup scale="41" orientation="landscape" r:id="rId1"/>
  <headerFooter alignWithMargins="0">
    <oddHeader>&amp;C&amp;14Appendix page 2</oddHeader>
    <oddFooter>&amp;C52 Bridge St
White River Junction, VT 05001&amp;R&amp;G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AB52"/>
  <sheetViews>
    <sheetView workbookViewId="0">
      <pane xSplit="1" topLeftCell="H1" activePane="topRight" state="frozen"/>
      <selection pane="topRight" activeCell="A2" sqref="A2:A12"/>
    </sheetView>
  </sheetViews>
  <sheetFormatPr defaultColWidth="8.86328125" defaultRowHeight="13.15" x14ac:dyDescent="0.4"/>
  <cols>
    <col min="1" max="1" width="52.86328125" style="12" customWidth="1"/>
    <col min="2" max="2" width="15.86328125" customWidth="1"/>
    <col min="3" max="3" width="15.265625" customWidth="1"/>
    <col min="4" max="4" width="14.73046875" customWidth="1"/>
    <col min="5" max="6" width="13" customWidth="1"/>
    <col min="7" max="11" width="13" bestFit="1" customWidth="1"/>
    <col min="12" max="12" width="10" customWidth="1"/>
    <col min="13" max="13" width="9.3984375" customWidth="1"/>
    <col min="14" max="14" width="10" customWidth="1"/>
    <col min="15" max="15" width="9.86328125" customWidth="1"/>
    <col min="16" max="17" width="10.73046875" bestFit="1" customWidth="1"/>
    <col min="18" max="26" width="13" bestFit="1" customWidth="1"/>
  </cols>
  <sheetData>
    <row r="2" spans="1:28" ht="14.85" customHeight="1" x14ac:dyDescent="0.35">
      <c r="A2" s="112"/>
    </row>
    <row r="3" spans="1:28" ht="14.85" customHeight="1" thickBot="1" x14ac:dyDescent="0.4">
      <c r="A3" s="112"/>
    </row>
    <row r="4" spans="1:28" ht="14.85" customHeight="1" x14ac:dyDescent="0.35">
      <c r="A4" s="112"/>
      <c r="H4" s="113" t="s">
        <v>108</v>
      </c>
      <c r="I4" s="114"/>
      <c r="J4" s="114"/>
      <c r="K4" s="114"/>
      <c r="L4" s="114"/>
      <c r="M4" s="114"/>
      <c r="N4" s="114"/>
      <c r="O4" s="115"/>
    </row>
    <row r="5" spans="1:28" ht="14.85" customHeight="1" x14ac:dyDescent="0.35">
      <c r="A5" s="112"/>
      <c r="H5" s="116"/>
      <c r="I5" s="117"/>
      <c r="J5" s="117"/>
      <c r="K5" s="117"/>
      <c r="L5" s="117"/>
      <c r="M5" s="117"/>
      <c r="N5" s="117"/>
      <c r="O5" s="118"/>
    </row>
    <row r="6" spans="1:28" ht="14.85" customHeight="1" thickBot="1" x14ac:dyDescent="0.4">
      <c r="A6" s="112"/>
      <c r="H6" s="119"/>
      <c r="I6" s="120"/>
      <c r="J6" s="120"/>
      <c r="K6" s="120"/>
      <c r="L6" s="120"/>
      <c r="M6" s="120"/>
      <c r="N6" s="120"/>
      <c r="O6" s="121"/>
    </row>
    <row r="7" spans="1:28" ht="14.85" customHeight="1" x14ac:dyDescent="0.35">
      <c r="A7" s="112"/>
    </row>
    <row r="8" spans="1:28" ht="14.85" customHeight="1" x14ac:dyDescent="0.35">
      <c r="A8" s="112"/>
    </row>
    <row r="9" spans="1:28" ht="14.85" customHeight="1" x14ac:dyDescent="0.35">
      <c r="A9" s="112"/>
    </row>
    <row r="10" spans="1:28" ht="14.85" customHeight="1" x14ac:dyDescent="0.35">
      <c r="A10" s="112"/>
    </row>
    <row r="11" spans="1:28" ht="14.85" customHeight="1" x14ac:dyDescent="0.35">
      <c r="A11" s="112"/>
    </row>
    <row r="12" spans="1:28" ht="39.4" customHeight="1" x14ac:dyDescent="0.35">
      <c r="A12" s="112"/>
    </row>
    <row r="14" spans="1:28" x14ac:dyDescent="0.4">
      <c r="G14" s="5" t="s">
        <v>104</v>
      </c>
    </row>
    <row r="15" spans="1:28" s="5" customFormat="1" x14ac:dyDescent="0.4">
      <c r="A15" s="70" t="s">
        <v>0</v>
      </c>
      <c r="B15" s="23">
        <f>'Inputs &amp; Generation'!C5</f>
        <v>-0.01</v>
      </c>
      <c r="C15" s="23">
        <f>B15</f>
        <v>-0.01</v>
      </c>
      <c r="D15" s="23">
        <f>B15</f>
        <v>-0.01</v>
      </c>
      <c r="E15" s="23">
        <f>B15</f>
        <v>-0.01</v>
      </c>
      <c r="F15" s="23">
        <f>B15</f>
        <v>-0.01</v>
      </c>
      <c r="G15" s="23">
        <f>C15</f>
        <v>-0.01</v>
      </c>
      <c r="H15" s="23">
        <f t="shared" ref="H15" si="0">G15</f>
        <v>-0.01</v>
      </c>
      <c r="I15" s="23">
        <f t="shared" ref="I15" si="1">G15</f>
        <v>-0.01</v>
      </c>
      <c r="J15" s="23">
        <f t="shared" ref="J15" si="2">G15</f>
        <v>-0.01</v>
      </c>
      <c r="K15" s="23">
        <f t="shared" ref="K15" si="3">G15</f>
        <v>-0.01</v>
      </c>
      <c r="L15" s="23">
        <f>IF(K15&lt;0,K15,0)</f>
        <v>-0.01</v>
      </c>
      <c r="M15" s="23">
        <f t="shared" ref="M15" si="4">L15</f>
        <v>-0.01</v>
      </c>
      <c r="N15" s="23">
        <f t="shared" ref="N15" si="5">L15</f>
        <v>-0.01</v>
      </c>
      <c r="O15" s="23">
        <f t="shared" ref="O15" si="6">L15</f>
        <v>-0.01</v>
      </c>
      <c r="P15" s="23">
        <f t="shared" ref="P15" si="7">L15</f>
        <v>-0.01</v>
      </c>
      <c r="Q15" s="23">
        <f>'Inputs &amp; Generation'!R5</f>
        <v>0</v>
      </c>
      <c r="R15" s="23">
        <f t="shared" ref="R15" si="8">Q15</f>
        <v>0</v>
      </c>
      <c r="S15" s="23">
        <f t="shared" ref="S15" si="9">Q15</f>
        <v>0</v>
      </c>
      <c r="T15" s="23">
        <f t="shared" ref="T15" si="10">Q15</f>
        <v>0</v>
      </c>
      <c r="U15" s="23">
        <f t="shared" ref="U15" si="11">Q15</f>
        <v>0</v>
      </c>
      <c r="V15" s="23">
        <f>'Inputs &amp; Generation'!W5</f>
        <v>0</v>
      </c>
      <c r="W15" s="23">
        <f t="shared" ref="W15" si="12">V15</f>
        <v>0</v>
      </c>
      <c r="X15" s="23">
        <f t="shared" ref="X15" si="13">V15</f>
        <v>0</v>
      </c>
      <c r="Y15" s="23">
        <f t="shared" ref="Y15" si="14">V15</f>
        <v>0</v>
      </c>
      <c r="Z15" s="23">
        <f t="shared" ref="Z15" si="15">V15</f>
        <v>0</v>
      </c>
      <c r="AA15" s="23"/>
      <c r="AB15" s="23"/>
    </row>
    <row r="16" spans="1:28" x14ac:dyDescent="0.4">
      <c r="A16" s="12" t="s">
        <v>1</v>
      </c>
      <c r="B16" s="9">
        <v>0</v>
      </c>
      <c r="G16" s="5"/>
    </row>
    <row r="17" spans="1:26" s="68" customFormat="1" ht="14.25" thickBot="1" x14ac:dyDescent="0.45">
      <c r="A17" s="78" t="s">
        <v>97</v>
      </c>
      <c r="B17" s="69">
        <v>1</v>
      </c>
      <c r="C17" s="69">
        <f t="shared" ref="C17:Z17" si="16">B17+1</f>
        <v>2</v>
      </c>
      <c r="D17" s="69">
        <f t="shared" si="16"/>
        <v>3</v>
      </c>
      <c r="E17" s="69">
        <f t="shared" si="16"/>
        <v>4</v>
      </c>
      <c r="F17" s="69">
        <f t="shared" si="16"/>
        <v>5</v>
      </c>
      <c r="G17" s="102">
        <f t="shared" si="16"/>
        <v>6</v>
      </c>
      <c r="H17" s="69">
        <f t="shared" si="16"/>
        <v>7</v>
      </c>
      <c r="I17" s="69">
        <f t="shared" si="16"/>
        <v>8</v>
      </c>
      <c r="J17" s="69">
        <f t="shared" si="16"/>
        <v>9</v>
      </c>
      <c r="K17" s="69">
        <f t="shared" si="16"/>
        <v>10</v>
      </c>
      <c r="L17" s="69">
        <f t="shared" si="16"/>
        <v>11</v>
      </c>
      <c r="M17" s="69">
        <f t="shared" si="16"/>
        <v>12</v>
      </c>
      <c r="N17" s="69">
        <f t="shared" si="16"/>
        <v>13</v>
      </c>
      <c r="O17" s="69">
        <f t="shared" si="16"/>
        <v>14</v>
      </c>
      <c r="P17" s="69">
        <f t="shared" si="16"/>
        <v>15</v>
      </c>
      <c r="Q17" s="69">
        <f t="shared" si="16"/>
        <v>16</v>
      </c>
      <c r="R17" s="69">
        <f t="shared" si="16"/>
        <v>17</v>
      </c>
      <c r="S17" s="69">
        <f t="shared" si="16"/>
        <v>18</v>
      </c>
      <c r="T17" s="69">
        <f t="shared" si="16"/>
        <v>19</v>
      </c>
      <c r="U17" s="69">
        <f t="shared" si="16"/>
        <v>20</v>
      </c>
      <c r="V17" s="69">
        <f t="shared" si="16"/>
        <v>21</v>
      </c>
      <c r="W17" s="69">
        <f t="shared" si="16"/>
        <v>22</v>
      </c>
      <c r="X17" s="69">
        <f t="shared" si="16"/>
        <v>23</v>
      </c>
      <c r="Y17" s="69">
        <f t="shared" si="16"/>
        <v>24</v>
      </c>
      <c r="Z17" s="69">
        <f t="shared" si="16"/>
        <v>25</v>
      </c>
    </row>
    <row r="18" spans="1:26" ht="13.5" thickTop="1" x14ac:dyDescent="0.4">
      <c r="A18" s="77" t="s">
        <v>2</v>
      </c>
      <c r="B18" s="93">
        <f>'Inputs &amp; Generation'!C39</f>
        <v>890900</v>
      </c>
      <c r="C18" s="94">
        <f>B18*(1-'Inputs &amp; Generation'!$C$9)</f>
        <v>886445.5</v>
      </c>
      <c r="D18" s="94">
        <f>C18*(1-'Inputs &amp; Generation'!$C$9)</f>
        <v>882013.27249999996</v>
      </c>
      <c r="E18" s="94">
        <f>D18*(1-'Inputs &amp; Generation'!$C$9)</f>
        <v>877603.2061375</v>
      </c>
      <c r="F18" s="94">
        <f>E18*(1-'Inputs &amp; Generation'!$C$9)</f>
        <v>873215.19010681252</v>
      </c>
      <c r="G18" s="94">
        <f>F18*(1-'Inputs &amp; Generation'!$C$9)</f>
        <v>868849.11415627843</v>
      </c>
      <c r="H18" s="94">
        <f>G18*(1-'Inputs &amp; Generation'!$C$9)</f>
        <v>864504.86858549702</v>
      </c>
      <c r="I18" s="94">
        <f>H18*(1-'Inputs &amp; Generation'!$C$9)</f>
        <v>860182.34424256952</v>
      </c>
      <c r="J18" s="94">
        <f>I18*(1-'Inputs &amp; Generation'!$C$9)</f>
        <v>855881.43252135662</v>
      </c>
      <c r="K18" s="94">
        <f>J18*(1-'Inputs &amp; Generation'!$C$9)</f>
        <v>851602.02535874979</v>
      </c>
      <c r="L18" s="94">
        <f>K18*(1-'Inputs &amp; Generation'!$C$9)</f>
        <v>847344.01523195603</v>
      </c>
      <c r="M18" s="94">
        <f>L18*(1-'Inputs &amp; Generation'!$C$9)</f>
        <v>843107.29515579622</v>
      </c>
      <c r="N18" s="94">
        <f>M18*(1-'Inputs &amp; Generation'!$C$9)</f>
        <v>838891.7586800172</v>
      </c>
      <c r="O18" s="94">
        <f>N18*(1-'Inputs &amp; Generation'!$C$9)</f>
        <v>834697.29988661711</v>
      </c>
      <c r="P18" s="94">
        <f>O18*(1-'Inputs &amp; Generation'!$C$9)</f>
        <v>830523.81338718405</v>
      </c>
      <c r="Q18" s="94">
        <f>P18*(1-'Inputs &amp; Generation'!$C$9)</f>
        <v>826371.19432024809</v>
      </c>
      <c r="R18" s="94">
        <f>Q18*(1-'Inputs &amp; Generation'!$C$9)</f>
        <v>822239.33834864688</v>
      </c>
      <c r="S18" s="94">
        <f>R18*(1-'Inputs &amp; Generation'!$C$9)</f>
        <v>818128.14165690367</v>
      </c>
      <c r="T18" s="94">
        <f>S18*(1-'Inputs &amp; Generation'!$C$9)</f>
        <v>814037.5009486191</v>
      </c>
      <c r="U18" s="94">
        <f>T18*(1-'Inputs &amp; Generation'!$C$9)</f>
        <v>809967.31344387599</v>
      </c>
      <c r="V18" s="94">
        <f>U18*(1-'Inputs &amp; Generation'!$C$9)</f>
        <v>805917.47687665664</v>
      </c>
      <c r="W18" s="94">
        <f>V18*(1-'Inputs &amp; Generation'!$C$9)</f>
        <v>801887.88949227333</v>
      </c>
      <c r="X18" s="94">
        <f>W18*(1-'Inputs &amp; Generation'!$C$9)</f>
        <v>797878.45004481194</v>
      </c>
      <c r="Y18" s="94">
        <f>X18*(1-'Inputs &amp; Generation'!$C$9)</f>
        <v>793889.05779458792</v>
      </c>
      <c r="Z18" s="94">
        <f>Y18*(1-'Inputs &amp; Generation'!$C$9)</f>
        <v>789919.61250561499</v>
      </c>
    </row>
    <row r="19" spans="1:26" x14ac:dyDescent="0.4">
      <c r="A19" s="103" t="s">
        <v>46</v>
      </c>
      <c r="B19" s="95">
        <f>'Inputs &amp; Generation'!C3</f>
        <v>0.1714</v>
      </c>
      <c r="C19" s="95">
        <f>B19*(1+'Inputs &amp; Generation'!$C$36)</f>
        <v>0.17568499999999998</v>
      </c>
      <c r="D19" s="95">
        <f>C19*(1+'Inputs &amp; Generation'!$C$36)</f>
        <v>0.18007712499999998</v>
      </c>
      <c r="E19" s="95">
        <f>D19*(1+'Inputs &amp; Generation'!$C$36)</f>
        <v>0.18457905312499995</v>
      </c>
      <c r="F19" s="95">
        <f>E19*(1+'Inputs &amp; Generation'!$C$36)</f>
        <v>0.18919352945312493</v>
      </c>
      <c r="G19" s="95">
        <f>F19*(1+'Inputs &amp; Generation'!$C$36)</f>
        <v>0.19392336768945304</v>
      </c>
      <c r="H19" s="95">
        <f>G19*(1+'Inputs &amp; Generation'!$C$36)</f>
        <v>0.19877145188168935</v>
      </c>
      <c r="I19" s="95">
        <f>H19*(1+'Inputs &amp; Generation'!$C$36)</f>
        <v>0.20374073817873156</v>
      </c>
      <c r="J19" s="95">
        <f>I19*(1+'Inputs &amp; Generation'!$C$36)</f>
        <v>0.20883425663319982</v>
      </c>
      <c r="K19" s="95">
        <f>J19*(1+'Inputs &amp; Generation'!$C$36)</f>
        <v>0.2140551130490298</v>
      </c>
      <c r="L19" s="95">
        <f>K19*(1+'Inputs &amp; Generation'!$C$36)</f>
        <v>0.21940649087525552</v>
      </c>
      <c r="M19" s="95">
        <f>L19*(1+'Inputs &amp; Generation'!$C$36)</f>
        <v>0.22489165314713688</v>
      </c>
      <c r="N19" s="95">
        <f>M19*(1+'Inputs &amp; Generation'!$C$36)</f>
        <v>0.23051394447581527</v>
      </c>
      <c r="O19" s="95">
        <f>N19*(1+'Inputs &amp; Generation'!$C$36)</f>
        <v>0.23627679308771063</v>
      </c>
      <c r="P19" s="95">
        <f>O19*(1+'Inputs &amp; Generation'!$C$36)</f>
        <v>0.24218371291490337</v>
      </c>
      <c r="Q19" s="95">
        <f>P19*(1+'Inputs &amp; Generation'!$C$36)</f>
        <v>0.24823830573777594</v>
      </c>
      <c r="R19" s="95">
        <f>Q19*(1+'Inputs &amp; Generation'!$C$36)</f>
        <v>0.25444426338122034</v>
      </c>
      <c r="S19" s="95">
        <f>R19*(1+'Inputs &amp; Generation'!$C$36)</f>
        <v>0.26080536996575082</v>
      </c>
      <c r="T19" s="95">
        <f>S19*(1+'Inputs &amp; Generation'!$C$36)</f>
        <v>0.26732550421489459</v>
      </c>
      <c r="U19" s="95">
        <f>T19*(1+'Inputs &amp; Generation'!$C$36)</f>
        <v>0.27400864182026691</v>
      </c>
      <c r="V19" s="95">
        <f>U19*(1+'Inputs &amp; Generation'!$C$36)</f>
        <v>0.28085885786577358</v>
      </c>
      <c r="W19" s="95">
        <f>V19*(1+'Inputs &amp; Generation'!$C$36)</f>
        <v>0.28788032931241792</v>
      </c>
      <c r="X19" s="95">
        <f>W19*(1+'Inputs &amp; Generation'!$C$36)</f>
        <v>0.29507733754522836</v>
      </c>
      <c r="Y19" s="95">
        <f>X19*(1+'Inputs &amp; Generation'!$C$36)</f>
        <v>0.30245427098385902</v>
      </c>
      <c r="Z19" s="95">
        <f>Y19*(1+'Inputs &amp; Generation'!$C$36)</f>
        <v>0.31001562775845548</v>
      </c>
    </row>
    <row r="20" spans="1:26" x14ac:dyDescent="0.4">
      <c r="A20" s="103" t="s">
        <v>69</v>
      </c>
      <c r="B20" s="95">
        <f>'Inputs &amp; Generation'!$C$5+B19+'Inputs &amp; Generation'!$C$4</f>
        <v>0.12139999999999998</v>
      </c>
      <c r="C20" s="95">
        <f>'Inputs &amp; Generation'!$C$5+C19+'Inputs &amp; Generation'!$C$4</f>
        <v>0.12568499999999996</v>
      </c>
      <c r="D20" s="95">
        <f>'Inputs &amp; Generation'!$C$5+D19+'Inputs &amp; Generation'!$C$4</f>
        <v>0.13007712499999996</v>
      </c>
      <c r="E20" s="95">
        <f>'Inputs &amp; Generation'!$C$5+E19+'Inputs &amp; Generation'!$C$4</f>
        <v>0.13457905312499993</v>
      </c>
      <c r="F20" s="95">
        <f>'Inputs &amp; Generation'!$C$5+F19+'Inputs &amp; Generation'!$C$4</f>
        <v>0.13919352945312491</v>
      </c>
      <c r="G20" s="95">
        <f>'Inputs &amp; Generation'!$C$5+G19+'Inputs &amp; Generation'!$C$4</f>
        <v>0.14392336768945302</v>
      </c>
      <c r="H20" s="95">
        <f>'Inputs &amp; Generation'!$C$5+H19+'Inputs &amp; Generation'!$C$4</f>
        <v>0.14877145188168933</v>
      </c>
      <c r="I20" s="95">
        <f>'Inputs &amp; Generation'!$C$5+I19+'Inputs &amp; Generation'!$C$4</f>
        <v>0.15374073817873155</v>
      </c>
      <c r="J20" s="95">
        <f>'Inputs &amp; Generation'!$C$5+J19+'Inputs &amp; Generation'!$C$4</f>
        <v>0.15883425663319981</v>
      </c>
      <c r="K20" s="95">
        <f>'Inputs &amp; Generation'!$C$5+K19+'Inputs &amp; Generation'!$C$4</f>
        <v>0.16405511304902978</v>
      </c>
      <c r="L20" s="95">
        <f>'Inputs &amp; Generation'!$C$5+L19</f>
        <v>0.20940649087525551</v>
      </c>
      <c r="M20" s="95">
        <f>'Inputs &amp; Generation'!$C$5+M19</f>
        <v>0.21489165314713687</v>
      </c>
      <c r="N20" s="95">
        <f>'Inputs &amp; Generation'!$C$5+N19</f>
        <v>0.22051394447581527</v>
      </c>
      <c r="O20" s="95">
        <f>'Inputs &amp; Generation'!$C$5+O19</f>
        <v>0.22627679308771062</v>
      </c>
      <c r="P20" s="95">
        <f>'Inputs &amp; Generation'!$C$5+P19</f>
        <v>0.23218371291490336</v>
      </c>
      <c r="Q20" s="95">
        <f>'Inputs &amp; Generation'!$C$5+Q19</f>
        <v>0.23823830573777594</v>
      </c>
      <c r="R20" s="95">
        <f>'Inputs &amp; Generation'!$C$5+R19</f>
        <v>0.24444426338122033</v>
      </c>
      <c r="S20" s="95">
        <f>'Inputs &amp; Generation'!$C$5+S19</f>
        <v>0.25080536996575081</v>
      </c>
      <c r="T20" s="95">
        <f>'Inputs &amp; Generation'!$C$5+T19</f>
        <v>0.25732550421489458</v>
      </c>
      <c r="U20" s="95">
        <f>'Inputs &amp; Generation'!$C$5+U19</f>
        <v>0.2640086418202669</v>
      </c>
      <c r="V20" s="95">
        <f>'Inputs &amp; Generation'!$C$5+V19</f>
        <v>0.27085885786577357</v>
      </c>
      <c r="W20" s="95">
        <f>'Inputs &amp; Generation'!$C$5+W19</f>
        <v>0.27788032931241791</v>
      </c>
      <c r="X20" s="95">
        <f>'Inputs &amp; Generation'!$C$5+X19</f>
        <v>0.28507733754522835</v>
      </c>
      <c r="Y20" s="95">
        <f>'Inputs &amp; Generation'!$C$5+Y19</f>
        <v>0.29245427098385901</v>
      </c>
      <c r="Z20" s="95">
        <f>'Inputs &amp; Generation'!$C$5+Z19</f>
        <v>0.30001562775845547</v>
      </c>
    </row>
    <row r="21" spans="1:26" x14ac:dyDescent="0.4">
      <c r="A21" s="103" t="s">
        <v>44</v>
      </c>
      <c r="B21" s="20">
        <f t="shared" ref="B21:Z21" si="17">B18*B20</f>
        <v>108155.25999999998</v>
      </c>
      <c r="C21" s="20">
        <f t="shared" si="17"/>
        <v>111412.90266749996</v>
      </c>
      <c r="D21" s="20">
        <f t="shared" si="17"/>
        <v>114729.75069864152</v>
      </c>
      <c r="E21" s="20">
        <f t="shared" si="17"/>
        <v>118107.00850144887</v>
      </c>
      <c r="F21" s="20">
        <f t="shared" si="17"/>
        <v>121545.90428304867</v>
      </c>
      <c r="G21" s="20">
        <f t="shared" si="17"/>
        <v>125047.6905233696</v>
      </c>
      <c r="H21" s="20">
        <f t="shared" si="17"/>
        <v>128613.64445825343</v>
      </c>
      <c r="I21" s="20">
        <f t="shared" si="17"/>
        <v>132245.0685721644</v>
      </c>
      <c r="J21" s="20">
        <f t="shared" si="17"/>
        <v>135943.29110068784</v>
      </c>
      <c r="K21" s="20">
        <f t="shared" si="17"/>
        <v>139709.66654301243</v>
      </c>
      <c r="L21" s="20">
        <f t="shared" si="17"/>
        <v>177439.33679387296</v>
      </c>
      <c r="M21" s="20">
        <f t="shared" si="17"/>
        <v>181176.72043644011</v>
      </c>
      <c r="N21" s="20">
        <f t="shared" si="17"/>
        <v>184987.33069478432</v>
      </c>
      <c r="O21" s="20">
        <f t="shared" si="17"/>
        <v>188872.62821731481</v>
      </c>
      <c r="P21" s="20">
        <f t="shared" si="17"/>
        <v>192834.10265648071</v>
      </c>
      <c r="Q21" s="20">
        <f t="shared" si="17"/>
        <v>196873.27324535832</v>
      </c>
      <c r="R21" s="20">
        <f t="shared" si="17"/>
        <v>200991.68938569698</v>
      </c>
      <c r="S21" s="20">
        <f t="shared" si="17"/>
        <v>205190.93124765193</v>
      </c>
      <c r="T21" s="20">
        <f t="shared" si="17"/>
        <v>209472.61038143613</v>
      </c>
      <c r="U21" s="20">
        <f t="shared" si="17"/>
        <v>213838.37034112812</v>
      </c>
      <c r="V21" s="20">
        <f t="shared" si="17"/>
        <v>218289.8873208772</v>
      </c>
      <c r="W21" s="20">
        <f t="shared" si="17"/>
        <v>222828.87080375268</v>
      </c>
      <c r="X21" s="20">
        <f t="shared" si="17"/>
        <v>227457.06422348847</v>
      </c>
      <c r="Y21" s="20">
        <f t="shared" si="17"/>
        <v>232176.24563937893</v>
      </c>
      <c r="Z21" s="20">
        <f t="shared" si="17"/>
        <v>236988.22842458799</v>
      </c>
    </row>
    <row r="22" spans="1:26" x14ac:dyDescent="0.4">
      <c r="A22" s="103" t="s">
        <v>45</v>
      </c>
      <c r="B22" s="20">
        <f t="shared" ref="B22:Z22" si="18">B18*B31</f>
        <v>108155.25999999998</v>
      </c>
      <c r="C22" s="20">
        <f t="shared" si="18"/>
        <v>111412.90266749996</v>
      </c>
      <c r="D22" s="20">
        <f t="shared" si="18"/>
        <v>114729.75069864152</v>
      </c>
      <c r="E22" s="20">
        <f t="shared" si="18"/>
        <v>118107.00850144887</v>
      </c>
      <c r="F22" s="20">
        <f t="shared" si="18"/>
        <v>121545.90428304867</v>
      </c>
      <c r="G22" s="20">
        <f t="shared" si="18"/>
        <v>125047.6905233696</v>
      </c>
      <c r="H22" s="20">
        <f t="shared" si="18"/>
        <v>128613.64445825343</v>
      </c>
      <c r="I22" s="20">
        <f t="shared" si="18"/>
        <v>132245.0685721644</v>
      </c>
      <c r="J22" s="20">
        <f t="shared" si="18"/>
        <v>135943.29110068784</v>
      </c>
      <c r="K22" s="20">
        <f t="shared" si="18"/>
        <v>139709.66654301243</v>
      </c>
      <c r="L22" s="20">
        <f t="shared" si="18"/>
        <v>177439.33679387296</v>
      </c>
      <c r="M22" s="20">
        <f t="shared" si="18"/>
        <v>181176.72043644011</v>
      </c>
      <c r="N22" s="20">
        <f t="shared" si="18"/>
        <v>184987.33069478432</v>
      </c>
      <c r="O22" s="20">
        <f t="shared" si="18"/>
        <v>188872.62821731481</v>
      </c>
      <c r="P22" s="20">
        <f t="shared" si="18"/>
        <v>192834.10265648071</v>
      </c>
      <c r="Q22" s="20">
        <f t="shared" si="18"/>
        <v>196873.27324535832</v>
      </c>
      <c r="R22" s="20">
        <f t="shared" si="18"/>
        <v>200991.68938569698</v>
      </c>
      <c r="S22" s="20">
        <f t="shared" si="18"/>
        <v>205190.93124765193</v>
      </c>
      <c r="T22" s="20">
        <f t="shared" si="18"/>
        <v>209472.61038143613</v>
      </c>
      <c r="U22" s="20">
        <f t="shared" si="18"/>
        <v>213838.37034112812</v>
      </c>
      <c r="V22" s="20">
        <f t="shared" si="18"/>
        <v>218289.8873208772</v>
      </c>
      <c r="W22" s="20">
        <f t="shared" si="18"/>
        <v>222828.87080375268</v>
      </c>
      <c r="X22" s="20">
        <f t="shared" si="18"/>
        <v>227457.06422348847</v>
      </c>
      <c r="Y22" s="20">
        <f t="shared" si="18"/>
        <v>232176.24563937893</v>
      </c>
      <c r="Z22" s="20">
        <f t="shared" si="18"/>
        <v>236988.22842458799</v>
      </c>
    </row>
    <row r="23" spans="1:26" ht="13.9" x14ac:dyDescent="0.4">
      <c r="A23" s="77" t="s">
        <v>3</v>
      </c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</row>
    <row r="24" spans="1:26" x14ac:dyDescent="0.4">
      <c r="A24" s="77" t="s">
        <v>4</v>
      </c>
      <c r="B24" s="20">
        <f>B18*B15</f>
        <v>-8909</v>
      </c>
      <c r="C24" s="20">
        <f t="shared" ref="C24:Z24" si="19">C18*C15</f>
        <v>-8864.4549999999999</v>
      </c>
      <c r="D24" s="20">
        <f t="shared" si="19"/>
        <v>-8820.1327249999995</v>
      </c>
      <c r="E24" s="20">
        <f t="shared" si="19"/>
        <v>-8776.0320613750009</v>
      </c>
      <c r="F24" s="20">
        <f t="shared" si="19"/>
        <v>-8732.1519010681259</v>
      </c>
      <c r="G24" s="20">
        <f t="shared" si="19"/>
        <v>-8688.4911415627848</v>
      </c>
      <c r="H24" s="20">
        <f t="shared" si="19"/>
        <v>-8645.0486858549702</v>
      </c>
      <c r="I24" s="20">
        <f t="shared" si="19"/>
        <v>-8601.8234424256952</v>
      </c>
      <c r="J24" s="20">
        <f t="shared" si="19"/>
        <v>-8558.8143252135669</v>
      </c>
      <c r="K24" s="20">
        <f t="shared" si="19"/>
        <v>-8516.0202535874978</v>
      </c>
      <c r="L24" s="20">
        <f t="shared" si="19"/>
        <v>-8473.4401523195611</v>
      </c>
      <c r="M24" s="20">
        <f t="shared" si="19"/>
        <v>-8431.0729515579624</v>
      </c>
      <c r="N24" s="20">
        <f t="shared" si="19"/>
        <v>-8388.917586800173</v>
      </c>
      <c r="O24" s="20">
        <f t="shared" si="19"/>
        <v>-8346.9729988661711</v>
      </c>
      <c r="P24" s="20">
        <f t="shared" si="19"/>
        <v>-8305.2381338718405</v>
      </c>
      <c r="Q24" s="20">
        <f t="shared" si="19"/>
        <v>0</v>
      </c>
      <c r="R24" s="20">
        <f t="shared" si="19"/>
        <v>0</v>
      </c>
      <c r="S24" s="20">
        <f t="shared" si="19"/>
        <v>0</v>
      </c>
      <c r="T24" s="20">
        <f t="shared" si="19"/>
        <v>0</v>
      </c>
      <c r="U24" s="20">
        <f t="shared" si="19"/>
        <v>0</v>
      </c>
      <c r="V24" s="20">
        <f t="shared" si="19"/>
        <v>0</v>
      </c>
      <c r="W24" s="20">
        <f t="shared" si="19"/>
        <v>0</v>
      </c>
      <c r="X24" s="20">
        <f t="shared" si="19"/>
        <v>0</v>
      </c>
      <c r="Y24" s="20">
        <f t="shared" si="19"/>
        <v>0</v>
      </c>
      <c r="Z24" s="20">
        <f t="shared" si="19"/>
        <v>0</v>
      </c>
    </row>
    <row r="25" spans="1:26" x14ac:dyDescent="0.4">
      <c r="A25" s="77" t="s">
        <v>5</v>
      </c>
      <c r="B25" s="20">
        <f t="shared" ref="B25:Z25" si="20">B24*$B$16</f>
        <v>0</v>
      </c>
      <c r="C25" s="20">
        <f t="shared" si="20"/>
        <v>0</v>
      </c>
      <c r="D25" s="20">
        <f t="shared" si="20"/>
        <v>0</v>
      </c>
      <c r="E25" s="20">
        <f t="shared" si="20"/>
        <v>0</v>
      </c>
      <c r="F25" s="20">
        <f t="shared" si="20"/>
        <v>0</v>
      </c>
      <c r="G25" s="20">
        <f t="shared" si="20"/>
        <v>0</v>
      </c>
      <c r="H25" s="20">
        <f t="shared" si="20"/>
        <v>0</v>
      </c>
      <c r="I25" s="20">
        <f t="shared" si="20"/>
        <v>0</v>
      </c>
      <c r="J25" s="20">
        <f t="shared" si="20"/>
        <v>0</v>
      </c>
      <c r="K25" s="20">
        <f t="shared" si="20"/>
        <v>0</v>
      </c>
      <c r="L25" s="20">
        <f t="shared" si="20"/>
        <v>0</v>
      </c>
      <c r="M25" s="20">
        <f t="shared" si="20"/>
        <v>0</v>
      </c>
      <c r="N25" s="20">
        <f t="shared" si="20"/>
        <v>0</v>
      </c>
      <c r="O25" s="20">
        <f t="shared" si="20"/>
        <v>0</v>
      </c>
      <c r="P25" s="20">
        <f t="shared" si="20"/>
        <v>0</v>
      </c>
      <c r="Q25" s="20">
        <f t="shared" si="20"/>
        <v>0</v>
      </c>
      <c r="R25" s="20">
        <f t="shared" si="20"/>
        <v>0</v>
      </c>
      <c r="S25" s="20">
        <f t="shared" si="20"/>
        <v>0</v>
      </c>
      <c r="T25" s="20">
        <f t="shared" si="20"/>
        <v>0</v>
      </c>
      <c r="U25" s="20">
        <f t="shared" si="20"/>
        <v>0</v>
      </c>
      <c r="V25" s="20">
        <f t="shared" si="20"/>
        <v>0</v>
      </c>
      <c r="W25" s="20">
        <f t="shared" si="20"/>
        <v>0</v>
      </c>
      <c r="X25" s="20">
        <f t="shared" si="20"/>
        <v>0</v>
      </c>
      <c r="Y25" s="20">
        <f t="shared" si="20"/>
        <v>0</v>
      </c>
      <c r="Z25" s="20">
        <f t="shared" si="20"/>
        <v>0</v>
      </c>
    </row>
    <row r="26" spans="1:26" x14ac:dyDescent="0.4">
      <c r="A26" s="77" t="s">
        <v>6</v>
      </c>
      <c r="B26" s="20">
        <f t="shared" ref="B26:Z26" si="21">B25+B23</f>
        <v>0</v>
      </c>
      <c r="C26" s="20">
        <f t="shared" si="21"/>
        <v>0</v>
      </c>
      <c r="D26" s="20">
        <f t="shared" si="21"/>
        <v>0</v>
      </c>
      <c r="E26" s="20">
        <f t="shared" si="21"/>
        <v>0</v>
      </c>
      <c r="F26" s="20">
        <f t="shared" si="21"/>
        <v>0</v>
      </c>
      <c r="G26" s="20">
        <f t="shared" si="21"/>
        <v>0</v>
      </c>
      <c r="H26" s="20">
        <f t="shared" si="21"/>
        <v>0</v>
      </c>
      <c r="I26" s="20">
        <f t="shared" si="21"/>
        <v>0</v>
      </c>
      <c r="J26" s="20">
        <f t="shared" si="21"/>
        <v>0</v>
      </c>
      <c r="K26" s="20">
        <f t="shared" si="21"/>
        <v>0</v>
      </c>
      <c r="L26" s="20">
        <f t="shared" si="21"/>
        <v>0</v>
      </c>
      <c r="M26" s="20">
        <f t="shared" si="21"/>
        <v>0</v>
      </c>
      <c r="N26" s="20">
        <f t="shared" si="21"/>
        <v>0</v>
      </c>
      <c r="O26" s="20">
        <f t="shared" si="21"/>
        <v>0</v>
      </c>
      <c r="P26" s="20">
        <f t="shared" si="21"/>
        <v>0</v>
      </c>
      <c r="Q26" s="20">
        <f t="shared" si="21"/>
        <v>0</v>
      </c>
      <c r="R26" s="20">
        <f t="shared" si="21"/>
        <v>0</v>
      </c>
      <c r="S26" s="20">
        <f t="shared" si="21"/>
        <v>0</v>
      </c>
      <c r="T26" s="20">
        <f t="shared" si="21"/>
        <v>0</v>
      </c>
      <c r="U26" s="20">
        <f t="shared" si="21"/>
        <v>0</v>
      </c>
      <c r="V26" s="20">
        <f t="shared" si="21"/>
        <v>0</v>
      </c>
      <c r="W26" s="20">
        <f t="shared" si="21"/>
        <v>0</v>
      </c>
      <c r="X26" s="20">
        <f t="shared" si="21"/>
        <v>0</v>
      </c>
      <c r="Y26" s="20">
        <f t="shared" si="21"/>
        <v>0</v>
      </c>
      <c r="Z26" s="20">
        <f t="shared" si="21"/>
        <v>0</v>
      </c>
    </row>
    <row r="27" spans="1:26" x14ac:dyDescent="0.4">
      <c r="A27" s="77" t="s">
        <v>7</v>
      </c>
      <c r="B27" s="97">
        <f t="shared" ref="B27:Z27" si="22">B26/B21</f>
        <v>0</v>
      </c>
      <c r="C27" s="97">
        <f t="shared" si="22"/>
        <v>0</v>
      </c>
      <c r="D27" s="97">
        <f t="shared" si="22"/>
        <v>0</v>
      </c>
      <c r="E27" s="97">
        <f t="shared" si="22"/>
        <v>0</v>
      </c>
      <c r="F27" s="97">
        <f t="shared" si="22"/>
        <v>0</v>
      </c>
      <c r="G27" s="97">
        <f t="shared" si="22"/>
        <v>0</v>
      </c>
      <c r="H27" s="97">
        <f t="shared" si="22"/>
        <v>0</v>
      </c>
      <c r="I27" s="97">
        <f t="shared" si="22"/>
        <v>0</v>
      </c>
      <c r="J27" s="97">
        <f t="shared" si="22"/>
        <v>0</v>
      </c>
      <c r="K27" s="97">
        <f t="shared" si="22"/>
        <v>0</v>
      </c>
      <c r="L27" s="97">
        <f t="shared" si="22"/>
        <v>0</v>
      </c>
      <c r="M27" s="97">
        <f t="shared" si="22"/>
        <v>0</v>
      </c>
      <c r="N27" s="97">
        <f t="shared" si="22"/>
        <v>0</v>
      </c>
      <c r="O27" s="97">
        <f t="shared" si="22"/>
        <v>0</v>
      </c>
      <c r="P27" s="97">
        <f t="shared" si="22"/>
        <v>0</v>
      </c>
      <c r="Q27" s="97">
        <f t="shared" si="22"/>
        <v>0</v>
      </c>
      <c r="R27" s="97">
        <f t="shared" si="22"/>
        <v>0</v>
      </c>
      <c r="S27" s="97">
        <f t="shared" si="22"/>
        <v>0</v>
      </c>
      <c r="T27" s="97">
        <f t="shared" si="22"/>
        <v>0</v>
      </c>
      <c r="U27" s="97">
        <f t="shared" si="22"/>
        <v>0</v>
      </c>
      <c r="V27" s="97">
        <f t="shared" si="22"/>
        <v>0</v>
      </c>
      <c r="W27" s="97">
        <f t="shared" si="22"/>
        <v>0</v>
      </c>
      <c r="X27" s="97">
        <f t="shared" si="22"/>
        <v>0</v>
      </c>
      <c r="Y27" s="97">
        <f t="shared" si="22"/>
        <v>0</v>
      </c>
      <c r="Z27" s="97">
        <f t="shared" si="22"/>
        <v>0</v>
      </c>
    </row>
    <row r="28" spans="1:26" x14ac:dyDescent="0.4">
      <c r="A28" s="77" t="s">
        <v>8</v>
      </c>
      <c r="B28" s="98">
        <f>B26</f>
        <v>0</v>
      </c>
      <c r="C28" s="98">
        <f t="shared" ref="C28:Z28" si="23">B28+C26</f>
        <v>0</v>
      </c>
      <c r="D28" s="98">
        <f t="shared" si="23"/>
        <v>0</v>
      </c>
      <c r="E28" s="98">
        <f t="shared" si="23"/>
        <v>0</v>
      </c>
      <c r="F28" s="98">
        <f t="shared" si="23"/>
        <v>0</v>
      </c>
      <c r="G28" s="98">
        <f t="shared" si="23"/>
        <v>0</v>
      </c>
      <c r="H28" s="98">
        <f>G28+H26</f>
        <v>0</v>
      </c>
      <c r="I28" s="98">
        <f t="shared" si="23"/>
        <v>0</v>
      </c>
      <c r="J28" s="98">
        <f t="shared" si="23"/>
        <v>0</v>
      </c>
      <c r="K28" s="98">
        <f t="shared" si="23"/>
        <v>0</v>
      </c>
      <c r="L28" s="98">
        <f t="shared" si="23"/>
        <v>0</v>
      </c>
      <c r="M28" s="98">
        <f t="shared" si="23"/>
        <v>0</v>
      </c>
      <c r="N28" s="98">
        <f t="shared" si="23"/>
        <v>0</v>
      </c>
      <c r="O28" s="98">
        <f t="shared" si="23"/>
        <v>0</v>
      </c>
      <c r="P28" s="98">
        <f t="shared" si="23"/>
        <v>0</v>
      </c>
      <c r="Q28" s="98">
        <f t="shared" si="23"/>
        <v>0</v>
      </c>
      <c r="R28" s="98">
        <f t="shared" si="23"/>
        <v>0</v>
      </c>
      <c r="S28" s="98">
        <f t="shared" si="23"/>
        <v>0</v>
      </c>
      <c r="T28" s="98">
        <f t="shared" si="23"/>
        <v>0</v>
      </c>
      <c r="U28" s="98">
        <f t="shared" si="23"/>
        <v>0</v>
      </c>
      <c r="V28" s="98">
        <f t="shared" si="23"/>
        <v>0</v>
      </c>
      <c r="W28" s="98">
        <f t="shared" si="23"/>
        <v>0</v>
      </c>
      <c r="X28" s="98">
        <f t="shared" si="23"/>
        <v>0</v>
      </c>
      <c r="Y28" s="98">
        <f t="shared" si="23"/>
        <v>0</v>
      </c>
      <c r="Z28" s="98">
        <f t="shared" si="23"/>
        <v>0</v>
      </c>
    </row>
    <row r="29" spans="1:26" x14ac:dyDescent="0.4">
      <c r="A29" s="77" t="s">
        <v>39</v>
      </c>
      <c r="B29" s="66">
        <f>SUM(B27:Z27)/25</f>
        <v>0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20"/>
      <c r="W29" s="20"/>
      <c r="X29" s="20"/>
      <c r="Y29" s="20"/>
      <c r="Z29" s="20"/>
    </row>
    <row r="30" spans="1:26" ht="14.25" x14ac:dyDescent="0.45">
      <c r="A30" s="27"/>
      <c r="B30" s="99"/>
      <c r="C30" s="5"/>
      <c r="D30" s="99"/>
      <c r="E30" s="5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5"/>
      <c r="T30" s="5"/>
      <c r="U30" s="5"/>
      <c r="V30" s="5"/>
      <c r="W30" s="5"/>
      <c r="X30" s="5"/>
      <c r="Y30" s="5"/>
      <c r="Z30" s="5"/>
    </row>
    <row r="31" spans="1:26" x14ac:dyDescent="0.4">
      <c r="A31" s="77" t="s">
        <v>74</v>
      </c>
      <c r="B31" s="100">
        <f>B20</f>
        <v>0.12139999999999998</v>
      </c>
      <c r="C31" s="100">
        <f t="shared" ref="C31:Z31" si="24">C20</f>
        <v>0.12568499999999996</v>
      </c>
      <c r="D31" s="100">
        <f t="shared" si="24"/>
        <v>0.13007712499999996</v>
      </c>
      <c r="E31" s="100">
        <f t="shared" si="24"/>
        <v>0.13457905312499993</v>
      </c>
      <c r="F31" s="100">
        <f t="shared" si="24"/>
        <v>0.13919352945312491</v>
      </c>
      <c r="G31" s="100">
        <f t="shared" si="24"/>
        <v>0.14392336768945302</v>
      </c>
      <c r="H31" s="100">
        <f t="shared" si="24"/>
        <v>0.14877145188168933</v>
      </c>
      <c r="I31" s="100">
        <f t="shared" si="24"/>
        <v>0.15374073817873155</v>
      </c>
      <c r="J31" s="100">
        <f t="shared" si="24"/>
        <v>0.15883425663319981</v>
      </c>
      <c r="K31" s="100">
        <f t="shared" si="24"/>
        <v>0.16405511304902978</v>
      </c>
      <c r="L31" s="100">
        <f t="shared" si="24"/>
        <v>0.20940649087525551</v>
      </c>
      <c r="M31" s="100">
        <f t="shared" si="24"/>
        <v>0.21489165314713687</v>
      </c>
      <c r="N31" s="100">
        <f t="shared" si="24"/>
        <v>0.22051394447581527</v>
      </c>
      <c r="O31" s="100">
        <f t="shared" si="24"/>
        <v>0.22627679308771062</v>
      </c>
      <c r="P31" s="100">
        <f t="shared" si="24"/>
        <v>0.23218371291490336</v>
      </c>
      <c r="Q31" s="100">
        <f t="shared" si="24"/>
        <v>0.23823830573777594</v>
      </c>
      <c r="R31" s="100">
        <f t="shared" si="24"/>
        <v>0.24444426338122033</v>
      </c>
      <c r="S31" s="100">
        <f t="shared" si="24"/>
        <v>0.25080536996575081</v>
      </c>
      <c r="T31" s="100">
        <f t="shared" si="24"/>
        <v>0.25732550421489458</v>
      </c>
      <c r="U31" s="100">
        <f t="shared" si="24"/>
        <v>0.2640086418202669</v>
      </c>
      <c r="V31" s="100">
        <f t="shared" si="24"/>
        <v>0.27085885786577357</v>
      </c>
      <c r="W31" s="100">
        <f t="shared" si="24"/>
        <v>0.27788032931241791</v>
      </c>
      <c r="X31" s="100">
        <f t="shared" si="24"/>
        <v>0.28507733754522835</v>
      </c>
      <c r="Y31" s="100">
        <f t="shared" si="24"/>
        <v>0.29245427098385901</v>
      </c>
      <c r="Z31" s="100">
        <f t="shared" si="24"/>
        <v>0.30001562775845547</v>
      </c>
    </row>
    <row r="32" spans="1:26" x14ac:dyDescent="0.4">
      <c r="A32" s="77" t="s">
        <v>75</v>
      </c>
      <c r="B32" s="28">
        <f t="shared" ref="B32:Z32" si="25">B18*B31</f>
        <v>108155.25999999998</v>
      </c>
      <c r="C32" s="28">
        <f t="shared" si="25"/>
        <v>111412.90266749996</v>
      </c>
      <c r="D32" s="28">
        <f t="shared" si="25"/>
        <v>114729.75069864152</v>
      </c>
      <c r="E32" s="28">
        <f t="shared" si="25"/>
        <v>118107.00850144887</v>
      </c>
      <c r="F32" s="28">
        <f t="shared" si="25"/>
        <v>121545.90428304867</v>
      </c>
      <c r="G32" s="28">
        <f t="shared" si="25"/>
        <v>125047.6905233696</v>
      </c>
      <c r="H32" s="28">
        <f t="shared" si="25"/>
        <v>128613.64445825343</v>
      </c>
      <c r="I32" s="28">
        <f t="shared" si="25"/>
        <v>132245.0685721644</v>
      </c>
      <c r="J32" s="28">
        <f t="shared" si="25"/>
        <v>135943.29110068784</v>
      </c>
      <c r="K32" s="28">
        <f t="shared" si="25"/>
        <v>139709.66654301243</v>
      </c>
      <c r="L32" s="28">
        <f t="shared" si="25"/>
        <v>177439.33679387296</v>
      </c>
      <c r="M32" s="28">
        <f t="shared" si="25"/>
        <v>181176.72043644011</v>
      </c>
      <c r="N32" s="28">
        <f t="shared" si="25"/>
        <v>184987.33069478432</v>
      </c>
      <c r="O32" s="28">
        <f t="shared" si="25"/>
        <v>188872.62821731481</v>
      </c>
      <c r="P32" s="28">
        <f t="shared" si="25"/>
        <v>192834.10265648071</v>
      </c>
      <c r="Q32" s="28">
        <f t="shared" si="25"/>
        <v>196873.27324535832</v>
      </c>
      <c r="R32" s="28">
        <f t="shared" si="25"/>
        <v>200991.68938569698</v>
      </c>
      <c r="S32" s="28">
        <f t="shared" si="25"/>
        <v>205190.93124765193</v>
      </c>
      <c r="T32" s="28">
        <f t="shared" si="25"/>
        <v>209472.61038143613</v>
      </c>
      <c r="U32" s="28">
        <f t="shared" si="25"/>
        <v>213838.37034112812</v>
      </c>
      <c r="V32" s="28">
        <f t="shared" si="25"/>
        <v>218289.8873208772</v>
      </c>
      <c r="W32" s="28">
        <f t="shared" si="25"/>
        <v>222828.87080375268</v>
      </c>
      <c r="X32" s="28">
        <f t="shared" si="25"/>
        <v>227457.06422348847</v>
      </c>
      <c r="Y32" s="28">
        <f t="shared" si="25"/>
        <v>232176.24563937893</v>
      </c>
      <c r="Z32" s="28">
        <f t="shared" si="25"/>
        <v>236988.22842458799</v>
      </c>
    </row>
    <row r="33" spans="1:26" x14ac:dyDescent="0.4">
      <c r="A33" s="77"/>
      <c r="B33" s="28"/>
      <c r="C33" s="28"/>
      <c r="D33" s="28"/>
      <c r="E33" s="28"/>
      <c r="F33" s="28"/>
      <c r="G33" s="28"/>
      <c r="H33" s="5"/>
      <c r="I33" s="5"/>
      <c r="J33" s="28"/>
      <c r="K33" s="28"/>
      <c r="L33" s="28"/>
      <c r="M33" s="28"/>
      <c r="N33" s="28"/>
      <c r="O33" s="28"/>
      <c r="P33" s="28"/>
      <c r="Q33" s="28"/>
      <c r="R33" s="28"/>
      <c r="S33" s="5"/>
      <c r="T33" s="5"/>
      <c r="U33" s="5"/>
      <c r="V33" s="5"/>
      <c r="W33" s="5"/>
      <c r="X33" s="5"/>
      <c r="Y33" s="5"/>
      <c r="Z33" s="5"/>
    </row>
    <row r="34" spans="1:26" x14ac:dyDescent="0.4">
      <c r="A34" s="77" t="s">
        <v>99</v>
      </c>
      <c r="B34" s="28">
        <f>SUM(G21:Z21,B24:Z24)</f>
        <v>3621919.0396502339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5"/>
      <c r="T34" s="5"/>
      <c r="U34" s="5"/>
      <c r="V34" s="5"/>
      <c r="W34" s="5"/>
      <c r="X34" s="5"/>
      <c r="Y34" s="5"/>
      <c r="Z34" s="5"/>
    </row>
    <row r="35" spans="1:26" x14ac:dyDescent="0.4">
      <c r="A35" s="77" t="s">
        <v>100</v>
      </c>
      <c r="B35" s="28">
        <f>SUM(G22:Z22)</f>
        <v>3750976.6510097375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5"/>
      <c r="T35" s="5"/>
      <c r="U35" s="5"/>
      <c r="V35" s="5"/>
      <c r="W35" s="5"/>
      <c r="X35" s="5"/>
      <c r="Y35" s="5"/>
      <c r="Z35" s="5"/>
    </row>
    <row r="36" spans="1:26" x14ac:dyDescent="0.4">
      <c r="A36" s="77" t="s">
        <v>60</v>
      </c>
      <c r="B36" s="28">
        <f>B34-B35</f>
        <v>-129057.61135950359</v>
      </c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5"/>
      <c r="T36" s="5"/>
      <c r="U36" s="5"/>
      <c r="V36" s="5"/>
      <c r="W36" s="5"/>
      <c r="X36" s="5"/>
      <c r="Y36" s="5"/>
      <c r="Z36" s="5"/>
    </row>
    <row r="37" spans="1:26" x14ac:dyDescent="0.4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idden="1" x14ac:dyDescent="0.4">
      <c r="A38" s="12" t="s">
        <v>63</v>
      </c>
      <c r="B38" s="28">
        <f>B34-B36</f>
        <v>3750976.6510097375</v>
      </c>
      <c r="C38" s="28"/>
      <c r="D38" s="5"/>
      <c r="E38" s="28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idden="1" x14ac:dyDescent="0.4">
      <c r="A39" s="12" t="s">
        <v>61</v>
      </c>
      <c r="B39" s="20" t="e">
        <f>SUM(#REF!)</f>
        <v>#REF!</v>
      </c>
      <c r="C39" s="20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idden="1" x14ac:dyDescent="0.4">
      <c r="A40" s="12" t="s">
        <v>62</v>
      </c>
      <c r="B40" s="20" t="e">
        <f>SUM(#REF!)</f>
        <v>#REF!</v>
      </c>
      <c r="C40" s="20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5"/>
      <c r="T40" s="5"/>
      <c r="U40" s="5"/>
      <c r="V40" s="5"/>
      <c r="W40" s="5"/>
      <c r="X40" s="5"/>
      <c r="Y40" s="5"/>
      <c r="Z40" s="5"/>
    </row>
    <row r="41" spans="1:26" hidden="1" x14ac:dyDescent="0.4">
      <c r="A41" s="12" t="s">
        <v>64</v>
      </c>
      <c r="B41" s="20" t="e">
        <f>SUM(#REF!)</f>
        <v>#REF!</v>
      </c>
      <c r="C41" s="20"/>
      <c r="D41" s="5"/>
      <c r="E41" s="20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idden="1" x14ac:dyDescent="0.4">
      <c r="A42" s="12" t="s">
        <v>65</v>
      </c>
      <c r="B42" s="28" t="e">
        <f>#REF!+#REF!</f>
        <v>#REF!</v>
      </c>
      <c r="C42" s="28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idden="1" x14ac:dyDescent="0.4">
      <c r="A43" s="13"/>
      <c r="B43" s="20"/>
      <c r="C43" s="20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5"/>
      <c r="T43" s="5"/>
      <c r="U43" s="5"/>
      <c r="V43" s="5"/>
      <c r="W43" s="5"/>
      <c r="X43" s="5"/>
      <c r="Y43" s="5"/>
      <c r="Z43" s="5"/>
    </row>
    <row r="44" spans="1:26" hidden="1" x14ac:dyDescent="0.4">
      <c r="A44" s="12" t="s">
        <v>66</v>
      </c>
      <c r="B44" s="28" t="e">
        <f>SUM(B38:B43)</f>
        <v>#REF!</v>
      </c>
      <c r="C44" s="28"/>
      <c r="D44" s="5"/>
      <c r="E44" s="28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x14ac:dyDescent="0.4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x14ac:dyDescent="0.4">
      <c r="B46" s="5"/>
      <c r="C46" s="5"/>
      <c r="D46" s="5"/>
      <c r="E46" s="28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x14ac:dyDescent="0.4">
      <c r="G47" s="5"/>
      <c r="H47" s="5"/>
      <c r="I47" s="5"/>
    </row>
    <row r="48" spans="1:26" x14ac:dyDescent="0.4">
      <c r="G48" s="5"/>
      <c r="H48" s="5"/>
      <c r="I48" s="5"/>
    </row>
    <row r="49" spans="7:9" x14ac:dyDescent="0.4">
      <c r="G49" s="5"/>
      <c r="H49" s="5"/>
      <c r="I49" s="5"/>
    </row>
    <row r="50" spans="7:9" x14ac:dyDescent="0.4">
      <c r="G50" s="5"/>
      <c r="H50" s="5"/>
      <c r="I50" s="5"/>
    </row>
    <row r="51" spans="7:9" x14ac:dyDescent="0.4">
      <c r="G51" s="5"/>
      <c r="H51" s="5"/>
      <c r="I51" s="5"/>
    </row>
    <row r="52" spans="7:9" x14ac:dyDescent="0.4">
      <c r="G52" s="5"/>
      <c r="H52" s="5"/>
      <c r="I52" s="5"/>
    </row>
  </sheetData>
  <mergeCells count="2">
    <mergeCell ref="A2:A12"/>
    <mergeCell ref="H4:O6"/>
  </mergeCells>
  <pageMargins left="0.7" right="0.7" top="0.75" bottom="0.75" header="0.3" footer="0.3"/>
  <pageSetup paperSize="17" scale="6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2C08E-6FE4-4AA9-B138-69F87C026A97}">
  <sheetPr>
    <pageSetUpPr fitToPage="1"/>
  </sheetPr>
  <dimension ref="A1:AE68"/>
  <sheetViews>
    <sheetView zoomScale="65" workbookViewId="0">
      <selection activeCell="B19" sqref="B19"/>
    </sheetView>
  </sheetViews>
  <sheetFormatPr defaultColWidth="8.86328125" defaultRowHeight="12.75" x14ac:dyDescent="0.35"/>
  <cols>
    <col min="1" max="1" width="38.86328125" customWidth="1"/>
    <col min="2" max="2" width="14.86328125" customWidth="1"/>
    <col min="3" max="3" width="12.86328125" customWidth="1"/>
    <col min="4" max="4" width="13.1328125" customWidth="1"/>
    <col min="5" max="5" width="17" customWidth="1"/>
    <col min="6" max="6" width="18.3984375" customWidth="1"/>
    <col min="7" max="7" width="22.3984375" bestFit="1" customWidth="1"/>
    <col min="8" max="8" width="15.86328125" bestFit="1" customWidth="1"/>
    <col min="9" max="19" width="14.86328125" customWidth="1"/>
    <col min="20" max="20" width="15.86328125" bestFit="1" customWidth="1"/>
    <col min="21" max="21" width="12.86328125" customWidth="1"/>
    <col min="22" max="22" width="11.86328125" customWidth="1"/>
    <col min="23" max="23" width="10.73046875" bestFit="1" customWidth="1"/>
    <col min="24" max="24" width="10.86328125" bestFit="1" customWidth="1"/>
    <col min="25" max="27" width="10.73046875" bestFit="1" customWidth="1"/>
    <col min="29" max="29" width="11.73046875" customWidth="1"/>
    <col min="30" max="30" width="10.3984375" customWidth="1"/>
    <col min="31" max="31" width="10.86328125" customWidth="1"/>
  </cols>
  <sheetData>
    <row r="1" spans="1:15" ht="19.5" customHeight="1" x14ac:dyDescent="0.35">
      <c r="A1" s="112"/>
      <c r="H1" s="124" t="s">
        <v>135</v>
      </c>
      <c r="I1" s="125"/>
      <c r="J1" s="125"/>
      <c r="K1" s="125"/>
      <c r="L1" s="125"/>
      <c r="M1" s="125"/>
      <c r="N1" s="125"/>
      <c r="O1" s="126"/>
    </row>
    <row r="2" spans="1:15" ht="19.5" customHeight="1" x14ac:dyDescent="0.35">
      <c r="A2" s="112"/>
      <c r="H2" s="127"/>
      <c r="I2" s="128"/>
      <c r="J2" s="128"/>
      <c r="K2" s="128"/>
      <c r="L2" s="128"/>
      <c r="M2" s="128"/>
      <c r="N2" s="128"/>
      <c r="O2" s="129"/>
    </row>
    <row r="3" spans="1:15" ht="19.5" customHeight="1" thickBot="1" x14ac:dyDescent="0.4">
      <c r="A3" s="112"/>
      <c r="H3" s="130"/>
      <c r="I3" s="131"/>
      <c r="J3" s="131"/>
      <c r="K3" s="131"/>
      <c r="L3" s="131"/>
      <c r="M3" s="131"/>
      <c r="N3" s="131"/>
      <c r="O3" s="132"/>
    </row>
    <row r="4" spans="1:15" x14ac:dyDescent="0.35">
      <c r="A4" s="122" t="s">
        <v>93</v>
      </c>
      <c r="B4" s="122"/>
    </row>
    <row r="5" spans="1:15" x14ac:dyDescent="0.35">
      <c r="A5" s="122"/>
      <c r="B5" s="122"/>
    </row>
    <row r="6" spans="1:15" x14ac:dyDescent="0.35">
      <c r="A6" s="14" t="s">
        <v>76</v>
      </c>
      <c r="B6" s="19">
        <f>'Inputs &amp; Generation'!C3</f>
        <v>0.1714</v>
      </c>
    </row>
    <row r="7" spans="1:15" x14ac:dyDescent="0.35">
      <c r="A7" s="4" t="s">
        <v>10</v>
      </c>
      <c r="B7" s="24">
        <f>'Inputs &amp; Generation'!C7</f>
        <v>755000</v>
      </c>
    </row>
    <row r="8" spans="1:15" x14ac:dyDescent="0.35">
      <c r="A8" t="s">
        <v>9</v>
      </c>
      <c r="B8" s="18">
        <f>'Inputs &amp; Generation'!C17</f>
        <v>2.2000000000000002</v>
      </c>
      <c r="E8" s="26"/>
      <c r="F8" s="2"/>
      <c r="G8" s="2"/>
      <c r="H8" s="2"/>
      <c r="I8" s="2"/>
      <c r="J8" s="2"/>
    </row>
    <row r="9" spans="1:15" x14ac:dyDescent="0.35">
      <c r="A9" t="s">
        <v>23</v>
      </c>
      <c r="B9" s="16">
        <f>'Inputs &amp; Generation'!C19</f>
        <v>1661000.0000000002</v>
      </c>
      <c r="D9" s="3"/>
      <c r="E9" s="17"/>
      <c r="F9" s="3"/>
      <c r="G9" s="3"/>
      <c r="H9" s="3"/>
      <c r="I9" s="3"/>
      <c r="J9" s="3"/>
    </row>
    <row r="10" spans="1:15" x14ac:dyDescent="0.35">
      <c r="A10" t="s">
        <v>53</v>
      </c>
      <c r="B10" s="17">
        <f>'Inputs &amp; Generation'!C18</f>
        <v>225000</v>
      </c>
    </row>
    <row r="11" spans="1:15" x14ac:dyDescent="0.35">
      <c r="A11" s="14" t="s">
        <v>48</v>
      </c>
      <c r="B11" s="3">
        <f>B9-B10</f>
        <v>1436000.0000000002</v>
      </c>
    </row>
    <row r="12" spans="1:15" ht="13.15" x14ac:dyDescent="0.4">
      <c r="A12" s="67" t="s">
        <v>92</v>
      </c>
      <c r="B12" s="67"/>
    </row>
    <row r="13" spans="1:15" x14ac:dyDescent="0.35">
      <c r="A13" s="72" t="s">
        <v>36</v>
      </c>
      <c r="B13" s="25">
        <f>(1-'Inputs &amp; Generation'!C23)*B9</f>
        <v>1661000.0000000002</v>
      </c>
    </row>
    <row r="14" spans="1:15" x14ac:dyDescent="0.35">
      <c r="A14" s="72" t="s">
        <v>37</v>
      </c>
      <c r="B14" s="85">
        <v>0.28000000000000003</v>
      </c>
    </row>
    <row r="15" spans="1:15" x14ac:dyDescent="0.35">
      <c r="A15" s="73" t="s">
        <v>90</v>
      </c>
      <c r="B15" s="65">
        <f>'Inputs &amp; Generation'!C25</f>
        <v>5.2499999999999998E-2</v>
      </c>
    </row>
    <row r="16" spans="1:15" x14ac:dyDescent="0.35">
      <c r="A16" s="72" t="s">
        <v>11</v>
      </c>
      <c r="B16" s="3">
        <f>B9-B13</f>
        <v>0</v>
      </c>
    </row>
    <row r="17" spans="1:31" ht="13.15" x14ac:dyDescent="0.4">
      <c r="A17" s="67" t="s">
        <v>91</v>
      </c>
      <c r="B17" s="67"/>
    </row>
    <row r="18" spans="1:31" x14ac:dyDescent="0.35">
      <c r="A18" s="72" t="s">
        <v>15</v>
      </c>
      <c r="B18" s="9">
        <v>0.26</v>
      </c>
    </row>
    <row r="19" spans="1:31" x14ac:dyDescent="0.35">
      <c r="A19" s="72" t="s">
        <v>27</v>
      </c>
      <c r="B19" s="66">
        <f>0.25*B18</f>
        <v>6.5000000000000002E-2</v>
      </c>
    </row>
    <row r="20" spans="1:31" x14ac:dyDescent="0.35">
      <c r="A20" s="72" t="s">
        <v>16</v>
      </c>
      <c r="B20" s="15">
        <f>B11*B18</f>
        <v>373360.00000000006</v>
      </c>
    </row>
    <row r="21" spans="1:31" x14ac:dyDescent="0.35">
      <c r="A21" s="72" t="s">
        <v>26</v>
      </c>
      <c r="B21" s="3">
        <f>B9*B19</f>
        <v>107965.00000000001</v>
      </c>
    </row>
    <row r="22" spans="1:31" ht="13.15" thickBot="1" x14ac:dyDescent="0.4">
      <c r="A22" s="4"/>
      <c r="B22" s="3"/>
    </row>
    <row r="23" spans="1:31" ht="14.25" thickBot="1" x14ac:dyDescent="0.45">
      <c r="A23" s="79" t="s">
        <v>97</v>
      </c>
      <c r="B23" s="71"/>
      <c r="C23" s="64">
        <v>1</v>
      </c>
      <c r="D23" s="64">
        <f>C23+1</f>
        <v>2</v>
      </c>
      <c r="E23" s="64">
        <f t="shared" ref="E23:AA23" si="0">D23+1</f>
        <v>3</v>
      </c>
      <c r="F23" s="64">
        <f t="shared" si="0"/>
        <v>4</v>
      </c>
      <c r="G23" s="64">
        <f t="shared" si="0"/>
        <v>5</v>
      </c>
      <c r="H23" s="64">
        <f t="shared" si="0"/>
        <v>6</v>
      </c>
      <c r="I23" s="64">
        <f>H23+1</f>
        <v>7</v>
      </c>
      <c r="J23" s="64">
        <f>I23+1</f>
        <v>8</v>
      </c>
      <c r="K23" s="64">
        <f t="shared" si="0"/>
        <v>9</v>
      </c>
      <c r="L23" s="64">
        <f t="shared" si="0"/>
        <v>10</v>
      </c>
      <c r="M23" s="64">
        <f t="shared" si="0"/>
        <v>11</v>
      </c>
      <c r="N23" s="64">
        <f t="shared" si="0"/>
        <v>12</v>
      </c>
      <c r="O23" s="64">
        <f t="shared" si="0"/>
        <v>13</v>
      </c>
      <c r="P23" s="64">
        <f t="shared" si="0"/>
        <v>14</v>
      </c>
      <c r="Q23" s="64">
        <f t="shared" si="0"/>
        <v>15</v>
      </c>
      <c r="R23" s="64">
        <f t="shared" si="0"/>
        <v>16</v>
      </c>
      <c r="S23" s="64">
        <f t="shared" si="0"/>
        <v>17</v>
      </c>
      <c r="T23" s="64">
        <f t="shared" si="0"/>
        <v>18</v>
      </c>
      <c r="U23" s="64">
        <f t="shared" si="0"/>
        <v>19</v>
      </c>
      <c r="V23" s="64">
        <f t="shared" si="0"/>
        <v>20</v>
      </c>
      <c r="W23" s="64">
        <f t="shared" si="0"/>
        <v>21</v>
      </c>
      <c r="X23" s="64">
        <f t="shared" si="0"/>
        <v>22</v>
      </c>
      <c r="Y23" s="64">
        <f t="shared" si="0"/>
        <v>23</v>
      </c>
      <c r="Z23" s="64">
        <f t="shared" si="0"/>
        <v>24</v>
      </c>
      <c r="AA23" s="64">
        <f t="shared" si="0"/>
        <v>25</v>
      </c>
    </row>
    <row r="24" spans="1:31" x14ac:dyDescent="0.35">
      <c r="A24" s="73" t="s">
        <v>94</v>
      </c>
      <c r="C24" s="104">
        <v>0.2</v>
      </c>
      <c r="D24" s="104">
        <v>0.2</v>
      </c>
      <c r="E24" s="104">
        <v>0.2</v>
      </c>
      <c r="F24" s="104">
        <v>0.2</v>
      </c>
      <c r="G24" s="104">
        <v>0.2</v>
      </c>
      <c r="H24" s="88"/>
      <c r="I24" s="88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31" x14ac:dyDescent="0.35">
      <c r="A25" s="72" t="s">
        <v>17</v>
      </c>
      <c r="C25" s="16">
        <f t="shared" ref="C25:H25" si="1">($B$9 - 0.5*$B$20)*C24</f>
        <v>294864.00000000006</v>
      </c>
      <c r="D25" s="16">
        <f t="shared" si="1"/>
        <v>294864.00000000006</v>
      </c>
      <c r="E25" s="16">
        <f t="shared" si="1"/>
        <v>294864.00000000006</v>
      </c>
      <c r="F25" s="16">
        <f t="shared" si="1"/>
        <v>294864.00000000006</v>
      </c>
      <c r="G25" s="16">
        <f t="shared" si="1"/>
        <v>294864.00000000006</v>
      </c>
      <c r="H25" s="16">
        <f t="shared" si="1"/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</row>
    <row r="26" spans="1:31" ht="13.15" x14ac:dyDescent="0.4">
      <c r="A26" s="73" t="s">
        <v>57</v>
      </c>
      <c r="C26" s="28">
        <f t="shared" ref="C26:H26" si="2">C48-C25</f>
        <v>-202377.74000000008</v>
      </c>
      <c r="D26" s="28">
        <f t="shared" si="2"/>
        <v>-199207.75233250009</v>
      </c>
      <c r="E26" s="28">
        <f t="shared" si="2"/>
        <v>-195981.42602635853</v>
      </c>
      <c r="F26" s="28">
        <f t="shared" si="2"/>
        <v>-192697.6084399262</v>
      </c>
      <c r="G26" s="28">
        <f t="shared" si="2"/>
        <v>-189355.12419561952</v>
      </c>
      <c r="H26" s="28">
        <f t="shared" si="2"/>
        <v>108911.22527265482</v>
      </c>
      <c r="I26" s="20">
        <f t="shared" ref="I26:AA26" si="3">-1*(I25-I48)</f>
        <v>112374.66218106342</v>
      </c>
      <c r="J26" s="20">
        <f t="shared" si="3"/>
        <v>115900.43286657696</v>
      </c>
      <c r="K26" s="20">
        <f t="shared" si="3"/>
        <v>119489.8082670493</v>
      </c>
      <c r="L26" s="20">
        <f t="shared" si="3"/>
        <v>123144.08441083146</v>
      </c>
      <c r="M26" s="20">
        <f t="shared" si="3"/>
        <v>10158.343525388074</v>
      </c>
      <c r="N26" s="20">
        <f t="shared" si="3"/>
        <v>161364.94330639351</v>
      </c>
      <c r="O26" s="20">
        <f t="shared" si="3"/>
        <v>164993.09484592572</v>
      </c>
      <c r="P26" s="20">
        <f t="shared" si="3"/>
        <v>168691.23059114904</v>
      </c>
      <c r="Q26" s="20">
        <f t="shared" si="3"/>
        <v>172460.75140276327</v>
      </c>
      <c r="R26" s="20">
        <f t="shared" si="3"/>
        <v>184566.79786311582</v>
      </c>
      <c r="S26" s="20">
        <f t="shared" si="3"/>
        <v>188442.08449580963</v>
      </c>
      <c r="T26" s="20">
        <f t="shared" si="3"/>
        <v>192393.33425996682</v>
      </c>
      <c r="U26" s="20">
        <f t="shared" si="3"/>
        <v>196422.06145399733</v>
      </c>
      <c r="V26" s="20">
        <f t="shared" si="3"/>
        <v>200529.81043514053</v>
      </c>
      <c r="W26" s="20">
        <f t="shared" si="3"/>
        <v>204718.15621676989</v>
      </c>
      <c r="X26" s="20">
        <f t="shared" si="3"/>
        <v>208988.70507756321</v>
      </c>
      <c r="Y26" s="20">
        <f t="shared" si="3"/>
        <v>213343.0951827752</v>
      </c>
      <c r="Z26" s="20">
        <f t="shared" si="3"/>
        <v>217782.9972178514</v>
      </c>
      <c r="AA26" s="20">
        <f t="shared" si="3"/>
        <v>222310.11503462991</v>
      </c>
    </row>
    <row r="27" spans="1:31" x14ac:dyDescent="0.35">
      <c r="A27" s="74" t="s">
        <v>34</v>
      </c>
      <c r="C27" s="89">
        <f t="shared" ref="C27:AA27" si="4">-1*C26*$B$14</f>
        <v>56665.767200000024</v>
      </c>
      <c r="D27" s="20">
        <f t="shared" si="4"/>
        <v>55778.170653100031</v>
      </c>
      <c r="E27" s="20">
        <f>-1*E26*$B$14</f>
        <v>54874.799287380396</v>
      </c>
      <c r="F27" s="20">
        <f t="shared" si="4"/>
        <v>53955.330363179339</v>
      </c>
      <c r="G27" s="20">
        <f t="shared" si="4"/>
        <v>53019.434774773472</v>
      </c>
      <c r="H27" s="20">
        <f t="shared" si="4"/>
        <v>-30495.143076343353</v>
      </c>
      <c r="I27" s="20">
        <f t="shared" si="4"/>
        <v>-31464.90541069776</v>
      </c>
      <c r="J27" s="20">
        <f t="shared" si="4"/>
        <v>-32452.121202641552</v>
      </c>
      <c r="K27" s="20">
        <f t="shared" si="4"/>
        <v>-33457.14631477381</v>
      </c>
      <c r="L27" s="20">
        <f t="shared" si="4"/>
        <v>-34480.343635032812</v>
      </c>
      <c r="M27" s="20">
        <f t="shared" si="4"/>
        <v>-2844.3361871086613</v>
      </c>
      <c r="N27" s="20">
        <f t="shared" si="4"/>
        <v>-45182.184125790191</v>
      </c>
      <c r="O27" s="20">
        <f t="shared" si="4"/>
        <v>-46198.066556859209</v>
      </c>
      <c r="P27" s="20">
        <f t="shared" si="4"/>
        <v>-47233.544565521734</v>
      </c>
      <c r="Q27" s="20">
        <f t="shared" si="4"/>
        <v>-48289.010392773722</v>
      </c>
      <c r="R27" s="20">
        <f t="shared" si="4"/>
        <v>-51678.703401672436</v>
      </c>
      <c r="S27" s="20">
        <f t="shared" si="4"/>
        <v>-52763.783658826702</v>
      </c>
      <c r="T27" s="20">
        <f t="shared" si="4"/>
        <v>-53870.133592790713</v>
      </c>
      <c r="U27" s="20">
        <f t="shared" si="4"/>
        <v>-54998.177207119261</v>
      </c>
      <c r="V27" s="20">
        <f t="shared" si="4"/>
        <v>-56148.346921839358</v>
      </c>
      <c r="W27" s="20">
        <f t="shared" si="4"/>
        <v>-57321.083740695576</v>
      </c>
      <c r="X27" s="20">
        <f t="shared" si="4"/>
        <v>-58516.837421717704</v>
      </c>
      <c r="Y27" s="20">
        <f t="shared" si="4"/>
        <v>-59736.066651177061</v>
      </c>
      <c r="Z27" s="20">
        <f t="shared" si="4"/>
        <v>-60979.239220998395</v>
      </c>
      <c r="AA27" s="20">
        <f t="shared" si="4"/>
        <v>-62246.832209696382</v>
      </c>
    </row>
    <row r="28" spans="1:31" x14ac:dyDescent="0.35">
      <c r="A28" s="72" t="s">
        <v>14</v>
      </c>
      <c r="C28" s="90">
        <f>B20</f>
        <v>373360.00000000006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C28" s="123"/>
      <c r="AD28" s="123"/>
      <c r="AE28" s="123"/>
    </row>
    <row r="29" spans="1:31" x14ac:dyDescent="0.35">
      <c r="A29" s="72" t="s">
        <v>18</v>
      </c>
      <c r="C29" s="90">
        <f>IF('Inputs &amp; Generation'!C20,B21,0)</f>
        <v>0</v>
      </c>
      <c r="D29" s="5"/>
      <c r="E29" s="5"/>
      <c r="F29" s="5"/>
      <c r="G29" s="28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C29" s="14"/>
      <c r="AD29" s="14"/>
      <c r="AE29" s="14"/>
    </row>
    <row r="30" spans="1:31" x14ac:dyDescent="0.35">
      <c r="A30" s="4"/>
      <c r="C30" s="90"/>
      <c r="D30" s="5"/>
      <c r="E30" s="5"/>
      <c r="F30" s="5"/>
      <c r="G30" s="28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C30" s="14"/>
      <c r="AD30" s="14"/>
      <c r="AE30" s="14"/>
    </row>
    <row r="31" spans="1:31" ht="13.15" x14ac:dyDescent="0.4">
      <c r="A31" s="7" t="s">
        <v>20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C31" s="17"/>
    </row>
    <row r="32" spans="1:31" x14ac:dyDescent="0.35">
      <c r="A32" s="87" t="s">
        <v>105</v>
      </c>
      <c r="C32" s="20">
        <f>'As Net Metering Customer'!B21</f>
        <v>108155.25999999998</v>
      </c>
      <c r="D32" s="20">
        <f>'As Net Metering Customer'!C21</f>
        <v>111412.90266749996</v>
      </c>
      <c r="E32" s="20">
        <f>'As Net Metering Customer'!D21</f>
        <v>114729.75069864152</v>
      </c>
      <c r="F32" s="20">
        <f>'As Net Metering Customer'!E21</f>
        <v>118107.00850144887</v>
      </c>
      <c r="G32" s="20">
        <f>'As Net Metering Customer'!F21</f>
        <v>121545.90428304867</v>
      </c>
      <c r="H32" s="20">
        <f>'As Net Metering Customer'!G22</f>
        <v>125047.6905233696</v>
      </c>
      <c r="I32" s="20">
        <f>'As Net Metering Customer'!H22</f>
        <v>128613.64445825343</v>
      </c>
      <c r="J32" s="20">
        <f>'As Net Metering Customer'!I22</f>
        <v>132245.0685721644</v>
      </c>
      <c r="K32" s="20">
        <f>'As Net Metering Customer'!J22</f>
        <v>135943.29110068784</v>
      </c>
      <c r="L32" s="20">
        <f>'As Net Metering Customer'!K22</f>
        <v>139709.66654301243</v>
      </c>
      <c r="M32" s="20">
        <f>'As Net Metering Customer'!L22</f>
        <v>177439.33679387296</v>
      </c>
      <c r="N32" s="20">
        <f>'As Net Metering Customer'!M22</f>
        <v>181176.72043644011</v>
      </c>
      <c r="O32" s="20">
        <f>'As Net Metering Customer'!N22</f>
        <v>184987.33069478432</v>
      </c>
      <c r="P32" s="20">
        <f>'As Net Metering Customer'!O22</f>
        <v>188872.62821731481</v>
      </c>
      <c r="Q32" s="20">
        <f>'As Net Metering Customer'!P22</f>
        <v>192834.10265648071</v>
      </c>
      <c r="R32" s="20">
        <f>'As Net Metering Customer'!Q22</f>
        <v>196873.27324535832</v>
      </c>
      <c r="S32" s="20">
        <f>'As Net Metering Customer'!R22</f>
        <v>200991.68938569698</v>
      </c>
      <c r="T32" s="20">
        <f>'As Net Metering Customer'!S22</f>
        <v>205190.93124765193</v>
      </c>
      <c r="U32" s="20">
        <f>'As Net Metering Customer'!T22</f>
        <v>209472.61038143613</v>
      </c>
      <c r="V32" s="20">
        <f>'As Net Metering Customer'!U22</f>
        <v>213838.37034112812</v>
      </c>
      <c r="W32" s="20">
        <f>'As Net Metering Customer'!V22</f>
        <v>218289.8873208772</v>
      </c>
      <c r="X32" s="20">
        <f>'As Net Metering Customer'!W22</f>
        <v>222828.87080375268</v>
      </c>
      <c r="Y32" s="20">
        <f>'As Net Metering Customer'!X22</f>
        <v>227457.06422348847</v>
      </c>
      <c r="Z32" s="20">
        <f>'As Net Metering Customer'!Y22</f>
        <v>232176.24563937893</v>
      </c>
      <c r="AA32" s="20">
        <f>'As Net Metering Customer'!Z22</f>
        <v>236988.22842458799</v>
      </c>
      <c r="AC32" s="3"/>
    </row>
    <row r="33" spans="1:31" x14ac:dyDescent="0.35">
      <c r="A33" s="73" t="s">
        <v>106</v>
      </c>
      <c r="C33" s="20">
        <f>'As Net Metering Customer'!B24</f>
        <v>-8909</v>
      </c>
      <c r="D33" s="20">
        <f>'As Net Metering Customer'!C24</f>
        <v>-8864.4549999999999</v>
      </c>
      <c r="E33" s="20">
        <f>'As Net Metering Customer'!D24</f>
        <v>-8820.1327249999995</v>
      </c>
      <c r="F33" s="20">
        <f>'As Net Metering Customer'!E24</f>
        <v>-8776.0320613750009</v>
      </c>
      <c r="G33" s="20">
        <f>'As Net Metering Customer'!F24</f>
        <v>-8732.1519010681259</v>
      </c>
      <c r="H33" s="20">
        <f>'As Net Metering Customer'!G24</f>
        <v>-8688.4911415627848</v>
      </c>
      <c r="I33" s="20">
        <f>'As Net Metering Customer'!H24</f>
        <v>-8645.0486858549702</v>
      </c>
      <c r="J33" s="20">
        <f>'As Net Metering Customer'!I24</f>
        <v>-8601.8234424256952</v>
      </c>
      <c r="K33" s="20">
        <f>'As Net Metering Customer'!J24</f>
        <v>-8558.8143252135669</v>
      </c>
      <c r="L33" s="20">
        <f>'As Net Metering Customer'!K24</f>
        <v>-8516.0202535874978</v>
      </c>
      <c r="M33" s="20">
        <f>'As Net Metering Customer'!L24</f>
        <v>-8473.4401523195611</v>
      </c>
      <c r="N33" s="20">
        <f>'As Net Metering Customer'!M24</f>
        <v>-8431.0729515579624</v>
      </c>
      <c r="O33" s="20">
        <f>'As Net Metering Customer'!N24</f>
        <v>-8388.917586800173</v>
      </c>
      <c r="P33" s="20">
        <f>'As Net Metering Customer'!O24</f>
        <v>-8346.9729988661711</v>
      </c>
      <c r="Q33" s="20">
        <f>'As Net Metering Customer'!P24</f>
        <v>-8305.2381338718405</v>
      </c>
      <c r="R33" s="20">
        <f>'As Net Metering Customer'!Q24</f>
        <v>0</v>
      </c>
      <c r="S33" s="20">
        <f>'As Net Metering Customer'!R24</f>
        <v>0</v>
      </c>
      <c r="T33" s="20">
        <f>'As Net Metering Customer'!S24</f>
        <v>0</v>
      </c>
      <c r="U33" s="20">
        <f>'As Net Metering Customer'!T24</f>
        <v>0</v>
      </c>
      <c r="V33" s="20">
        <f>'As Net Metering Customer'!U24</f>
        <v>0</v>
      </c>
      <c r="W33" s="20">
        <f>'As Net Metering Customer'!V24</f>
        <v>0</v>
      </c>
      <c r="X33" s="20">
        <f>'As Net Metering Customer'!W24</f>
        <v>0</v>
      </c>
      <c r="Y33" s="20">
        <f>'As Net Metering Customer'!X24</f>
        <v>0</v>
      </c>
      <c r="Z33" s="20">
        <f>'As Net Metering Customer'!Y24</f>
        <v>0</v>
      </c>
      <c r="AA33" s="20">
        <f>'As Net Metering Customer'!Z24</f>
        <v>0</v>
      </c>
    </row>
    <row r="34" spans="1:31" ht="13.15" x14ac:dyDescent="0.4">
      <c r="A34" s="75" t="s">
        <v>19</v>
      </c>
      <c r="C34" s="20">
        <f>C32+C33</f>
        <v>99246.25999999998</v>
      </c>
      <c r="D34" s="20">
        <f t="shared" ref="D34:AA34" si="5">D32+D33</f>
        <v>102548.44766749996</v>
      </c>
      <c r="E34" s="20">
        <f t="shared" si="5"/>
        <v>105909.61797364152</v>
      </c>
      <c r="F34" s="20">
        <f t="shared" si="5"/>
        <v>109330.97644007386</v>
      </c>
      <c r="G34" s="20">
        <f t="shared" si="5"/>
        <v>112813.75238198055</v>
      </c>
      <c r="H34" s="20">
        <f t="shared" si="5"/>
        <v>116359.19938180681</v>
      </c>
      <c r="I34" s="20">
        <f t="shared" si="5"/>
        <v>119968.59577239846</v>
      </c>
      <c r="J34" s="20">
        <f t="shared" si="5"/>
        <v>123643.2451297387</v>
      </c>
      <c r="K34" s="20">
        <f t="shared" si="5"/>
        <v>127384.47677547428</v>
      </c>
      <c r="L34" s="20">
        <f t="shared" si="5"/>
        <v>131193.64628942494</v>
      </c>
      <c r="M34" s="20">
        <f t="shared" si="5"/>
        <v>168965.89664155341</v>
      </c>
      <c r="N34" s="20">
        <f t="shared" si="5"/>
        <v>172745.64748488215</v>
      </c>
      <c r="O34" s="20">
        <f t="shared" si="5"/>
        <v>176598.41310798415</v>
      </c>
      <c r="P34" s="20">
        <f t="shared" si="5"/>
        <v>180525.65521844864</v>
      </c>
      <c r="Q34" s="20">
        <f t="shared" si="5"/>
        <v>184528.86452260887</v>
      </c>
      <c r="R34" s="20">
        <f t="shared" si="5"/>
        <v>196873.27324535832</v>
      </c>
      <c r="S34" s="20">
        <f t="shared" si="5"/>
        <v>200991.68938569698</v>
      </c>
      <c r="T34" s="20">
        <f t="shared" si="5"/>
        <v>205190.93124765193</v>
      </c>
      <c r="U34" s="20">
        <f t="shared" si="5"/>
        <v>209472.61038143613</v>
      </c>
      <c r="V34" s="20">
        <f t="shared" si="5"/>
        <v>213838.37034112812</v>
      </c>
      <c r="W34" s="20">
        <f t="shared" si="5"/>
        <v>218289.8873208772</v>
      </c>
      <c r="X34" s="20">
        <f t="shared" si="5"/>
        <v>222828.87080375268</v>
      </c>
      <c r="Y34" s="20">
        <f t="shared" si="5"/>
        <v>227457.06422348847</v>
      </c>
      <c r="Z34" s="20">
        <f t="shared" si="5"/>
        <v>232176.24563937893</v>
      </c>
      <c r="AA34" s="20">
        <f t="shared" si="5"/>
        <v>236988.22842458799</v>
      </c>
      <c r="AD34" s="1"/>
      <c r="AE34" s="1"/>
    </row>
    <row r="35" spans="1:31" ht="13.15" x14ac:dyDescent="0.4">
      <c r="A35" s="11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D35" s="1"/>
      <c r="AE35" s="1"/>
    </row>
    <row r="36" spans="1:31" ht="13.15" x14ac:dyDescent="0.4">
      <c r="A36" s="7" t="s">
        <v>79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31" x14ac:dyDescent="0.35">
      <c r="A37" s="73" t="s">
        <v>77</v>
      </c>
      <c r="B37" s="10"/>
      <c r="C37" s="20">
        <f>-'Inputs &amp; Generation'!C28*'Inputs &amp; Generation'!C7/1000/1.5</f>
        <v>-6040</v>
      </c>
      <c r="D37" s="20">
        <f>C37+(C37*'Inputs &amp; Generation'!$C$32)</f>
        <v>-6160.8</v>
      </c>
      <c r="E37" s="20">
        <f>D37+(D37*'Inputs &amp; Generation'!$C$32)</f>
        <v>-6284.0160000000005</v>
      </c>
      <c r="F37" s="20">
        <f>E37+(E37*'Inputs &amp; Generation'!$C$32)</f>
        <v>-6409.6963200000009</v>
      </c>
      <c r="G37" s="20">
        <f>F37+(F37*'Inputs &amp; Generation'!$C$32)</f>
        <v>-6537.8902464000012</v>
      </c>
      <c r="H37" s="20">
        <f>G37+(G37*'Inputs &amp; Generation'!$C$32)</f>
        <v>-6668.6480513280012</v>
      </c>
      <c r="I37" s="20">
        <f>H37+(H37*'Inputs &amp; Generation'!$C$32)</f>
        <v>-6802.0210123545612</v>
      </c>
      <c r="J37" s="20">
        <f>I37+(I37*'Inputs &amp; Generation'!$C$32)</f>
        <v>-6938.0614326016521</v>
      </c>
      <c r="K37" s="20">
        <f>J37+(J37*'Inputs &amp; Generation'!$C$32)</f>
        <v>-7076.8226612536855</v>
      </c>
      <c r="L37" s="20">
        <f>K37+(K37*'Inputs &amp; Generation'!$C$32)</f>
        <v>-7218.3591144787588</v>
      </c>
      <c r="M37" s="20">
        <f>L37+(L37*'Inputs &amp; Generation'!$C$32)</f>
        <v>-7362.7262967683337</v>
      </c>
      <c r="N37" s="20">
        <f>M37+(M37*'Inputs &amp; Generation'!$C$32)</f>
        <v>-7509.9808227037001</v>
      </c>
      <c r="O37" s="20">
        <f>N37+(N37*'Inputs &amp; Generation'!$C$32)</f>
        <v>-7660.1804391577743</v>
      </c>
      <c r="P37" s="20">
        <f>O37+(O37*'Inputs &amp; Generation'!$C$32)</f>
        <v>-7813.38404794093</v>
      </c>
      <c r="Q37" s="20">
        <f>P37+(P37*'Inputs &amp; Generation'!$C$32)</f>
        <v>-7969.6517288997484</v>
      </c>
      <c r="R37" s="20">
        <f>Q37+(Q37*'Inputs &amp; Generation'!$C$32)</f>
        <v>-8129.0447634777429</v>
      </c>
      <c r="S37" s="20">
        <f>R37+(R37*'Inputs &amp; Generation'!$C$32)</f>
        <v>-8291.6256587472981</v>
      </c>
      <c r="T37" s="20">
        <f>S37+(S37*'Inputs &amp; Generation'!$C$32)</f>
        <v>-8457.4581719222442</v>
      </c>
      <c r="U37" s="20">
        <f>T37+(T37*'Inputs &amp; Generation'!$C$32)</f>
        <v>-8626.6073353606898</v>
      </c>
      <c r="V37" s="20">
        <f>U37+(U37*'Inputs &amp; Generation'!$C$32)</f>
        <v>-8799.1394820679034</v>
      </c>
      <c r="W37" s="20">
        <f>V37+(V37*'Inputs &amp; Generation'!$C$32)</f>
        <v>-8975.1222717092605</v>
      </c>
      <c r="X37" s="20">
        <f>W37+(W37*'Inputs &amp; Generation'!$C$32)</f>
        <v>-9154.6247171434461</v>
      </c>
      <c r="Y37" s="20">
        <f>X37+(X37*'Inputs &amp; Generation'!$C$32)</f>
        <v>-9337.7172114863151</v>
      </c>
      <c r="Z37" s="20">
        <f>Y37+(Y37*'Inputs &amp; Generation'!$C$32)</f>
        <v>-9524.4715557160416</v>
      </c>
      <c r="AA37" s="20">
        <f>Z37+(Z37*'Inputs &amp; Generation'!$C$32)</f>
        <v>-9714.9609868303633</v>
      </c>
    </row>
    <row r="38" spans="1:31" x14ac:dyDescent="0.35">
      <c r="A38" s="86" t="s">
        <v>22</v>
      </c>
      <c r="B38" s="16"/>
      <c r="C38" s="20">
        <f>'Inputs &amp; Generation'!C29</f>
        <v>10000</v>
      </c>
      <c r="D38" s="20">
        <f>C38*(1+'Inputs &amp; Generation'!$C32)</f>
        <v>10200</v>
      </c>
      <c r="E38" s="20">
        <f>D38*(1+'Inputs &amp; Generation'!$C32)</f>
        <v>10404</v>
      </c>
      <c r="F38" s="20">
        <f>E38*(1+'Inputs &amp; Generation'!$C32)</f>
        <v>10612.08</v>
      </c>
      <c r="G38" s="20">
        <f>F38*(1+'Inputs &amp; Generation'!$C32)</f>
        <v>10824.321599999999</v>
      </c>
      <c r="H38" s="20">
        <f>G38*(1+'Inputs &amp; Generation'!$C32)</f>
        <v>11040.808031999999</v>
      </c>
      <c r="I38" s="20">
        <f>H38*(1+'Inputs &amp; Generation'!$C32)</f>
        <v>11261.62419264</v>
      </c>
      <c r="J38" s="20">
        <f>I38*(1+'Inputs &amp; Generation'!$C32)</f>
        <v>11486.8566764928</v>
      </c>
      <c r="K38" s="20">
        <f>J38*(1+'Inputs &amp; Generation'!$C32)</f>
        <v>11716.593810022656</v>
      </c>
      <c r="L38" s="20">
        <f>K38*(1+'Inputs &amp; Generation'!$C32)</f>
        <v>11950.925686223109</v>
      </c>
      <c r="M38" s="20">
        <f>L38*(1+'Inputs &amp; Generation'!$C32)</f>
        <v>12189.944199947571</v>
      </c>
      <c r="N38" s="20">
        <f>M38*(1+'Inputs &amp; Generation'!$C32)</f>
        <v>12433.743083946523</v>
      </c>
      <c r="O38" s="20">
        <f>N38*(1+'Inputs &amp; Generation'!$C32)</f>
        <v>12682.417945625453</v>
      </c>
      <c r="P38" s="20">
        <f>O38*(1+'Inputs &amp; Generation'!$C32)</f>
        <v>12936.066304537962</v>
      </c>
      <c r="Q38" s="20">
        <f>P38*(1+'Inputs &amp; Generation'!$C32)</f>
        <v>13194.787630628722</v>
      </c>
      <c r="R38" s="20">
        <f>Q38*(1+'Inputs &amp; Generation'!$C32)</f>
        <v>13458.683383241296</v>
      </c>
      <c r="S38" s="20">
        <f>R38*(1+'Inputs &amp; Generation'!$C32)</f>
        <v>13727.857050906123</v>
      </c>
      <c r="T38" s="20">
        <f>S38*(1+'Inputs &amp; Generation'!$C32)</f>
        <v>14002.414191924245</v>
      </c>
      <c r="U38" s="20">
        <f>T38*(1+'Inputs &amp; Generation'!$C32)</f>
        <v>14282.46247576273</v>
      </c>
      <c r="V38" s="20">
        <f>U38*(1+'Inputs &amp; Generation'!$C32)</f>
        <v>14568.111725277984</v>
      </c>
      <c r="W38" s="20">
        <f>V38*(1+'Inputs &amp; Generation'!$C32)</f>
        <v>14859.473959783543</v>
      </c>
      <c r="X38" s="20">
        <f>W38*(1+'Inputs &amp; Generation'!$C32)</f>
        <v>15156.663438979214</v>
      </c>
      <c r="Y38" s="20">
        <f>X38*(1+'Inputs &amp; Generation'!$C32)</f>
        <v>15459.796707758798</v>
      </c>
      <c r="Z38" s="20">
        <f>Y38*(1+'Inputs &amp; Generation'!$C32)</f>
        <v>15768.992641913974</v>
      </c>
      <c r="AA38" s="20">
        <f>Z38*(1+'Inputs &amp; Generation'!$C32)</f>
        <v>16084.372494752253</v>
      </c>
    </row>
    <row r="39" spans="1:31" x14ac:dyDescent="0.35">
      <c r="A39" s="73" t="s">
        <v>25</v>
      </c>
      <c r="B39" s="16"/>
      <c r="C39" s="101">
        <f>-'Inputs &amp; Generation'!C34</f>
        <v>-150</v>
      </c>
      <c r="D39" s="20">
        <f>C39</f>
        <v>-150</v>
      </c>
      <c r="E39" s="20">
        <f t="shared" ref="E39:AA39" si="6">D39</f>
        <v>-150</v>
      </c>
      <c r="F39" s="20">
        <f t="shared" si="6"/>
        <v>-150</v>
      </c>
      <c r="G39" s="20">
        <f t="shared" si="6"/>
        <v>-150</v>
      </c>
      <c r="H39" s="20">
        <f t="shared" si="6"/>
        <v>-150</v>
      </c>
      <c r="I39" s="20">
        <f t="shared" si="6"/>
        <v>-150</v>
      </c>
      <c r="J39" s="20">
        <f t="shared" si="6"/>
        <v>-150</v>
      </c>
      <c r="K39" s="20">
        <f t="shared" si="6"/>
        <v>-150</v>
      </c>
      <c r="L39" s="20">
        <f t="shared" si="6"/>
        <v>-150</v>
      </c>
      <c r="M39" s="20">
        <f t="shared" si="6"/>
        <v>-150</v>
      </c>
      <c r="N39" s="20">
        <f t="shared" si="6"/>
        <v>-150</v>
      </c>
      <c r="O39" s="20">
        <f t="shared" si="6"/>
        <v>-150</v>
      </c>
      <c r="P39" s="20">
        <f t="shared" si="6"/>
        <v>-150</v>
      </c>
      <c r="Q39" s="20">
        <f t="shared" si="6"/>
        <v>-150</v>
      </c>
      <c r="R39" s="20">
        <f t="shared" si="6"/>
        <v>-150</v>
      </c>
      <c r="S39" s="20">
        <f t="shared" si="6"/>
        <v>-150</v>
      </c>
      <c r="T39" s="20">
        <f t="shared" si="6"/>
        <v>-150</v>
      </c>
      <c r="U39" s="20">
        <f t="shared" si="6"/>
        <v>-150</v>
      </c>
      <c r="V39" s="20">
        <f t="shared" si="6"/>
        <v>-150</v>
      </c>
      <c r="W39" s="20">
        <f t="shared" si="6"/>
        <v>-150</v>
      </c>
      <c r="X39" s="20">
        <f t="shared" si="6"/>
        <v>-150</v>
      </c>
      <c r="Y39" s="20">
        <f t="shared" si="6"/>
        <v>-150</v>
      </c>
      <c r="Z39" s="20">
        <f t="shared" si="6"/>
        <v>-150</v>
      </c>
      <c r="AA39" s="20">
        <f t="shared" si="6"/>
        <v>-150</v>
      </c>
    </row>
    <row r="40" spans="1:31" x14ac:dyDescent="0.35">
      <c r="A40" s="73" t="s">
        <v>78</v>
      </c>
      <c r="B40" s="16"/>
      <c r="C40" s="20">
        <f>-('Inputs &amp; Generation'!C30*'Inputs &amp; Generation'!C7/1000)</f>
        <v>-4530</v>
      </c>
      <c r="D40" s="20">
        <f>C40+(C40*'Inputs &amp; Generation'!$C$32)</f>
        <v>-4620.6000000000004</v>
      </c>
      <c r="E40" s="20">
        <f>D40+(D40*'Inputs &amp; Generation'!$C$32)</f>
        <v>-4713.0120000000006</v>
      </c>
      <c r="F40" s="20">
        <f>E40+(E40*'Inputs &amp; Generation'!$C$32)</f>
        <v>-4807.2722400000002</v>
      </c>
      <c r="G40" s="20">
        <f>F40+(F40*'Inputs &amp; Generation'!$C$32)</f>
        <v>-4903.4176848000006</v>
      </c>
      <c r="H40" s="20">
        <f>G40+(G40*'Inputs &amp; Generation'!$C$32)</f>
        <v>-5001.4860384960002</v>
      </c>
      <c r="I40" s="20">
        <f>H40+(H40*'Inputs &amp; Generation'!$C$32)</f>
        <v>-5101.5157592659198</v>
      </c>
      <c r="J40" s="20">
        <f>I40+(I40*'Inputs &amp; Generation'!$C$32)</f>
        <v>-5203.5460744512384</v>
      </c>
      <c r="K40" s="20">
        <f>J40+(J40*'Inputs &amp; Generation'!$C$32)</f>
        <v>-5307.6169959402632</v>
      </c>
      <c r="L40" s="20">
        <f>K40+(K40*'Inputs &amp; Generation'!$C$32)</f>
        <v>-5413.7693358590686</v>
      </c>
      <c r="M40" s="20">
        <f>L40+(L40*'Inputs &amp; Generation'!$C$32)-60000</f>
        <v>-65522.044722576247</v>
      </c>
      <c r="N40" s="20">
        <f>M40+(M40*'Inputs &amp; Generation'!$C$32)+60000</f>
        <v>-6832.4856170277781</v>
      </c>
      <c r="O40" s="20">
        <f>N40+(N40*'Inputs &amp; Generation'!$C$32)</f>
        <v>-6969.1353293683333</v>
      </c>
      <c r="P40" s="20">
        <f>O40+(O40*'Inputs &amp; Generation'!$C$32)</f>
        <v>-7108.5180359556998</v>
      </c>
      <c r="Q40" s="20">
        <f>P40+(P40*'Inputs &amp; Generation'!$C$32)</f>
        <v>-7250.6883966748137</v>
      </c>
      <c r="R40" s="20">
        <f>Q40+(Q40*'Inputs &amp; Generation'!$C$32)</f>
        <v>-7395.7021646083103</v>
      </c>
      <c r="S40" s="20">
        <f>R40+(R40*'Inputs &amp; Generation'!$C$32)</f>
        <v>-7543.6162079004762</v>
      </c>
      <c r="T40" s="20">
        <f>S40+(S40*'Inputs &amp; Generation'!$C$32)</f>
        <v>-7694.4885320584854</v>
      </c>
      <c r="U40" s="20">
        <f>T40+(T40*'Inputs &amp; Generation'!$C$32)</f>
        <v>-7848.3783026996553</v>
      </c>
      <c r="V40" s="20">
        <f>U40+(U40*'Inputs &amp; Generation'!$C$32)</f>
        <v>-8005.3458687536486</v>
      </c>
      <c r="W40" s="20">
        <f>V40+(V40*'Inputs &amp; Generation'!$C$32)</f>
        <v>-8165.4527861287215</v>
      </c>
      <c r="X40" s="20">
        <f>W40+(W40*'Inputs &amp; Generation'!$C$32)</f>
        <v>-8328.7618418512957</v>
      </c>
      <c r="Y40" s="20">
        <f>X40+(X40*'Inputs &amp; Generation'!$C$32)</f>
        <v>-8495.3370786883224</v>
      </c>
      <c r="Z40" s="20">
        <f>Y40+(Y40*'Inputs &amp; Generation'!$C$32)</f>
        <v>-8665.2438202620888</v>
      </c>
      <c r="AA40" s="20">
        <f>Z40+(Z40*'Inputs &amp; Generation'!$C$32)</f>
        <v>-8838.5486966673307</v>
      </c>
    </row>
    <row r="41" spans="1:31" x14ac:dyDescent="0.35">
      <c r="A41" s="73" t="s">
        <v>107</v>
      </c>
      <c r="B41" s="16"/>
      <c r="C41" s="20">
        <f>-('Inputs &amp; Generation'!C31*'Inputs &amp; Generation'!C7/1000)</f>
        <v>-6040</v>
      </c>
      <c r="D41" s="20">
        <f>C41+(C41*'Inputs &amp; Generation'!$C$32)</f>
        <v>-6160.8</v>
      </c>
      <c r="E41" s="20">
        <f>D41+(D41*'Inputs &amp; Generation'!$C$32)</f>
        <v>-6284.0160000000005</v>
      </c>
      <c r="F41" s="20">
        <f>E41+(E41*'Inputs &amp; Generation'!$C$32)</f>
        <v>-6409.6963200000009</v>
      </c>
      <c r="G41" s="20">
        <f>F41+(F41*'Inputs &amp; Generation'!$C$32)</f>
        <v>-6537.8902464000012</v>
      </c>
      <c r="H41" s="20">
        <f>G41+(G41*'Inputs &amp; Generation'!$C$32)</f>
        <v>-6668.6480513280012</v>
      </c>
      <c r="I41" s="20">
        <f>H41+(H41*'Inputs &amp; Generation'!$C$32)</f>
        <v>-6802.0210123545612</v>
      </c>
      <c r="J41" s="20">
        <f>I41+(I41*'Inputs &amp; Generation'!$C$32)</f>
        <v>-6938.0614326016521</v>
      </c>
      <c r="K41" s="20">
        <f>J41+(J41*'Inputs &amp; Generation'!$C$32)</f>
        <v>-7076.8226612536855</v>
      </c>
      <c r="L41" s="20">
        <f>K41+(K41*'Inputs &amp; Generation'!$C$32)</f>
        <v>-7218.3591144787588</v>
      </c>
      <c r="M41" s="20">
        <f>L41+(L41*'Inputs &amp; Generation'!$C$32)-'Inputs &amp; Generation'!D33</f>
        <v>-97962.726296768335</v>
      </c>
      <c r="N41" s="20">
        <f>M41+(M41*'Inputs &amp; Generation'!$C$32)+'Inputs &amp; Generation'!D33</f>
        <v>-9321.9808227036992</v>
      </c>
      <c r="O41" s="20">
        <f>N41+(N41*'Inputs &amp; Generation'!$C$32)</f>
        <v>-9508.4204391577732</v>
      </c>
      <c r="P41" s="20">
        <f>O41+(O41*'Inputs &amp; Generation'!$C$32)</f>
        <v>-9698.5888479409296</v>
      </c>
      <c r="Q41" s="20">
        <f>P41+(P41*'Inputs &amp; Generation'!$C$32)</f>
        <v>-9892.5606248997483</v>
      </c>
      <c r="R41" s="20">
        <f>Q41+(Q41*'Inputs &amp; Generation'!$C$32)</f>
        <v>-10090.411837397744</v>
      </c>
      <c r="S41" s="20">
        <f>R41+(R41*'Inputs &amp; Generation'!$C$32)</f>
        <v>-10292.220074145698</v>
      </c>
      <c r="T41" s="20">
        <f>S41+(S41*'Inputs &amp; Generation'!$C$32)</f>
        <v>-10498.064475628613</v>
      </c>
      <c r="U41" s="20">
        <f>T41+(T41*'Inputs &amp; Generation'!$C$32)</f>
        <v>-10708.025765141185</v>
      </c>
      <c r="V41" s="20">
        <f>U41+(U41*'Inputs &amp; Generation'!$C$32)</f>
        <v>-10922.186280444008</v>
      </c>
      <c r="W41" s="20">
        <f>V41+(V41*'Inputs &amp; Generation'!$C$32)</f>
        <v>-11140.630006052888</v>
      </c>
      <c r="X41" s="20">
        <f>W41+(W41*'Inputs &amp; Generation'!$C$32)</f>
        <v>-11363.442606173947</v>
      </c>
      <c r="Y41" s="20">
        <f>X41+(X41*'Inputs &amp; Generation'!$C$32)</f>
        <v>-11590.711458297426</v>
      </c>
      <c r="Z41" s="20">
        <f>Y41+(Y41*'Inputs &amp; Generation'!$C$32)</f>
        <v>-11822.525687463374</v>
      </c>
      <c r="AA41" s="20">
        <f>Z41+(Z41*'Inputs &amp; Generation'!$C$32)</f>
        <v>-12058.976201212641</v>
      </c>
    </row>
    <row r="42" spans="1:31" x14ac:dyDescent="0.35">
      <c r="A42" s="74" t="s">
        <v>35</v>
      </c>
      <c r="C42" s="20">
        <f>PMT('Inputs &amp; Generation'!$C$25,'Inputs &amp; Generation'!$C$26,$B$16)</f>
        <v>0</v>
      </c>
      <c r="D42" s="20">
        <f>PMT('Inputs &amp; Generation'!$C$25,'Inputs &amp; Generation'!$C$26,$B$16)</f>
        <v>0</v>
      </c>
      <c r="E42" s="20">
        <f>PMT('Inputs &amp; Generation'!$C$25,'Inputs &amp; Generation'!$C$26,$B$16)</f>
        <v>0</v>
      </c>
      <c r="F42" s="20">
        <f>PMT('Inputs &amp; Generation'!$C$25,'Inputs &amp; Generation'!$C$26,$B$16)</f>
        <v>0</v>
      </c>
      <c r="G42" s="20">
        <f>PMT('Inputs &amp; Generation'!$C$25,'Inputs &amp; Generation'!$C$26,$B$16)</f>
        <v>0</v>
      </c>
      <c r="H42" s="20">
        <f>PMT('Inputs &amp; Generation'!$C$25,'Inputs &amp; Generation'!$C$26,$B$16)</f>
        <v>0</v>
      </c>
      <c r="I42" s="20">
        <f>PMT('Inputs &amp; Generation'!$C$25,'Inputs &amp; Generation'!$C$26,$B$16)</f>
        <v>0</v>
      </c>
      <c r="J42" s="20">
        <f>PMT('Inputs &amp; Generation'!$C$25,'Inputs &amp; Generation'!$C$26,$B$16)</f>
        <v>0</v>
      </c>
      <c r="K42" s="20">
        <f>PMT('Inputs &amp; Generation'!$C$25,'Inputs &amp; Generation'!$C$26,$B$16)</f>
        <v>0</v>
      </c>
      <c r="L42" s="20">
        <f>PMT('Inputs &amp; Generation'!$C$25,'Inputs &amp; Generation'!$C$26,$B$16)</f>
        <v>0</v>
      </c>
      <c r="M42" s="20">
        <f>PMT('Inputs &amp; Generation'!$C$25,'Inputs &amp; Generation'!$C$26,$B$16)</f>
        <v>0</v>
      </c>
      <c r="N42" s="20">
        <f>PMT('Inputs &amp; Generation'!$C$25,'Inputs &amp; Generation'!$C$26,$B$16)</f>
        <v>0</v>
      </c>
      <c r="O42" s="20">
        <f>PMT('Inputs &amp; Generation'!$C$25,'Inputs &amp; Generation'!$C$26,$B$16)</f>
        <v>0</v>
      </c>
      <c r="P42" s="20">
        <f>PMT('Inputs &amp; Generation'!$C$25,'Inputs &amp; Generation'!$C$26,$B$16)</f>
        <v>0</v>
      </c>
      <c r="Q42" s="20">
        <f>PMT('Inputs &amp; Generation'!$C$25,'Inputs &amp; Generation'!$C$26,$B$16)</f>
        <v>0</v>
      </c>
      <c r="R42" s="20">
        <f>PMT('Inputs &amp; Generation'!$C$25,'Inputs &amp; Generation'!$C$26,$B$16)</f>
        <v>0</v>
      </c>
      <c r="S42" s="20">
        <f>PMT('Inputs &amp; Generation'!$C$25,'Inputs &amp; Generation'!$C$26,$B$16)</f>
        <v>0</v>
      </c>
      <c r="T42" s="20">
        <f>PMT('Inputs &amp; Generation'!$C$25,'Inputs &amp; Generation'!$C$26,$B$16)</f>
        <v>0</v>
      </c>
      <c r="U42" s="20">
        <f>PMT('Inputs &amp; Generation'!$C$25,'Inputs &amp; Generation'!$C$26,$B$16)</f>
        <v>0</v>
      </c>
      <c r="V42" s="20">
        <f>PMT('Inputs &amp; Generation'!$C$25,'Inputs &amp; Generation'!$C$26,$B$16)</f>
        <v>0</v>
      </c>
      <c r="W42" s="20">
        <f>PMT('Inputs &amp; Generation'!$C$25,'Inputs &amp; Generation'!$C$26,$B$16)</f>
        <v>0</v>
      </c>
      <c r="X42" s="20"/>
      <c r="Y42" s="20"/>
      <c r="Z42" s="20"/>
      <c r="AA42" s="20"/>
    </row>
    <row r="43" spans="1:31" x14ac:dyDescent="0.35">
      <c r="A43" s="76" t="s">
        <v>28</v>
      </c>
      <c r="C43" s="20">
        <f>-B16*'Inputs &amp; Generation'!C25</f>
        <v>0</v>
      </c>
      <c r="D43" s="20">
        <f>-C44*'Inputs &amp; Generation'!$C$25</f>
        <v>0</v>
      </c>
      <c r="E43" s="20">
        <f>-D44*'Inputs &amp; Generation'!$C$25</f>
        <v>0</v>
      </c>
      <c r="F43" s="20">
        <f>-E44*'Inputs &amp; Generation'!$C$25</f>
        <v>0</v>
      </c>
      <c r="G43" s="20">
        <f>-F44*'Inputs &amp; Generation'!$C$25</f>
        <v>0</v>
      </c>
      <c r="H43" s="20">
        <f>-G44*'Inputs &amp; Generation'!$C$25</f>
        <v>0</v>
      </c>
      <c r="I43" s="20">
        <f>-H44*'Inputs &amp; Generation'!$C$25</f>
        <v>0</v>
      </c>
      <c r="J43" s="20">
        <f>-I44*'Inputs &amp; Generation'!$C$25</f>
        <v>0</v>
      </c>
      <c r="K43" s="20">
        <f>-J44*'Inputs &amp; Generation'!$C$25</f>
        <v>0</v>
      </c>
      <c r="L43" s="20">
        <f>-K44*'Inputs &amp; Generation'!$C$25</f>
        <v>0</v>
      </c>
      <c r="M43" s="20">
        <f>-L44*'Inputs &amp; Generation'!$C$25</f>
        <v>0</v>
      </c>
      <c r="N43" s="20">
        <f>-M44*'Inputs &amp; Generation'!$C$25</f>
        <v>0</v>
      </c>
      <c r="O43" s="20">
        <f>-N44*'Inputs &amp; Generation'!$C$25</f>
        <v>0</v>
      </c>
      <c r="P43" s="20">
        <f>-O44*'Inputs &amp; Generation'!$C$25</f>
        <v>0</v>
      </c>
      <c r="Q43" s="20">
        <f>-P44*'Inputs &amp; Generation'!$C$25</f>
        <v>0</v>
      </c>
      <c r="R43" s="20">
        <f>-Q44*'Inputs &amp; Generation'!$C$25</f>
        <v>0</v>
      </c>
      <c r="S43" s="20">
        <f>-R44*'Inputs &amp; Generation'!$C$25</f>
        <v>0</v>
      </c>
      <c r="T43" s="20">
        <f>-S44*'Inputs &amp; Generation'!$C$25</f>
        <v>0</v>
      </c>
      <c r="U43" s="20">
        <f>-T44*'Inputs &amp; Generation'!$C$25</f>
        <v>0</v>
      </c>
      <c r="V43" s="20">
        <f>-U44*'Inputs &amp; Generation'!$C$25</f>
        <v>0</v>
      </c>
      <c r="W43" s="20">
        <f>-V44*'Inputs &amp; Generation'!$C$25</f>
        <v>0</v>
      </c>
      <c r="X43" s="20"/>
      <c r="Y43" s="20"/>
      <c r="Z43" s="20"/>
      <c r="AA43" s="20"/>
    </row>
    <row r="44" spans="1:31" x14ac:dyDescent="0.35">
      <c r="A44" s="76" t="s">
        <v>29</v>
      </c>
      <c r="C44" s="91">
        <f>B16+C45</f>
        <v>0</v>
      </c>
      <c r="D44" s="91">
        <f>C44+D45</f>
        <v>0</v>
      </c>
      <c r="E44" s="91">
        <f>D44+E45</f>
        <v>0</v>
      </c>
      <c r="F44" s="91">
        <f>E44+F45</f>
        <v>0</v>
      </c>
      <c r="G44" s="91">
        <f>F44+G45</f>
        <v>0</v>
      </c>
      <c r="H44" s="91">
        <f>C44</f>
        <v>0</v>
      </c>
      <c r="I44" s="91">
        <f t="shared" ref="I44:U44" si="7">H44+I45</f>
        <v>0</v>
      </c>
      <c r="J44" s="91">
        <f t="shared" si="7"/>
        <v>0</v>
      </c>
      <c r="K44" s="91">
        <f t="shared" si="7"/>
        <v>0</v>
      </c>
      <c r="L44" s="91">
        <f t="shared" si="7"/>
        <v>0</v>
      </c>
      <c r="M44" s="91">
        <f t="shared" si="7"/>
        <v>0</v>
      </c>
      <c r="N44" s="91">
        <f t="shared" si="7"/>
        <v>0</v>
      </c>
      <c r="O44" s="91">
        <f t="shared" si="7"/>
        <v>0</v>
      </c>
      <c r="P44" s="91">
        <f t="shared" si="7"/>
        <v>0</v>
      </c>
      <c r="Q44" s="91">
        <f t="shared" si="7"/>
        <v>0</v>
      </c>
      <c r="R44" s="91">
        <f t="shared" si="7"/>
        <v>0</v>
      </c>
      <c r="S44" s="91">
        <f t="shared" si="7"/>
        <v>0</v>
      </c>
      <c r="T44" s="91">
        <f t="shared" si="7"/>
        <v>0</v>
      </c>
      <c r="U44" s="91">
        <f t="shared" si="7"/>
        <v>0</v>
      </c>
      <c r="V44" s="91">
        <f t="shared" ref="V44" si="8">U44+V45</f>
        <v>0</v>
      </c>
      <c r="W44" s="91">
        <f t="shared" ref="W44" si="9">V44+W45</f>
        <v>0</v>
      </c>
      <c r="X44" s="20"/>
      <c r="Y44" s="20"/>
      <c r="Z44" s="20"/>
      <c r="AA44" s="20"/>
    </row>
    <row r="45" spans="1:31" x14ac:dyDescent="0.35">
      <c r="A45" s="76" t="s">
        <v>30</v>
      </c>
      <c r="C45" s="20">
        <f t="shared" ref="C45:U45" si="10">C42-C43</f>
        <v>0</v>
      </c>
      <c r="D45" s="20">
        <f t="shared" si="10"/>
        <v>0</v>
      </c>
      <c r="E45" s="20">
        <f t="shared" si="10"/>
        <v>0</v>
      </c>
      <c r="F45" s="20">
        <f t="shared" si="10"/>
        <v>0</v>
      </c>
      <c r="G45" s="20">
        <f t="shared" si="10"/>
        <v>0</v>
      </c>
      <c r="H45" s="20">
        <f t="shared" si="10"/>
        <v>0</v>
      </c>
      <c r="I45" s="20">
        <f t="shared" si="10"/>
        <v>0</v>
      </c>
      <c r="J45" s="20">
        <f t="shared" si="10"/>
        <v>0</v>
      </c>
      <c r="K45" s="20">
        <f t="shared" si="10"/>
        <v>0</v>
      </c>
      <c r="L45" s="20">
        <f t="shared" si="10"/>
        <v>0</v>
      </c>
      <c r="M45" s="20">
        <f t="shared" si="10"/>
        <v>0</v>
      </c>
      <c r="N45" s="20">
        <f t="shared" si="10"/>
        <v>0</v>
      </c>
      <c r="O45" s="20">
        <f t="shared" si="10"/>
        <v>0</v>
      </c>
      <c r="P45" s="20">
        <f t="shared" si="10"/>
        <v>0</v>
      </c>
      <c r="Q45" s="20">
        <f t="shared" si="10"/>
        <v>0</v>
      </c>
      <c r="R45" s="20">
        <f t="shared" si="10"/>
        <v>0</v>
      </c>
      <c r="S45" s="20">
        <f t="shared" si="10"/>
        <v>0</v>
      </c>
      <c r="T45" s="20">
        <f t="shared" si="10"/>
        <v>0</v>
      </c>
      <c r="U45" s="20">
        <f t="shared" si="10"/>
        <v>0</v>
      </c>
      <c r="V45" s="20">
        <f t="shared" ref="V45:W45" si="11">V42-V43</f>
        <v>0</v>
      </c>
      <c r="W45" s="20">
        <f t="shared" si="11"/>
        <v>0</v>
      </c>
      <c r="X45" s="20"/>
      <c r="Y45" s="20"/>
      <c r="Z45" s="20"/>
      <c r="AA45" s="20"/>
    </row>
    <row r="46" spans="1:31" x14ac:dyDescent="0.35">
      <c r="A46" s="72"/>
      <c r="C46" s="5"/>
      <c r="D46" s="5"/>
      <c r="E46" s="5"/>
      <c r="F46" s="5"/>
      <c r="G46" s="5"/>
      <c r="H46" s="5"/>
      <c r="I46" s="20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31" x14ac:dyDescent="0.35">
      <c r="A47" s="76" t="s">
        <v>31</v>
      </c>
      <c r="C47" s="20">
        <f t="shared" ref="C47:AA47" si="12">SUM(C37:C41, C43)</f>
        <v>-6760</v>
      </c>
      <c r="D47" s="20">
        <f t="shared" si="12"/>
        <v>-6892.2000000000007</v>
      </c>
      <c r="E47" s="20">
        <f t="shared" si="12"/>
        <v>-7027.0440000000017</v>
      </c>
      <c r="F47" s="20">
        <f t="shared" si="12"/>
        <v>-7164.5848800000022</v>
      </c>
      <c r="G47" s="20">
        <f t="shared" si="12"/>
        <v>-7304.8765776000037</v>
      </c>
      <c r="H47" s="20">
        <f t="shared" si="12"/>
        <v>-7447.9741091520036</v>
      </c>
      <c r="I47" s="20">
        <f t="shared" si="12"/>
        <v>-7593.9335913350424</v>
      </c>
      <c r="J47" s="20">
        <f t="shared" si="12"/>
        <v>-7742.8122631617425</v>
      </c>
      <c r="K47" s="20">
        <f t="shared" si="12"/>
        <v>-7894.6685084249784</v>
      </c>
      <c r="L47" s="20">
        <f t="shared" si="12"/>
        <v>-8049.5618785934776</v>
      </c>
      <c r="M47" s="20">
        <f t="shared" si="12"/>
        <v>-158807.55311616533</v>
      </c>
      <c r="N47" s="20">
        <f t="shared" si="12"/>
        <v>-11380.704178488653</v>
      </c>
      <c r="O47" s="20">
        <f t="shared" si="12"/>
        <v>-11605.318262058427</v>
      </c>
      <c r="P47" s="20">
        <f t="shared" si="12"/>
        <v>-11834.424627299597</v>
      </c>
      <c r="Q47" s="20">
        <f t="shared" si="12"/>
        <v>-12068.113119845588</v>
      </c>
      <c r="R47" s="20">
        <f t="shared" si="12"/>
        <v>-12306.475382242501</v>
      </c>
      <c r="S47" s="20">
        <f t="shared" si="12"/>
        <v>-12549.604889887349</v>
      </c>
      <c r="T47" s="20">
        <f t="shared" si="12"/>
        <v>-12797.596987685098</v>
      </c>
      <c r="U47" s="20">
        <f t="shared" si="12"/>
        <v>-13050.5489274388</v>
      </c>
      <c r="V47" s="20">
        <f t="shared" si="12"/>
        <v>-13308.559905987575</v>
      </c>
      <c r="W47" s="20">
        <f t="shared" si="12"/>
        <v>-13571.731104107326</v>
      </c>
      <c r="X47" s="20">
        <f t="shared" si="12"/>
        <v>-13840.165726189474</v>
      </c>
      <c r="Y47" s="20">
        <f t="shared" si="12"/>
        <v>-14113.969040713266</v>
      </c>
      <c r="Z47" s="20">
        <f t="shared" si="12"/>
        <v>-14393.248421527531</v>
      </c>
      <c r="AA47" s="20">
        <f t="shared" si="12"/>
        <v>-14678.113389958082</v>
      </c>
    </row>
    <row r="48" spans="1:31" x14ac:dyDescent="0.35">
      <c r="A48" s="76" t="s">
        <v>33</v>
      </c>
      <c r="C48" s="28">
        <f t="shared" ref="C48:AA48" si="13">C34+C47</f>
        <v>92486.25999999998</v>
      </c>
      <c r="D48" s="28">
        <f t="shared" si="13"/>
        <v>95656.247667499963</v>
      </c>
      <c r="E48" s="28">
        <f t="shared" si="13"/>
        <v>98882.573973641527</v>
      </c>
      <c r="F48" s="28">
        <f t="shared" si="13"/>
        <v>102166.39156007385</v>
      </c>
      <c r="G48" s="28">
        <f t="shared" si="13"/>
        <v>105508.87580438054</v>
      </c>
      <c r="H48" s="28">
        <f t="shared" si="13"/>
        <v>108911.22527265482</v>
      </c>
      <c r="I48" s="28">
        <f t="shared" si="13"/>
        <v>112374.66218106342</v>
      </c>
      <c r="J48" s="28">
        <f t="shared" si="13"/>
        <v>115900.43286657696</v>
      </c>
      <c r="K48" s="28">
        <f t="shared" si="13"/>
        <v>119489.8082670493</v>
      </c>
      <c r="L48" s="28">
        <f t="shared" si="13"/>
        <v>123144.08441083146</v>
      </c>
      <c r="M48" s="28">
        <f t="shared" si="13"/>
        <v>10158.343525388074</v>
      </c>
      <c r="N48" s="28">
        <f t="shared" si="13"/>
        <v>161364.94330639351</v>
      </c>
      <c r="O48" s="28">
        <f t="shared" si="13"/>
        <v>164993.09484592572</v>
      </c>
      <c r="P48" s="28">
        <f t="shared" si="13"/>
        <v>168691.23059114904</v>
      </c>
      <c r="Q48" s="28">
        <f t="shared" si="13"/>
        <v>172460.75140276327</v>
      </c>
      <c r="R48" s="28">
        <f t="shared" si="13"/>
        <v>184566.79786311582</v>
      </c>
      <c r="S48" s="28">
        <f t="shared" si="13"/>
        <v>188442.08449580963</v>
      </c>
      <c r="T48" s="28">
        <f t="shared" si="13"/>
        <v>192393.33425996682</v>
      </c>
      <c r="U48" s="28">
        <f t="shared" si="13"/>
        <v>196422.06145399733</v>
      </c>
      <c r="V48" s="28">
        <f t="shared" si="13"/>
        <v>200529.81043514053</v>
      </c>
      <c r="W48" s="28">
        <f t="shared" si="13"/>
        <v>204718.15621676989</v>
      </c>
      <c r="X48" s="28">
        <f t="shared" si="13"/>
        <v>208988.70507756321</v>
      </c>
      <c r="Y48" s="28">
        <f t="shared" si="13"/>
        <v>213343.0951827752</v>
      </c>
      <c r="Z48" s="28">
        <f t="shared" si="13"/>
        <v>217782.9972178514</v>
      </c>
      <c r="AA48" s="28">
        <f t="shared" si="13"/>
        <v>222310.11503462991</v>
      </c>
    </row>
    <row r="49" spans="1:27" x14ac:dyDescent="0.35">
      <c r="A49" s="76" t="s">
        <v>32</v>
      </c>
      <c r="C49" s="20">
        <f t="shared" ref="C49:AA49" si="14">C47+C45</f>
        <v>-6760</v>
      </c>
      <c r="D49" s="20">
        <f t="shared" si="14"/>
        <v>-6892.2000000000007</v>
      </c>
      <c r="E49" s="20">
        <f t="shared" si="14"/>
        <v>-7027.0440000000017</v>
      </c>
      <c r="F49" s="20">
        <f t="shared" si="14"/>
        <v>-7164.5848800000022</v>
      </c>
      <c r="G49" s="20">
        <f t="shared" si="14"/>
        <v>-7304.8765776000037</v>
      </c>
      <c r="H49" s="20">
        <f t="shared" si="14"/>
        <v>-7447.9741091520036</v>
      </c>
      <c r="I49" s="20">
        <f t="shared" si="14"/>
        <v>-7593.9335913350424</v>
      </c>
      <c r="J49" s="20">
        <f t="shared" si="14"/>
        <v>-7742.8122631617425</v>
      </c>
      <c r="K49" s="20">
        <f t="shared" si="14"/>
        <v>-7894.6685084249784</v>
      </c>
      <c r="L49" s="20">
        <f t="shared" si="14"/>
        <v>-8049.5618785934776</v>
      </c>
      <c r="M49" s="20">
        <f t="shared" si="14"/>
        <v>-158807.55311616533</v>
      </c>
      <c r="N49" s="20">
        <f t="shared" si="14"/>
        <v>-11380.704178488653</v>
      </c>
      <c r="O49" s="20">
        <f t="shared" si="14"/>
        <v>-11605.318262058427</v>
      </c>
      <c r="P49" s="20">
        <f t="shared" si="14"/>
        <v>-11834.424627299597</v>
      </c>
      <c r="Q49" s="20">
        <f t="shared" si="14"/>
        <v>-12068.113119845588</v>
      </c>
      <c r="R49" s="20">
        <f t="shared" si="14"/>
        <v>-12306.475382242501</v>
      </c>
      <c r="S49" s="20">
        <f t="shared" si="14"/>
        <v>-12549.604889887349</v>
      </c>
      <c r="T49" s="20">
        <f t="shared" si="14"/>
        <v>-12797.596987685098</v>
      </c>
      <c r="U49" s="20">
        <f t="shared" si="14"/>
        <v>-13050.5489274388</v>
      </c>
      <c r="V49" s="20">
        <f t="shared" si="14"/>
        <v>-13308.559905987575</v>
      </c>
      <c r="W49" s="20">
        <f t="shared" si="14"/>
        <v>-13571.731104107326</v>
      </c>
      <c r="X49" s="20">
        <f t="shared" si="14"/>
        <v>-13840.165726189474</v>
      </c>
      <c r="Y49" s="20">
        <f t="shared" si="14"/>
        <v>-14113.969040713266</v>
      </c>
      <c r="Z49" s="20">
        <f t="shared" si="14"/>
        <v>-14393.248421527531</v>
      </c>
      <c r="AA49" s="20">
        <f t="shared" si="14"/>
        <v>-14678.113389958082</v>
      </c>
    </row>
    <row r="50" spans="1:27" x14ac:dyDescent="0.35">
      <c r="A50" s="8"/>
      <c r="C50" s="20"/>
      <c r="D50" s="20"/>
      <c r="E50" s="20"/>
      <c r="F50" s="20"/>
      <c r="G50" s="20"/>
      <c r="H50" s="20"/>
      <c r="I50" s="5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</row>
    <row r="51" spans="1:27" s="11" customFormat="1" ht="13.15" x14ac:dyDescent="0.4">
      <c r="A51" s="11" t="s">
        <v>95</v>
      </c>
      <c r="C51" s="92">
        <f t="shared" ref="C51:AA51" si="15">C34/C49*-1</f>
        <v>14.681399408284021</v>
      </c>
      <c r="D51" s="92">
        <f t="shared" si="15"/>
        <v>14.878913506209912</v>
      </c>
      <c r="E51" s="92">
        <f t="shared" si="15"/>
        <v>15.071716923025029</v>
      </c>
      <c r="F51" s="92">
        <f t="shared" si="15"/>
        <v>15.259917813978614</v>
      </c>
      <c r="G51" s="92">
        <f t="shared" si="15"/>
        <v>15.443621967264667</v>
      </c>
      <c r="H51" s="92">
        <f t="shared" si="15"/>
        <v>15.622932850803775</v>
      </c>
      <c r="I51" s="92">
        <f t="shared" si="15"/>
        <v>15.797951658319352</v>
      </c>
      <c r="J51" s="92">
        <f t="shared" si="15"/>
        <v>15.968777354708784</v>
      </c>
      <c r="K51" s="92">
        <f t="shared" si="15"/>
        <v>16.135506720710691</v>
      </c>
      <c r="L51" s="92">
        <f t="shared" si="15"/>
        <v>16.298234396869905</v>
      </c>
      <c r="M51" s="92">
        <f t="shared" si="15"/>
        <v>1.0639663751884483</v>
      </c>
      <c r="N51" s="92">
        <f t="shared" si="15"/>
        <v>15.178818882877124</v>
      </c>
      <c r="O51" s="92">
        <f t="shared" si="15"/>
        <v>15.217024567550379</v>
      </c>
      <c r="P51" s="92">
        <f t="shared" si="15"/>
        <v>15.254282392573009</v>
      </c>
      <c r="Q51" s="92">
        <f t="shared" si="15"/>
        <v>15.290614422494734</v>
      </c>
      <c r="R51" s="92">
        <f t="shared" si="15"/>
        <v>15.997535210563582</v>
      </c>
      <c r="S51" s="92">
        <f t="shared" si="15"/>
        <v>16.015778277422818</v>
      </c>
      <c r="T51" s="92">
        <f t="shared" si="15"/>
        <v>16.033551567931351</v>
      </c>
      <c r="U51" s="92">
        <f t="shared" si="15"/>
        <v>16.050865871321292</v>
      </c>
      <c r="V51" s="92">
        <f t="shared" si="15"/>
        <v>16.067731734439679</v>
      </c>
      <c r="W51" s="92">
        <f t="shared" si="15"/>
        <v>16.084159466938917</v>
      </c>
      <c r="X51" s="92">
        <f t="shared" si="15"/>
        <v>16.100159146367588</v>
      </c>
      <c r="Y51" s="92">
        <f t="shared" si="15"/>
        <v>16.115740623163056</v>
      </c>
      <c r="Z51" s="92">
        <f t="shared" si="15"/>
        <v>16.130913525547172</v>
      </c>
      <c r="AA51" s="92">
        <f t="shared" si="15"/>
        <v>16.145687264326604</v>
      </c>
    </row>
    <row r="52" spans="1:27" ht="13.15" x14ac:dyDescent="0.4">
      <c r="A52" s="7" t="s">
        <v>96</v>
      </c>
      <c r="C52" s="5"/>
      <c r="D52" s="5"/>
      <c r="E52" s="5"/>
      <c r="F52" s="5"/>
      <c r="G52" s="5"/>
      <c r="H52" s="5"/>
      <c r="I52" s="20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spans="1:27" x14ac:dyDescent="0.35">
      <c r="A53" s="86" t="s">
        <v>110</v>
      </c>
      <c r="C53" s="20">
        <f>C34+C49</f>
        <v>92486.25999999998</v>
      </c>
      <c r="D53" s="20">
        <f t="shared" ref="D53:AA53" si="16">D34</f>
        <v>102548.44766749996</v>
      </c>
      <c r="E53" s="20">
        <f t="shared" si="16"/>
        <v>105909.61797364152</v>
      </c>
      <c r="F53" s="20">
        <f t="shared" si="16"/>
        <v>109330.97644007386</v>
      </c>
      <c r="G53" s="20">
        <f t="shared" si="16"/>
        <v>112813.75238198055</v>
      </c>
      <c r="H53" s="20">
        <f t="shared" si="16"/>
        <v>116359.19938180681</v>
      </c>
      <c r="I53" s="20">
        <f t="shared" si="16"/>
        <v>119968.59577239846</v>
      </c>
      <c r="J53" s="20">
        <f t="shared" si="16"/>
        <v>123643.2451297387</v>
      </c>
      <c r="K53" s="20">
        <f t="shared" si="16"/>
        <v>127384.47677547428</v>
      </c>
      <c r="L53" s="20">
        <f t="shared" si="16"/>
        <v>131193.64628942494</v>
      </c>
      <c r="M53" s="20">
        <f t="shared" si="16"/>
        <v>168965.89664155341</v>
      </c>
      <c r="N53" s="20">
        <f t="shared" si="16"/>
        <v>172745.64748488215</v>
      </c>
      <c r="O53" s="20">
        <f t="shared" si="16"/>
        <v>176598.41310798415</v>
      </c>
      <c r="P53" s="20">
        <f t="shared" si="16"/>
        <v>180525.65521844864</v>
      </c>
      <c r="Q53" s="20">
        <f t="shared" si="16"/>
        <v>184528.86452260887</v>
      </c>
      <c r="R53" s="20">
        <f t="shared" si="16"/>
        <v>196873.27324535832</v>
      </c>
      <c r="S53" s="20">
        <f t="shared" si="16"/>
        <v>200991.68938569698</v>
      </c>
      <c r="T53" s="20">
        <f t="shared" si="16"/>
        <v>205190.93124765193</v>
      </c>
      <c r="U53" s="20">
        <f t="shared" si="16"/>
        <v>209472.61038143613</v>
      </c>
      <c r="V53" s="20">
        <f t="shared" si="16"/>
        <v>213838.37034112812</v>
      </c>
      <c r="W53" s="20">
        <f t="shared" si="16"/>
        <v>218289.8873208772</v>
      </c>
      <c r="X53" s="20">
        <f t="shared" si="16"/>
        <v>222828.87080375268</v>
      </c>
      <c r="Y53" s="20">
        <f t="shared" si="16"/>
        <v>227457.06422348847</v>
      </c>
      <c r="Z53" s="20">
        <f t="shared" si="16"/>
        <v>232176.24563937893</v>
      </c>
      <c r="AA53" s="20">
        <f t="shared" si="16"/>
        <v>236988.22842458799</v>
      </c>
    </row>
    <row r="54" spans="1:27" x14ac:dyDescent="0.35">
      <c r="A54" s="73" t="s">
        <v>58</v>
      </c>
      <c r="C54" s="28">
        <f t="shared" ref="C54:H54" si="17">SUM(C28,C29)</f>
        <v>373360.00000000006</v>
      </c>
      <c r="D54" s="28">
        <f t="shared" si="17"/>
        <v>0</v>
      </c>
      <c r="E54" s="28">
        <f t="shared" si="17"/>
        <v>0</v>
      </c>
      <c r="F54" s="28">
        <f t="shared" si="17"/>
        <v>0</v>
      </c>
      <c r="G54" s="28">
        <f t="shared" si="17"/>
        <v>0</v>
      </c>
      <c r="H54" s="28">
        <f t="shared" si="17"/>
        <v>0</v>
      </c>
      <c r="I54" s="28">
        <f t="shared" ref="I54:AA54" si="18">SUM(I25,I28,I29)</f>
        <v>0</v>
      </c>
      <c r="J54" s="28">
        <f t="shared" si="18"/>
        <v>0</v>
      </c>
      <c r="K54" s="28">
        <f t="shared" si="18"/>
        <v>0</v>
      </c>
      <c r="L54" s="28">
        <f t="shared" si="18"/>
        <v>0</v>
      </c>
      <c r="M54" s="28">
        <f t="shared" si="18"/>
        <v>0</v>
      </c>
      <c r="N54" s="28">
        <f t="shared" si="18"/>
        <v>0</v>
      </c>
      <c r="O54" s="28">
        <f t="shared" si="18"/>
        <v>0</v>
      </c>
      <c r="P54" s="28">
        <f t="shared" si="18"/>
        <v>0</v>
      </c>
      <c r="Q54" s="28">
        <f t="shared" si="18"/>
        <v>0</v>
      </c>
      <c r="R54" s="28">
        <f t="shared" si="18"/>
        <v>0</v>
      </c>
      <c r="S54" s="28">
        <f t="shared" si="18"/>
        <v>0</v>
      </c>
      <c r="T54" s="28">
        <f t="shared" si="18"/>
        <v>0</v>
      </c>
      <c r="U54" s="28">
        <f t="shared" si="18"/>
        <v>0</v>
      </c>
      <c r="V54" s="28">
        <f t="shared" si="18"/>
        <v>0</v>
      </c>
      <c r="W54" s="28">
        <f t="shared" si="18"/>
        <v>0</v>
      </c>
      <c r="X54" s="28">
        <f t="shared" si="18"/>
        <v>0</v>
      </c>
      <c r="Y54" s="28">
        <f t="shared" si="18"/>
        <v>0</v>
      </c>
      <c r="Z54" s="28">
        <f t="shared" si="18"/>
        <v>0</v>
      </c>
      <c r="AA54" s="28">
        <f t="shared" si="18"/>
        <v>0</v>
      </c>
    </row>
    <row r="55" spans="1:27" x14ac:dyDescent="0.35">
      <c r="A55" s="73" t="s">
        <v>59</v>
      </c>
      <c r="B55" s="20">
        <f>B13*-1</f>
        <v>-1661000.0000000002</v>
      </c>
      <c r="C55" s="1">
        <f t="shared" ref="C55:AA55" si="19">C53+C54+C27</f>
        <v>522512.02720000001</v>
      </c>
      <c r="D55" s="1">
        <f t="shared" si="19"/>
        <v>158326.61832059998</v>
      </c>
      <c r="E55" s="1">
        <f t="shared" si="19"/>
        <v>160784.41726102191</v>
      </c>
      <c r="F55" s="1">
        <f t="shared" si="19"/>
        <v>163286.30680325319</v>
      </c>
      <c r="G55" s="1">
        <f t="shared" si="19"/>
        <v>165833.18715675402</v>
      </c>
      <c r="H55" s="1">
        <f t="shared" si="19"/>
        <v>85864.056305463455</v>
      </c>
      <c r="I55" s="1">
        <f t="shared" si="19"/>
        <v>88503.690361700705</v>
      </c>
      <c r="J55" s="1">
        <f t="shared" si="19"/>
        <v>91191.123927097156</v>
      </c>
      <c r="K55" s="1">
        <f t="shared" si="19"/>
        <v>93927.330460700468</v>
      </c>
      <c r="L55" s="1">
        <f t="shared" si="19"/>
        <v>96713.30265439213</v>
      </c>
      <c r="M55" s="1">
        <f t="shared" si="19"/>
        <v>166121.56045444476</v>
      </c>
      <c r="N55" s="1">
        <f t="shared" si="19"/>
        <v>127563.46335909195</v>
      </c>
      <c r="O55" s="1">
        <f t="shared" si="19"/>
        <v>130400.34655112494</v>
      </c>
      <c r="P55" s="1">
        <f t="shared" si="19"/>
        <v>133292.1106529269</v>
      </c>
      <c r="Q55" s="1">
        <f t="shared" si="19"/>
        <v>136239.85412983515</v>
      </c>
      <c r="R55" s="1">
        <f t="shared" si="19"/>
        <v>145194.56984368589</v>
      </c>
      <c r="S55" s="1">
        <f t="shared" si="19"/>
        <v>148227.90572687029</v>
      </c>
      <c r="T55" s="1">
        <f t="shared" si="19"/>
        <v>151320.79765486121</v>
      </c>
      <c r="U55" s="1">
        <f t="shared" si="19"/>
        <v>154474.43317431686</v>
      </c>
      <c r="V55" s="1">
        <f t="shared" si="19"/>
        <v>157690.02341928874</v>
      </c>
      <c r="W55" s="1">
        <f t="shared" si="19"/>
        <v>160968.80358018161</v>
      </c>
      <c r="X55" s="1">
        <f t="shared" si="19"/>
        <v>164312.03338203498</v>
      </c>
      <c r="Y55" s="1">
        <f t="shared" si="19"/>
        <v>167720.9975723114</v>
      </c>
      <c r="Z55" s="1">
        <f t="shared" si="19"/>
        <v>171197.00641838054</v>
      </c>
      <c r="AA55" s="1">
        <f t="shared" si="19"/>
        <v>174741.3962148916</v>
      </c>
    </row>
    <row r="57" spans="1:27" x14ac:dyDescent="0.35">
      <c r="A57" s="8"/>
      <c r="B57" s="6"/>
    </row>
    <row r="58" spans="1:27" ht="13.15" thickBot="1" x14ac:dyDescent="0.4">
      <c r="A58" s="14" t="s">
        <v>109</v>
      </c>
      <c r="B58" s="6"/>
      <c r="C58" s="1">
        <f>C55</f>
        <v>522512.02720000001</v>
      </c>
      <c r="D58" s="1">
        <f>C58+D55</f>
        <v>680838.64552060002</v>
      </c>
      <c r="E58" s="1">
        <f t="shared" ref="E58:AA58" si="20">D58+E55</f>
        <v>841623.06278162193</v>
      </c>
      <c r="F58" s="1">
        <f t="shared" si="20"/>
        <v>1004909.3695848752</v>
      </c>
      <c r="G58" s="1">
        <f t="shared" si="20"/>
        <v>1170742.5567416293</v>
      </c>
      <c r="H58" s="1">
        <f t="shared" si="20"/>
        <v>1256606.6130470927</v>
      </c>
      <c r="I58" s="1">
        <f t="shared" si="20"/>
        <v>1345110.3034087934</v>
      </c>
      <c r="J58" s="1">
        <f t="shared" si="20"/>
        <v>1436301.4273358905</v>
      </c>
      <c r="K58" s="1">
        <f t="shared" si="20"/>
        <v>1530228.7577965909</v>
      </c>
      <c r="L58" s="1">
        <f t="shared" si="20"/>
        <v>1626942.060450983</v>
      </c>
      <c r="M58" s="1">
        <f t="shared" si="20"/>
        <v>1793063.6209054277</v>
      </c>
      <c r="N58" s="1">
        <f t="shared" si="20"/>
        <v>1920627.0842645196</v>
      </c>
      <c r="O58" s="1">
        <f t="shared" si="20"/>
        <v>2051027.4308156446</v>
      </c>
      <c r="P58" s="1">
        <f t="shared" si="20"/>
        <v>2184319.5414685714</v>
      </c>
      <c r="Q58" s="1">
        <f t="shared" si="20"/>
        <v>2320559.3955984064</v>
      </c>
      <c r="R58" s="1">
        <f t="shared" si="20"/>
        <v>2465753.9654420922</v>
      </c>
      <c r="S58" s="1">
        <f t="shared" si="20"/>
        <v>2613981.8711689627</v>
      </c>
      <c r="T58" s="1">
        <f t="shared" si="20"/>
        <v>2765302.6688238238</v>
      </c>
      <c r="U58" s="1">
        <f t="shared" si="20"/>
        <v>2919777.1019981406</v>
      </c>
      <c r="V58" s="1">
        <f t="shared" si="20"/>
        <v>3077467.1254174295</v>
      </c>
      <c r="W58" s="1">
        <f t="shared" si="20"/>
        <v>3238435.9289976112</v>
      </c>
      <c r="X58" s="1">
        <f t="shared" si="20"/>
        <v>3402747.962379646</v>
      </c>
      <c r="Y58" s="1">
        <f t="shared" si="20"/>
        <v>3570468.9599519572</v>
      </c>
      <c r="Z58" s="1">
        <f t="shared" si="20"/>
        <v>3741665.9663703376</v>
      </c>
      <c r="AA58" s="1">
        <f t="shared" si="20"/>
        <v>3916407.3625852293</v>
      </c>
    </row>
    <row r="59" spans="1:27" ht="14.25" thickBot="1" x14ac:dyDescent="0.45">
      <c r="A59" s="79" t="s">
        <v>97</v>
      </c>
      <c r="B59" s="71"/>
      <c r="C59" s="64">
        <v>1</v>
      </c>
      <c r="D59" s="64">
        <f>C59+1</f>
        <v>2</v>
      </c>
      <c r="E59" s="64">
        <f t="shared" ref="E59" si="21">D59+1</f>
        <v>3</v>
      </c>
      <c r="F59" s="64">
        <f t="shared" ref="F59" si="22">E59+1</f>
        <v>4</v>
      </c>
      <c r="G59" s="64">
        <f t="shared" ref="G59" si="23">F59+1</f>
        <v>5</v>
      </c>
      <c r="H59" s="64">
        <f t="shared" ref="H59" si="24">G59+1</f>
        <v>6</v>
      </c>
      <c r="I59" s="64">
        <f>H59+1</f>
        <v>7</v>
      </c>
      <c r="J59" s="64">
        <f>I59+1</f>
        <v>8</v>
      </c>
      <c r="K59" s="64">
        <f t="shared" ref="K59" si="25">J59+1</f>
        <v>9</v>
      </c>
      <c r="L59" s="64">
        <f t="shared" ref="L59" si="26">K59+1</f>
        <v>10</v>
      </c>
      <c r="M59" s="64">
        <f t="shared" ref="M59" si="27">L59+1</f>
        <v>11</v>
      </c>
      <c r="N59" s="64">
        <f t="shared" ref="N59" si="28">M59+1</f>
        <v>12</v>
      </c>
      <c r="O59" s="64">
        <f t="shared" ref="O59" si="29">N59+1</f>
        <v>13</v>
      </c>
      <c r="P59" s="64">
        <f t="shared" ref="P59" si="30">O59+1</f>
        <v>14</v>
      </c>
      <c r="Q59" s="64">
        <f t="shared" ref="Q59" si="31">P59+1</f>
        <v>15</v>
      </c>
      <c r="R59" s="64">
        <f t="shared" ref="R59" si="32">Q59+1</f>
        <v>16</v>
      </c>
      <c r="S59" s="64">
        <f t="shared" ref="S59" si="33">R59+1</f>
        <v>17</v>
      </c>
      <c r="T59" s="64">
        <f t="shared" ref="T59" si="34">S59+1</f>
        <v>18</v>
      </c>
      <c r="U59" s="64">
        <f t="shared" ref="U59" si="35">T59+1</f>
        <v>19</v>
      </c>
      <c r="V59" s="64">
        <f t="shared" ref="V59" si="36">U59+1</f>
        <v>20</v>
      </c>
      <c r="W59" s="64">
        <f t="shared" ref="W59" si="37">V59+1</f>
        <v>21</v>
      </c>
      <c r="X59" s="64">
        <f t="shared" ref="X59" si="38">W59+1</f>
        <v>22</v>
      </c>
      <c r="Y59" s="64">
        <f t="shared" ref="Y59" si="39">X59+1</f>
        <v>23</v>
      </c>
      <c r="Z59" s="64">
        <f t="shared" ref="Z59" si="40">Y59+1</f>
        <v>24</v>
      </c>
      <c r="AA59" s="64">
        <f t="shared" ref="AA59" si="41">Z59+1</f>
        <v>25</v>
      </c>
    </row>
    <row r="60" spans="1:27" x14ac:dyDescent="0.35">
      <c r="D60" s="1"/>
      <c r="E60" s="21"/>
      <c r="F60" s="21"/>
      <c r="J60" s="2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7" x14ac:dyDescent="0.35">
      <c r="I61" s="1"/>
      <c r="J61" s="2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7" x14ac:dyDescent="0.35">
      <c r="C62" s="21"/>
      <c r="G62" s="1"/>
      <c r="H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7" x14ac:dyDescent="0.35">
      <c r="G63" s="1"/>
      <c r="H63" s="1"/>
      <c r="J63" s="1"/>
      <c r="L63" s="1"/>
    </row>
    <row r="66" spans="3:6" x14ac:dyDescent="0.35">
      <c r="D66" s="1"/>
      <c r="F66" s="1"/>
    </row>
    <row r="67" spans="3:6" x14ac:dyDescent="0.35">
      <c r="F67" s="1"/>
    </row>
    <row r="68" spans="3:6" x14ac:dyDescent="0.35">
      <c r="C68" s="1"/>
      <c r="D68" s="1"/>
      <c r="F68" s="1"/>
    </row>
  </sheetData>
  <mergeCells count="4">
    <mergeCell ref="A4:B5"/>
    <mergeCell ref="AC28:AE28"/>
    <mergeCell ref="A1:A3"/>
    <mergeCell ref="H1:O3"/>
  </mergeCells>
  <conditionalFormatting sqref="C58">
    <cfRule type="cellIs" dxfId="2" priority="3" operator="lessThan">
      <formula>-$B$55</formula>
    </cfRule>
  </conditionalFormatting>
  <conditionalFormatting sqref="D58">
    <cfRule type="cellIs" dxfId="1" priority="2" operator="lessThan">
      <formula>-$B$55</formula>
    </cfRule>
  </conditionalFormatting>
  <conditionalFormatting sqref="E58:AA58">
    <cfRule type="cellIs" dxfId="0" priority="1" operator="lessThan">
      <formula>-$B$55</formula>
    </cfRule>
  </conditionalFormatting>
  <pageMargins left="0.7" right="0.7" top="0.75" bottom="0.75" header="0.3" footer="0.3"/>
  <pageSetup paperSize="17" scale="5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23146-C7F1-4D40-AC81-199DD6DFA7CE}">
  <dimension ref="E2:K13"/>
  <sheetViews>
    <sheetView tabSelected="1" topLeftCell="D1" workbookViewId="0">
      <selection activeCell="J23" sqref="J23"/>
    </sheetView>
  </sheetViews>
  <sheetFormatPr defaultRowHeight="12.75" x14ac:dyDescent="0.35"/>
  <cols>
    <col min="6" max="6" width="25.3984375" bestFit="1" customWidth="1"/>
    <col min="7" max="7" width="12.73046875" customWidth="1"/>
    <col min="8" max="8" width="10.9296875" bestFit="1" customWidth="1"/>
    <col min="9" max="9" width="10.73046875" bestFit="1" customWidth="1"/>
    <col min="10" max="10" width="43.796875" bestFit="1" customWidth="1"/>
  </cols>
  <sheetData>
    <row r="2" spans="5:11" ht="52.5" x14ac:dyDescent="0.4">
      <c r="E2" s="105" t="s">
        <v>112</v>
      </c>
      <c r="F2" s="105" t="s">
        <v>125</v>
      </c>
      <c r="G2" s="105" t="s">
        <v>113</v>
      </c>
      <c r="H2" s="105" t="s">
        <v>131</v>
      </c>
      <c r="I2" s="105" t="s">
        <v>132</v>
      </c>
      <c r="J2" s="105" t="s">
        <v>126</v>
      </c>
    </row>
    <row r="3" spans="5:11" x14ac:dyDescent="0.35">
      <c r="E3" s="106">
        <v>2018</v>
      </c>
      <c r="F3" s="107" t="s">
        <v>116</v>
      </c>
      <c r="G3" s="106">
        <v>1</v>
      </c>
      <c r="H3" s="108">
        <v>6</v>
      </c>
      <c r="I3" s="108">
        <v>36.5</v>
      </c>
      <c r="J3" s="107" t="s">
        <v>127</v>
      </c>
      <c r="K3" s="2"/>
    </row>
    <row r="4" spans="5:11" x14ac:dyDescent="0.35">
      <c r="E4" s="106">
        <v>2019</v>
      </c>
      <c r="F4" s="107" t="s">
        <v>117</v>
      </c>
      <c r="G4" s="106">
        <v>2</v>
      </c>
      <c r="H4" s="108">
        <v>7</v>
      </c>
      <c r="I4" s="108">
        <v>20</v>
      </c>
      <c r="J4" s="107" t="s">
        <v>127</v>
      </c>
      <c r="K4" s="2"/>
    </row>
    <row r="5" spans="5:11" x14ac:dyDescent="0.35">
      <c r="E5" s="106">
        <v>2020</v>
      </c>
      <c r="F5" s="107" t="s">
        <v>118</v>
      </c>
      <c r="G5" s="106">
        <v>3</v>
      </c>
      <c r="H5" s="108">
        <v>8.1</v>
      </c>
      <c r="I5" s="108">
        <f>(5.2+22.2+6.5)*(12/19)</f>
        <v>21.410526315789472</v>
      </c>
      <c r="J5" s="107" t="s">
        <v>127</v>
      </c>
      <c r="K5" s="2"/>
    </row>
    <row r="6" spans="5:11" x14ac:dyDescent="0.35">
      <c r="E6" s="106">
        <v>2021</v>
      </c>
      <c r="F6" s="107" t="s">
        <v>119</v>
      </c>
      <c r="G6" s="106">
        <v>4</v>
      </c>
      <c r="H6" s="108">
        <v>9</v>
      </c>
      <c r="I6" s="108">
        <f>8.3*(12/7)</f>
        <v>14.22857142857143</v>
      </c>
      <c r="J6" s="107" t="s">
        <v>127</v>
      </c>
      <c r="K6" s="2"/>
    </row>
    <row r="7" spans="5:11" x14ac:dyDescent="0.35">
      <c r="E7" s="106">
        <v>2022</v>
      </c>
      <c r="F7" s="107" t="s">
        <v>120</v>
      </c>
      <c r="G7" s="106">
        <v>5</v>
      </c>
      <c r="H7" s="108">
        <v>9.1</v>
      </c>
      <c r="I7" s="108">
        <f>0.237*(12/8)</f>
        <v>0.35549999999999998</v>
      </c>
      <c r="J7" s="107" t="s">
        <v>127</v>
      </c>
      <c r="K7" s="2"/>
    </row>
    <row r="8" spans="5:11" x14ac:dyDescent="0.35">
      <c r="E8" s="106">
        <v>2023</v>
      </c>
      <c r="F8" s="107" t="s">
        <v>121</v>
      </c>
      <c r="G8" s="106">
        <v>6</v>
      </c>
      <c r="H8" s="108">
        <v>10</v>
      </c>
      <c r="I8" s="107"/>
      <c r="J8" s="107" t="s">
        <v>128</v>
      </c>
    </row>
    <row r="9" spans="5:11" x14ac:dyDescent="0.35">
      <c r="E9" s="106">
        <v>2023</v>
      </c>
      <c r="F9" s="107" t="s">
        <v>122</v>
      </c>
      <c r="G9" s="106">
        <v>7</v>
      </c>
      <c r="H9" s="108">
        <v>10.1</v>
      </c>
      <c r="I9" s="107"/>
      <c r="J9" s="107" t="s">
        <v>129</v>
      </c>
    </row>
    <row r="10" spans="5:11" x14ac:dyDescent="0.35">
      <c r="E10" s="106">
        <v>2023</v>
      </c>
      <c r="F10" s="107" t="s">
        <v>123</v>
      </c>
      <c r="G10" s="106">
        <v>8</v>
      </c>
      <c r="H10" s="108">
        <v>11</v>
      </c>
      <c r="I10" s="107"/>
      <c r="J10" s="107" t="s">
        <v>114</v>
      </c>
    </row>
    <row r="11" spans="5:11" x14ac:dyDescent="0.35">
      <c r="E11" s="106">
        <v>2024</v>
      </c>
      <c r="F11" s="107" t="s">
        <v>124</v>
      </c>
      <c r="G11" s="106">
        <v>9</v>
      </c>
      <c r="H11" s="108">
        <v>11.5</v>
      </c>
      <c r="I11" s="107"/>
      <c r="J11" s="107" t="s">
        <v>130</v>
      </c>
    </row>
    <row r="12" spans="5:11" x14ac:dyDescent="0.35">
      <c r="E12" s="106">
        <v>2024</v>
      </c>
      <c r="F12" s="107" t="s">
        <v>124</v>
      </c>
      <c r="G12" s="106">
        <v>10</v>
      </c>
      <c r="H12" s="108">
        <v>12.2</v>
      </c>
      <c r="I12" s="107"/>
      <c r="J12" s="107" t="s">
        <v>114</v>
      </c>
    </row>
    <row r="13" spans="5:11" x14ac:dyDescent="0.35">
      <c r="E13" s="106">
        <v>2024</v>
      </c>
      <c r="F13" s="107" t="s">
        <v>124</v>
      </c>
      <c r="G13" s="106">
        <v>11</v>
      </c>
      <c r="H13" s="108">
        <v>12.8</v>
      </c>
      <c r="I13" s="107"/>
      <c r="J13" s="107" t="s">
        <v>115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Inputs &amp; Generation</vt:lpstr>
      <vt:lpstr>As Net Metering Customer</vt:lpstr>
      <vt:lpstr>As Direct Owner COMM</vt:lpstr>
      <vt:lpstr>Results</vt:lpstr>
      <vt:lpstr>'Inputs &amp; Generation'!Print_Area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Teller</dc:creator>
  <cp:lastModifiedBy>Jim Merriam</cp:lastModifiedBy>
  <cp:lastPrinted>2022-03-22T14:13:41Z</cp:lastPrinted>
  <dcterms:created xsi:type="dcterms:W3CDTF">2013-04-06T14:25:23Z</dcterms:created>
  <dcterms:modified xsi:type="dcterms:W3CDTF">2022-04-21T20:00:08Z</dcterms:modified>
</cp:coreProperties>
</file>