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/>
  <xr:revisionPtr revIDLastSave="0" documentId="13_ncr:1_{FC150E9E-1E3B-4077-BADD-27BA67BB17B8}" xr6:coauthVersionLast="46" xr6:coauthVersionMax="46" xr10:uidLastSave="{00000000-0000-0000-0000-000000000000}"/>
  <bookViews>
    <workbookView xWindow="28680" yWindow="-120" windowWidth="29040" windowHeight="17640" xr2:uid="{00000000-000D-0000-FFFF-FFFF00000000}"/>
  </bookViews>
  <sheets>
    <sheet name="Assumptions" sheetId="4" r:id="rId1"/>
    <sheet name="Monthly Capacity Value" sheetId="8" r:id="rId2"/>
    <sheet name="Rev Req't" sheetId="11" r:id="rId3"/>
    <sheet name="Capacity Prices" sheetId="9" r:id="rId4"/>
    <sheet name="PowerhubCost" sheetId="14" r:id="rId5"/>
    <sheet name="CustomerPay" sheetId="15" r:id="rId6"/>
    <sheet name="Full Program" sheetId="17" r:id="rId7"/>
    <sheet name="Single System" sheetId="13" r:id="rId8"/>
    <sheet name="Attachment 3" sheetId="18" r:id="rId9"/>
  </sheets>
  <definedNames>
    <definedName name="Availability">Assumptions!$B$17</definedName>
    <definedName name="DegradationRate">Assumptions!#REF!</definedName>
    <definedName name="FcastMonth">#REF!</definedName>
    <definedName name="FcastMoNumber">#REF!</definedName>
    <definedName name="FcastYear">#REF!</definedName>
    <definedName name="FCMEffective">Assumptions!$B$22</definedName>
    <definedName name="FCMForecast">Assumptions!$B$24</definedName>
    <definedName name="ITC">#REF!</definedName>
    <definedName name="Losses">Assumptions!$B$20</definedName>
    <definedName name="Month18">#REF!</definedName>
    <definedName name="OffPeak">#REF!</definedName>
    <definedName name="OffPeak18">#REF!</definedName>
    <definedName name="OnPeak">#REF!</definedName>
    <definedName name="OnPeak18">#REF!</definedName>
    <definedName name="Reserve_Margin">Assumptions!$B$19</definedName>
    <definedName name="RNSEffective">Assumptions!$B$23</definedName>
    <definedName name="RNSForecast">Assumptions!$B$25</definedName>
    <definedName name="RoundTripEff">Assumptions!#REF!</definedName>
    <definedName name="Years_ITC_Recapture_Risk">Assumptions!#REF!</definedName>
  </definedNames>
  <calcPr calcId="191029"/>
  <fileRecoveryPr autoRecover="0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12" i="18" l="1"/>
  <c r="D13" i="18"/>
  <c r="P29" i="18"/>
  <c r="J28" i="18"/>
  <c r="N27" i="18"/>
  <c r="M27" i="18"/>
  <c r="L27" i="18"/>
  <c r="J27" i="18"/>
  <c r="I27" i="18"/>
  <c r="G27" i="18"/>
  <c r="F27" i="18"/>
  <c r="E27" i="18"/>
  <c r="E29" i="18" s="1"/>
  <c r="Q26" i="18"/>
  <c r="Q29" i="18" s="1"/>
  <c r="M26" i="18"/>
  <c r="L26" i="18"/>
  <c r="K26" i="18"/>
  <c r="H26" i="18"/>
  <c r="E26" i="18"/>
  <c r="D26" i="18"/>
  <c r="D29" i="18" s="1"/>
  <c r="U25" i="18"/>
  <c r="T25" i="18"/>
  <c r="S25" i="18"/>
  <c r="R25" i="18"/>
  <c r="Q25" i="18"/>
  <c r="P25" i="18"/>
  <c r="O25" i="18"/>
  <c r="N25" i="18"/>
  <c r="M25" i="18"/>
  <c r="L25" i="18"/>
  <c r="K25" i="18"/>
  <c r="J25" i="18"/>
  <c r="I25" i="18"/>
  <c r="H25" i="18"/>
  <c r="G25" i="18"/>
  <c r="U24" i="18"/>
  <c r="T24" i="18"/>
  <c r="S24" i="18"/>
  <c r="R24" i="18"/>
  <c r="Q24" i="18"/>
  <c r="P24" i="18"/>
  <c r="O24" i="18"/>
  <c r="N24" i="18"/>
  <c r="M24" i="18"/>
  <c r="L24" i="18"/>
  <c r="K24" i="18"/>
  <c r="J24" i="18"/>
  <c r="I24" i="18"/>
  <c r="H24" i="18"/>
  <c r="G24" i="18"/>
  <c r="U16" i="18"/>
  <c r="T16" i="18"/>
  <c r="S16" i="18"/>
  <c r="R16" i="18"/>
  <c r="Q16" i="18"/>
  <c r="P16" i="18"/>
  <c r="N14" i="18"/>
  <c r="M14" i="18"/>
  <c r="K14" i="18"/>
  <c r="J14" i="18"/>
  <c r="I14" i="18"/>
  <c r="H14" i="18"/>
  <c r="F14" i="18"/>
  <c r="E14" i="18"/>
  <c r="L13" i="18"/>
  <c r="K13" i="18"/>
  <c r="J13" i="18"/>
  <c r="G13" i="18"/>
  <c r="T10" i="18"/>
  <c r="S10" i="18"/>
  <c r="R10" i="18"/>
  <c r="Q10" i="18"/>
  <c r="O10" i="18"/>
  <c r="N10" i="18"/>
  <c r="L10" i="18"/>
  <c r="K10" i="18"/>
  <c r="J10" i="18"/>
  <c r="I10" i="18"/>
  <c r="G10" i="18"/>
  <c r="F10" i="18"/>
  <c r="U9" i="18"/>
  <c r="T9" i="18"/>
  <c r="S9" i="18"/>
  <c r="P9" i="18"/>
  <c r="M9" i="18"/>
  <c r="L9" i="18"/>
  <c r="K9" i="18"/>
  <c r="H9" i="18"/>
  <c r="E9" i="18"/>
  <c r="D9" i="18"/>
  <c r="F6" i="18"/>
  <c r="H11" i="18" s="1"/>
  <c r="E6" i="18"/>
  <c r="E25" i="18" s="1"/>
  <c r="D6" i="18"/>
  <c r="D25" i="18" s="1"/>
  <c r="F5" i="18"/>
  <c r="E5" i="18"/>
  <c r="K27" i="18" s="1"/>
  <c r="D5" i="18"/>
  <c r="J26" i="18" s="1"/>
  <c r="G15" i="18" l="1"/>
  <c r="F25" i="18"/>
  <c r="V25" i="18" s="1"/>
  <c r="T12" i="18"/>
  <c r="T17" i="18" s="1"/>
  <c r="K28" i="18"/>
  <c r="K29" i="18" s="1"/>
  <c r="M11" i="18"/>
  <c r="N15" i="18"/>
  <c r="N16" i="18" s="1"/>
  <c r="D12" i="18"/>
  <c r="I11" i="18"/>
  <c r="H15" i="18"/>
  <c r="J11" i="18"/>
  <c r="K15" i="18"/>
  <c r="K16" i="18" s="1"/>
  <c r="J29" i="18"/>
  <c r="P11" i="18"/>
  <c r="O15" i="18"/>
  <c r="O16" i="18" s="1"/>
  <c r="I28" i="18"/>
  <c r="M15" i="18"/>
  <c r="O11" i="18"/>
  <c r="G11" i="18"/>
  <c r="H28" i="18"/>
  <c r="L15" i="18"/>
  <c r="N11" i="18"/>
  <c r="F11" i="18"/>
  <c r="V11" i="18" s="1"/>
  <c r="O28" i="18"/>
  <c r="O29" i="18" s="1"/>
  <c r="G28" i="18"/>
  <c r="F24" i="18"/>
  <c r="N28" i="18"/>
  <c r="N29" i="18" s="1"/>
  <c r="F28" i="18"/>
  <c r="J15" i="18"/>
  <c r="J16" i="18" s="1"/>
  <c r="T11" i="18"/>
  <c r="L11" i="18"/>
  <c r="L12" i="18" s="1"/>
  <c r="M28" i="18"/>
  <c r="M29" i="18" s="1"/>
  <c r="I15" i="18"/>
  <c r="S11" i="18"/>
  <c r="S12" i="18" s="1"/>
  <c r="S17" i="18" s="1"/>
  <c r="K11" i="18"/>
  <c r="K12" i="18" s="1"/>
  <c r="L28" i="18"/>
  <c r="Q11" i="18"/>
  <c r="L29" i="18"/>
  <c r="V13" i="18"/>
  <c r="D16" i="18"/>
  <c r="R11" i="18"/>
  <c r="U11" i="18"/>
  <c r="V14" i="18"/>
  <c r="F15" i="18"/>
  <c r="V15" i="18" s="1"/>
  <c r="F9" i="18"/>
  <c r="N9" i="18"/>
  <c r="E13" i="18"/>
  <c r="E16" i="18" s="1"/>
  <c r="M13" i="18"/>
  <c r="D24" i="18"/>
  <c r="F26" i="18"/>
  <c r="G9" i="18"/>
  <c r="O9" i="18"/>
  <c r="O12" i="18" s="1"/>
  <c r="E10" i="18"/>
  <c r="M10" i="18"/>
  <c r="M12" i="18" s="1"/>
  <c r="U10" i="18"/>
  <c r="U12" i="18" s="1"/>
  <c r="U17" i="18" s="1"/>
  <c r="F13" i="18"/>
  <c r="L14" i="18"/>
  <c r="L16" i="18" s="1"/>
  <c r="E24" i="18"/>
  <c r="G26" i="18"/>
  <c r="G29" i="18" s="1"/>
  <c r="R26" i="18"/>
  <c r="H27" i="18"/>
  <c r="H29" i="18" s="1"/>
  <c r="I9" i="18"/>
  <c r="Q9" i="18"/>
  <c r="Q12" i="18" s="1"/>
  <c r="Q17" i="18" s="1"/>
  <c r="H13" i="18"/>
  <c r="H16" i="18" s="1"/>
  <c r="I26" i="18"/>
  <c r="I29" i="18" s="1"/>
  <c r="J9" i="18"/>
  <c r="J12" i="18" s="1"/>
  <c r="R9" i="18"/>
  <c r="R12" i="18" s="1"/>
  <c r="R17" i="18" s="1"/>
  <c r="H10" i="18"/>
  <c r="H12" i="18" s="1"/>
  <c r="P10" i="18"/>
  <c r="P12" i="18" s="1"/>
  <c r="P17" i="18" s="1"/>
  <c r="I13" i="18"/>
  <c r="G14" i="18"/>
  <c r="G16" i="18" s="1"/>
  <c r="D34" i="9"/>
  <c r="D35" i="9" s="1"/>
  <c r="C5" i="9"/>
  <c r="C6" i="9" s="1"/>
  <c r="C7" i="9" s="1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B5" i="9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F15" i="11"/>
  <c r="E15" i="11"/>
  <c r="F13" i="11"/>
  <c r="G13" i="11" s="1"/>
  <c r="H17" i="18" l="1"/>
  <c r="K17" i="18"/>
  <c r="L17" i="18"/>
  <c r="I16" i="18"/>
  <c r="O17" i="18"/>
  <c r="M16" i="18"/>
  <c r="M17" i="18" s="1"/>
  <c r="V28" i="18"/>
  <c r="D17" i="18"/>
  <c r="G12" i="18"/>
  <c r="G17" i="18" s="1"/>
  <c r="V27" i="18"/>
  <c r="V10" i="18"/>
  <c r="E12" i="18"/>
  <c r="E17" i="18" s="1"/>
  <c r="I12" i="18"/>
  <c r="I17" i="18" s="1"/>
  <c r="F29" i="18"/>
  <c r="N12" i="18"/>
  <c r="N17" i="18" s="1"/>
  <c r="V24" i="18"/>
  <c r="F12" i="18"/>
  <c r="J17" i="18"/>
  <c r="R29" i="18"/>
  <c r="S26" i="18"/>
  <c r="F16" i="18"/>
  <c r="V16" i="18" s="1"/>
  <c r="V9" i="18"/>
  <c r="B15" i="4"/>
  <c r="E23" i="18" l="1"/>
  <c r="F23" i="18"/>
  <c r="D23" i="18"/>
  <c r="V23" i="18" s="1"/>
  <c r="S29" i="18"/>
  <c r="T26" i="18"/>
  <c r="F17" i="18"/>
  <c r="V17" i="18" s="1"/>
  <c r="G69" i="11"/>
  <c r="G77" i="11" s="1"/>
  <c r="H69" i="11"/>
  <c r="H77" i="11" s="1"/>
  <c r="I69" i="11"/>
  <c r="I77" i="11" s="1"/>
  <c r="J69" i="11"/>
  <c r="J77" i="11" s="1"/>
  <c r="K69" i="11"/>
  <c r="K77" i="11" s="1"/>
  <c r="L69" i="11"/>
  <c r="L77" i="11" s="1"/>
  <c r="M69" i="11"/>
  <c r="M77" i="11" s="1"/>
  <c r="N69" i="11"/>
  <c r="N77" i="11" s="1"/>
  <c r="O69" i="11"/>
  <c r="O77" i="11" s="1"/>
  <c r="P69" i="11"/>
  <c r="P77" i="11"/>
  <c r="G63" i="11"/>
  <c r="H63" i="11"/>
  <c r="I63" i="11"/>
  <c r="J63" i="11"/>
  <c r="K63" i="11"/>
  <c r="L63" i="11"/>
  <c r="M63" i="11"/>
  <c r="N63" i="11"/>
  <c r="O63" i="11"/>
  <c r="P63" i="11"/>
  <c r="T29" i="18" l="1"/>
  <c r="U26" i="18"/>
  <c r="U29" i="18" s="1"/>
  <c r="N7" i="15"/>
  <c r="O7" i="15"/>
  <c r="P7" i="15"/>
  <c r="Q7" i="15"/>
  <c r="R7" i="15"/>
  <c r="U25" i="17"/>
  <c r="U16" i="17"/>
  <c r="GL13" i="8"/>
  <c r="GL14" i="8"/>
  <c r="GB13" i="8"/>
  <c r="GC13" i="8"/>
  <c r="GD13" i="8"/>
  <c r="GE13" i="8"/>
  <c r="GF13" i="8"/>
  <c r="GG13" i="8"/>
  <c r="GH13" i="8"/>
  <c r="GI13" i="8"/>
  <c r="GJ13" i="8"/>
  <c r="GK13" i="8"/>
  <c r="GB14" i="8"/>
  <c r="GC14" i="8"/>
  <c r="GD14" i="8"/>
  <c r="GE14" i="8"/>
  <c r="GF14" i="8"/>
  <c r="GG14" i="8"/>
  <c r="GH14" i="8"/>
  <c r="GI14" i="8"/>
  <c r="GJ14" i="8"/>
  <c r="GK14" i="8"/>
  <c r="GA13" i="8"/>
  <c r="GA14" i="8"/>
  <c r="S16" i="17"/>
  <c r="T16" i="17"/>
  <c r="S25" i="17"/>
  <c r="T25" i="17"/>
  <c r="P29" i="17"/>
  <c r="P16" i="17"/>
  <c r="Q16" i="17"/>
  <c r="R16" i="17"/>
  <c r="V26" i="18" l="1"/>
  <c r="V29" i="18"/>
  <c r="N25" i="17"/>
  <c r="O25" i="17"/>
  <c r="P25" i="17"/>
  <c r="Q25" i="17"/>
  <c r="R25" i="17"/>
  <c r="G25" i="17"/>
  <c r="H25" i="17"/>
  <c r="I25" i="17"/>
  <c r="J25" i="17"/>
  <c r="K25" i="17"/>
  <c r="L25" i="17"/>
  <c r="M25" i="17"/>
  <c r="F6" i="17"/>
  <c r="F25" i="17" s="1"/>
  <c r="E6" i="17"/>
  <c r="D6" i="17"/>
  <c r="F5" i="17"/>
  <c r="E5" i="17"/>
  <c r="D5" i="17"/>
  <c r="F23" i="17" l="1"/>
  <c r="U11" i="17"/>
  <c r="D23" i="17"/>
  <c r="U9" i="17"/>
  <c r="U12" i="17" s="1"/>
  <c r="U17" i="17" s="1"/>
  <c r="E23" i="17"/>
  <c r="U10" i="17"/>
  <c r="T9" i="17"/>
  <c r="O9" i="17"/>
  <c r="M26" i="17"/>
  <c r="H26" i="17"/>
  <c r="L26" i="17"/>
  <c r="P9" i="17"/>
  <c r="D26" i="17"/>
  <c r="D29" i="17" s="1"/>
  <c r="E26" i="17"/>
  <c r="I26" i="17"/>
  <c r="Q9" i="17"/>
  <c r="F26" i="17"/>
  <c r="J26" i="17"/>
  <c r="S9" i="17"/>
  <c r="N9" i="17"/>
  <c r="R9" i="17"/>
  <c r="G26" i="17"/>
  <c r="K26" i="17"/>
  <c r="H27" i="17"/>
  <c r="L27" i="17"/>
  <c r="S10" i="17"/>
  <c r="I27" i="17"/>
  <c r="M27" i="17"/>
  <c r="T10" i="17"/>
  <c r="F27" i="17"/>
  <c r="J27" i="17"/>
  <c r="N27" i="17"/>
  <c r="G27" i="17"/>
  <c r="K27" i="17"/>
  <c r="E27" i="17"/>
  <c r="T11" i="17"/>
  <c r="G28" i="17"/>
  <c r="K28" i="17"/>
  <c r="O28" i="17"/>
  <c r="O29" i="17" s="1"/>
  <c r="H28" i="17"/>
  <c r="L28" i="17"/>
  <c r="F28" i="17"/>
  <c r="I28" i="17"/>
  <c r="M28" i="17"/>
  <c r="S11" i="17"/>
  <c r="J28" i="17"/>
  <c r="N28" i="17"/>
  <c r="O10" i="17"/>
  <c r="P11" i="17"/>
  <c r="R11" i="17"/>
  <c r="Q11" i="17"/>
  <c r="Q10" i="17"/>
  <c r="P10" i="17"/>
  <c r="R10" i="17"/>
  <c r="E25" i="17"/>
  <c r="D25" i="17"/>
  <c r="Q26" i="17"/>
  <c r="N29" i="17" l="1"/>
  <c r="J29" i="17"/>
  <c r="K29" i="17"/>
  <c r="H29" i="17"/>
  <c r="E29" i="17"/>
  <c r="I29" i="17"/>
  <c r="G29" i="17"/>
  <c r="S12" i="17"/>
  <c r="S17" i="17" s="1"/>
  <c r="F29" i="17"/>
  <c r="T12" i="17"/>
  <c r="T17" i="17" s="1"/>
  <c r="L29" i="17"/>
  <c r="M29" i="17"/>
  <c r="R26" i="17"/>
  <c r="Q29" i="17"/>
  <c r="R12" i="17"/>
  <c r="P12" i="17"/>
  <c r="P17" i="17" s="1"/>
  <c r="Q12" i="17"/>
  <c r="Q17" i="17" s="1"/>
  <c r="R29" i="17" l="1"/>
  <c r="S26" i="17"/>
  <c r="R17" i="17"/>
  <c r="S29" i="17" l="1"/>
  <c r="T26" i="17"/>
  <c r="T29" i="17" l="1"/>
  <c r="U26" i="17"/>
  <c r="U29" i="17" s="1"/>
  <c r="B11" i="4"/>
  <c r="F21" i="11"/>
  <c r="F45" i="11" s="1"/>
  <c r="B83" i="11"/>
  <c r="B82" i="11"/>
  <c r="P72" i="11"/>
  <c r="O72" i="11"/>
  <c r="N72" i="11"/>
  <c r="M72" i="11"/>
  <c r="L72" i="11"/>
  <c r="K72" i="11"/>
  <c r="J72" i="11"/>
  <c r="I72" i="11"/>
  <c r="H72" i="11"/>
  <c r="G72" i="11"/>
  <c r="P59" i="11"/>
  <c r="P61" i="11" s="1"/>
  <c r="O59" i="11"/>
  <c r="O61" i="11" s="1"/>
  <c r="N59" i="11"/>
  <c r="N61" i="11" s="1"/>
  <c r="M59" i="11"/>
  <c r="M61" i="11" s="1"/>
  <c r="L59" i="11"/>
  <c r="L61" i="11" s="1"/>
  <c r="K59" i="11"/>
  <c r="K61" i="11" s="1"/>
  <c r="J59" i="11"/>
  <c r="J61" i="11" s="1"/>
  <c r="I59" i="11"/>
  <c r="I61" i="11" s="1"/>
  <c r="H59" i="11"/>
  <c r="H61" i="11" s="1"/>
  <c r="G59" i="11"/>
  <c r="G61" i="11" s="1"/>
  <c r="F22" i="11"/>
  <c r="H19" i="11"/>
  <c r="I19" i="11" s="1"/>
  <c r="J19" i="11" s="1"/>
  <c r="K19" i="11" s="1"/>
  <c r="L19" i="11" s="1"/>
  <c r="M19" i="11" s="1"/>
  <c r="N19" i="11" s="1"/>
  <c r="O19" i="11" s="1"/>
  <c r="P19" i="11" s="1"/>
  <c r="C7" i="11"/>
  <c r="B3" i="15"/>
  <c r="G9" i="14"/>
  <c r="N9" i="14"/>
  <c r="O9" i="14"/>
  <c r="P9" i="14"/>
  <c r="Q9" i="14"/>
  <c r="R9" i="14"/>
  <c r="L9" i="14"/>
  <c r="C10" i="8"/>
  <c r="D47" i="4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E9" i="14"/>
  <c r="I9" i="14"/>
  <c r="M9" i="14"/>
  <c r="K9" i="14"/>
  <c r="F9" i="14"/>
  <c r="D9" i="14"/>
  <c r="J9" i="14"/>
  <c r="H9" i="14"/>
  <c r="EJ13" i="8"/>
  <c r="EK13" i="8"/>
  <c r="EL13" i="8"/>
  <c r="EM13" i="8"/>
  <c r="EN13" i="8"/>
  <c r="EO13" i="8"/>
  <c r="EP13" i="8"/>
  <c r="EQ13" i="8"/>
  <c r="ER13" i="8"/>
  <c r="ES13" i="8"/>
  <c r="ET13" i="8"/>
  <c r="EU13" i="8"/>
  <c r="EV13" i="8"/>
  <c r="EW13" i="8"/>
  <c r="EX13" i="8"/>
  <c r="EY13" i="8"/>
  <c r="EZ13" i="8"/>
  <c r="FA13" i="8"/>
  <c r="FB13" i="8"/>
  <c r="FC13" i="8"/>
  <c r="FD13" i="8"/>
  <c r="FE13" i="8"/>
  <c r="FF13" i="8"/>
  <c r="FG13" i="8"/>
  <c r="FH13" i="8"/>
  <c r="FI13" i="8"/>
  <c r="FJ13" i="8"/>
  <c r="FK13" i="8"/>
  <c r="FL13" i="8"/>
  <c r="FM13" i="8"/>
  <c r="FN13" i="8"/>
  <c r="FO13" i="8"/>
  <c r="FP13" i="8"/>
  <c r="FQ13" i="8"/>
  <c r="FR13" i="8"/>
  <c r="FS13" i="8"/>
  <c r="FT13" i="8"/>
  <c r="FU13" i="8"/>
  <c r="FV13" i="8"/>
  <c r="FW13" i="8"/>
  <c r="FX13" i="8"/>
  <c r="FY13" i="8"/>
  <c r="FZ13" i="8"/>
  <c r="EJ14" i="8"/>
  <c r="EK14" i="8"/>
  <c r="EL14" i="8"/>
  <c r="EM14" i="8"/>
  <c r="EN14" i="8"/>
  <c r="EO14" i="8"/>
  <c r="EP14" i="8"/>
  <c r="EQ14" i="8"/>
  <c r="ER14" i="8"/>
  <c r="ES14" i="8"/>
  <c r="ET14" i="8"/>
  <c r="EU14" i="8"/>
  <c r="EV14" i="8"/>
  <c r="EW14" i="8"/>
  <c r="EX14" i="8"/>
  <c r="EY14" i="8"/>
  <c r="EZ14" i="8"/>
  <c r="FA14" i="8"/>
  <c r="FB14" i="8"/>
  <c r="FC14" i="8"/>
  <c r="FD14" i="8"/>
  <c r="FE14" i="8"/>
  <c r="FF14" i="8"/>
  <c r="FG14" i="8"/>
  <c r="FH14" i="8"/>
  <c r="FI14" i="8"/>
  <c r="FJ14" i="8"/>
  <c r="FK14" i="8"/>
  <c r="FL14" i="8"/>
  <c r="FM14" i="8"/>
  <c r="FN14" i="8"/>
  <c r="FO14" i="8"/>
  <c r="FP14" i="8"/>
  <c r="FQ14" i="8"/>
  <c r="FR14" i="8"/>
  <c r="FS14" i="8"/>
  <c r="FT14" i="8"/>
  <c r="FU14" i="8"/>
  <c r="FV14" i="8"/>
  <c r="FW14" i="8"/>
  <c r="FX14" i="8"/>
  <c r="FY14" i="8"/>
  <c r="FZ14" i="8"/>
  <c r="C17" i="8"/>
  <c r="C25" i="8" s="1"/>
  <c r="D28" i="8"/>
  <c r="EI14" i="8"/>
  <c r="EH14" i="8"/>
  <c r="EG14" i="8"/>
  <c r="EF14" i="8"/>
  <c r="EI13" i="8"/>
  <c r="EH13" i="8"/>
  <c r="EG13" i="8"/>
  <c r="EF13" i="8"/>
  <c r="GQ11" i="8"/>
  <c r="GQ13" i="8" s="1"/>
  <c r="GQ14" i="8" s="1"/>
  <c r="GQ15" i="8" s="1"/>
  <c r="GQ16" i="8" s="1"/>
  <c r="GQ17" i="8" s="1"/>
  <c r="GQ18" i="8" s="1"/>
  <c r="GQ19" i="8" s="1"/>
  <c r="GQ20" i="8" s="1"/>
  <c r="GQ21" i="8" s="1"/>
  <c r="GQ22" i="8" s="1"/>
  <c r="GQ23" i="8" s="1"/>
  <c r="GQ24" i="8" s="1"/>
  <c r="GQ25" i="8" s="1"/>
  <c r="GP11" i="8"/>
  <c r="GO11" i="8"/>
  <c r="GO13" i="8" s="1"/>
  <c r="GO14" i="8" s="1"/>
  <c r="GO15" i="8" s="1"/>
  <c r="GO16" i="8" s="1"/>
  <c r="GO17" i="8" s="1"/>
  <c r="GO18" i="8" s="1"/>
  <c r="GO19" i="8" s="1"/>
  <c r="GO20" i="8" s="1"/>
  <c r="GO21" i="8" s="1"/>
  <c r="GO22" i="8" s="1"/>
  <c r="GO23" i="8" s="1"/>
  <c r="GO24" i="8" s="1"/>
  <c r="GO25" i="8" s="1"/>
  <c r="GN11" i="8"/>
  <c r="GN13" i="8" s="1"/>
  <c r="GN14" i="8" s="1"/>
  <c r="GN15" i="8" s="1"/>
  <c r="GN16" i="8" s="1"/>
  <c r="GN17" i="8" s="1"/>
  <c r="GN18" i="8" s="1"/>
  <c r="GN19" i="8" s="1"/>
  <c r="GN20" i="8" s="1"/>
  <c r="GN21" i="8" s="1"/>
  <c r="GN22" i="8" s="1"/>
  <c r="GN23" i="8" s="1"/>
  <c r="GN24" i="8" s="1"/>
  <c r="GN25" i="8" s="1"/>
  <c r="EE14" i="8"/>
  <c r="ED14" i="8"/>
  <c r="EC14" i="8"/>
  <c r="EB14" i="8"/>
  <c r="EA14" i="8"/>
  <c r="DZ14" i="8"/>
  <c r="DY14" i="8"/>
  <c r="DX14" i="8"/>
  <c r="DW14" i="8"/>
  <c r="DV14" i="8"/>
  <c r="DU14" i="8"/>
  <c r="DT14" i="8"/>
  <c r="EE13" i="8"/>
  <c r="ED13" i="8"/>
  <c r="EC13" i="8"/>
  <c r="EB13" i="8"/>
  <c r="EA13" i="8"/>
  <c r="DZ13" i="8"/>
  <c r="DY13" i="8"/>
  <c r="DX13" i="8"/>
  <c r="DW13" i="8"/>
  <c r="DV13" i="8"/>
  <c r="DU13" i="8"/>
  <c r="DT13" i="8"/>
  <c r="DS14" i="8"/>
  <c r="DS13" i="8"/>
  <c r="DR14" i="8"/>
  <c r="DQ14" i="8"/>
  <c r="DP14" i="8"/>
  <c r="DO14" i="8"/>
  <c r="DN14" i="8"/>
  <c r="DM14" i="8"/>
  <c r="DL14" i="8"/>
  <c r="DK14" i="8"/>
  <c r="DJ14" i="8"/>
  <c r="DI14" i="8"/>
  <c r="DH14" i="8"/>
  <c r="DG14" i="8"/>
  <c r="DF14" i="8"/>
  <c r="DE14" i="8"/>
  <c r="DD14" i="8"/>
  <c r="DC14" i="8"/>
  <c r="DB14" i="8"/>
  <c r="DA14" i="8"/>
  <c r="CZ14" i="8"/>
  <c r="CY14" i="8"/>
  <c r="CX14" i="8"/>
  <c r="CW14" i="8"/>
  <c r="CV14" i="8"/>
  <c r="CU14" i="8"/>
  <c r="CT14" i="8"/>
  <c r="CS14" i="8"/>
  <c r="CR14" i="8"/>
  <c r="CQ14" i="8"/>
  <c r="CP14" i="8"/>
  <c r="CO14" i="8"/>
  <c r="CN14" i="8"/>
  <c r="CM14" i="8"/>
  <c r="CL14" i="8"/>
  <c r="CK14" i="8"/>
  <c r="CJ14" i="8"/>
  <c r="CI14" i="8"/>
  <c r="CH14" i="8"/>
  <c r="CG14" i="8"/>
  <c r="CF14" i="8"/>
  <c r="CE14" i="8"/>
  <c r="CD14" i="8"/>
  <c r="CC14" i="8"/>
  <c r="CB14" i="8"/>
  <c r="CA14" i="8"/>
  <c r="BZ14" i="8"/>
  <c r="BY14" i="8"/>
  <c r="BX14" i="8"/>
  <c r="BW14" i="8"/>
  <c r="BV14" i="8"/>
  <c r="BU14" i="8"/>
  <c r="BT14" i="8"/>
  <c r="BS14" i="8"/>
  <c r="BR14" i="8"/>
  <c r="BQ14" i="8"/>
  <c r="BP14" i="8"/>
  <c r="BO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D14" i="8"/>
  <c r="DR13" i="8"/>
  <c r="DQ13" i="8"/>
  <c r="DP13" i="8"/>
  <c r="DO13" i="8"/>
  <c r="DN13" i="8"/>
  <c r="DM13" i="8"/>
  <c r="DL13" i="8"/>
  <c r="DK13" i="8"/>
  <c r="DJ13" i="8"/>
  <c r="DI13" i="8"/>
  <c r="DH13" i="8"/>
  <c r="DG13" i="8"/>
  <c r="DF13" i="8"/>
  <c r="DE13" i="8"/>
  <c r="DD13" i="8"/>
  <c r="DC13" i="8"/>
  <c r="DB13" i="8"/>
  <c r="DA13" i="8"/>
  <c r="CZ13" i="8"/>
  <c r="CY13" i="8"/>
  <c r="CX13" i="8"/>
  <c r="CW13" i="8"/>
  <c r="CV13" i="8"/>
  <c r="CU13" i="8"/>
  <c r="CT13" i="8"/>
  <c r="CS13" i="8"/>
  <c r="CR13" i="8"/>
  <c r="CQ13" i="8"/>
  <c r="CP13" i="8"/>
  <c r="CO13" i="8"/>
  <c r="CN13" i="8"/>
  <c r="CM13" i="8"/>
  <c r="CL13" i="8"/>
  <c r="CK13" i="8"/>
  <c r="CJ13" i="8"/>
  <c r="CI13" i="8"/>
  <c r="CH13" i="8"/>
  <c r="CG13" i="8"/>
  <c r="CF13" i="8"/>
  <c r="CE13" i="8"/>
  <c r="CD13" i="8"/>
  <c r="CC13" i="8"/>
  <c r="CB13" i="8"/>
  <c r="CA13" i="8"/>
  <c r="BZ13" i="8"/>
  <c r="BY13" i="8"/>
  <c r="BX13" i="8"/>
  <c r="BW13" i="8"/>
  <c r="BV13" i="8"/>
  <c r="BU13" i="8"/>
  <c r="BT13" i="8"/>
  <c r="BS13" i="8"/>
  <c r="BR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4" i="8"/>
  <c r="C13" i="8"/>
  <c r="D5" i="8"/>
  <c r="C19" i="8"/>
  <c r="C4" i="8"/>
  <c r="C8" i="8" s="1"/>
  <c r="C11" i="8" s="1"/>
  <c r="D17" i="8" s="1"/>
  <c r="D6" i="8"/>
  <c r="E13" i="11" l="1"/>
  <c r="G15" i="11"/>
  <c r="D19" i="8"/>
  <c r="G15" i="17"/>
  <c r="E13" i="17"/>
  <c r="F14" i="17"/>
  <c r="F24" i="17"/>
  <c r="D24" i="17"/>
  <c r="E24" i="17"/>
  <c r="K15" i="17"/>
  <c r="I13" i="17"/>
  <c r="J14" i="17"/>
  <c r="D4" i="8"/>
  <c r="D8" i="8" s="1"/>
  <c r="D11" i="8" s="1"/>
  <c r="E17" i="8" s="1"/>
  <c r="E28" i="8"/>
  <c r="I14" i="17"/>
  <c r="H13" i="17"/>
  <c r="J15" i="17"/>
  <c r="G13" i="17"/>
  <c r="H14" i="17"/>
  <c r="I15" i="17"/>
  <c r="L15" i="17"/>
  <c r="K14" i="17"/>
  <c r="J13" i="17"/>
  <c r="L14" i="17"/>
  <c r="K13" i="17"/>
  <c r="M15" i="17"/>
  <c r="E14" i="17"/>
  <c r="F15" i="17"/>
  <c r="D13" i="17"/>
  <c r="D16" i="17" s="1"/>
  <c r="N15" i="17"/>
  <c r="M14" i="17"/>
  <c r="L13" i="17"/>
  <c r="H15" i="17"/>
  <c r="G14" i="17"/>
  <c r="F13" i="17"/>
  <c r="M13" i="17"/>
  <c r="O15" i="17"/>
  <c r="O16" i="17" s="1"/>
  <c r="N14" i="17"/>
  <c r="J89" i="11"/>
  <c r="G89" i="11"/>
  <c r="K89" i="11"/>
  <c r="L89" i="11"/>
  <c r="O89" i="11"/>
  <c r="F16" i="11"/>
  <c r="F23" i="11"/>
  <c r="P29" i="11" s="1"/>
  <c r="S24" i="17"/>
  <c r="T24" i="17"/>
  <c r="U24" i="17"/>
  <c r="Q24" i="17"/>
  <c r="I24" i="17"/>
  <c r="M24" i="17"/>
  <c r="N24" i="17"/>
  <c r="R24" i="17"/>
  <c r="J24" i="17"/>
  <c r="P24" i="17"/>
  <c r="L24" i="17"/>
  <c r="O24" i="17"/>
  <c r="G24" i="17"/>
  <c r="K24" i="17"/>
  <c r="H24" i="17"/>
  <c r="P89" i="11"/>
  <c r="H89" i="11"/>
  <c r="I89" i="11"/>
  <c r="N89" i="11"/>
  <c r="M89" i="11"/>
  <c r="F7" i="15"/>
  <c r="J7" i="15"/>
  <c r="G7" i="15"/>
  <c r="K7" i="15"/>
  <c r="D7" i="15"/>
  <c r="H7" i="15"/>
  <c r="L7" i="15"/>
  <c r="E7" i="15"/>
  <c r="I7" i="15"/>
  <c r="M7" i="15"/>
  <c r="D10" i="8"/>
  <c r="E5" i="8"/>
  <c r="E6" i="8"/>
  <c r="D25" i="8"/>
  <c r="GP13" i="8"/>
  <c r="GP14" i="8" s="1"/>
  <c r="GP15" i="8" s="1"/>
  <c r="GP16" i="8" s="1"/>
  <c r="GP17" i="8" s="1"/>
  <c r="GP18" i="8" s="1"/>
  <c r="GP19" i="8" s="1"/>
  <c r="GP20" i="8" s="1"/>
  <c r="GP21" i="8" s="1"/>
  <c r="GP22" i="8" s="1"/>
  <c r="GP23" i="8" s="1"/>
  <c r="GP24" i="8" s="1"/>
  <c r="GP25" i="8" s="1"/>
  <c r="G16" i="11"/>
  <c r="L25" i="11" l="1"/>
  <c r="I16" i="17"/>
  <c r="M29" i="11"/>
  <c r="P25" i="11"/>
  <c r="P104" i="11" s="1"/>
  <c r="L16" i="17"/>
  <c r="M16" i="17"/>
  <c r="G16" i="17"/>
  <c r="K16" i="17"/>
  <c r="N16" i="17"/>
  <c r="H16" i="17"/>
  <c r="E15" i="13"/>
  <c r="V24" i="17"/>
  <c r="E14" i="13"/>
  <c r="V23" i="17"/>
  <c r="J16" i="17"/>
  <c r="C20" i="8"/>
  <c r="F28" i="8"/>
  <c r="E16" i="17"/>
  <c r="F16" i="17"/>
  <c r="I25" i="11"/>
  <c r="I104" i="11" s="1"/>
  <c r="F37" i="11"/>
  <c r="O25" i="11"/>
  <c r="O104" i="11" s="1"/>
  <c r="K29" i="11"/>
  <c r="N29" i="11"/>
  <c r="J25" i="11"/>
  <c r="N25" i="11"/>
  <c r="K25" i="11"/>
  <c r="K104" i="11" s="1"/>
  <c r="L29" i="11"/>
  <c r="L30" i="11" s="1"/>
  <c r="G25" i="11"/>
  <c r="G104" i="11" s="1"/>
  <c r="G26" i="11"/>
  <c r="O29" i="11"/>
  <c r="G29" i="11"/>
  <c r="H25" i="11"/>
  <c r="H104" i="11" s="1"/>
  <c r="I29" i="11"/>
  <c r="C9" i="15"/>
  <c r="E9" i="13" s="1"/>
  <c r="E16" i="11"/>
  <c r="V28" i="17"/>
  <c r="V25" i="17"/>
  <c r="V27" i="17"/>
  <c r="V14" i="17"/>
  <c r="V15" i="17"/>
  <c r="V13" i="17"/>
  <c r="V16" i="17"/>
  <c r="V26" i="17"/>
  <c r="V29" i="17"/>
  <c r="P30" i="11"/>
  <c r="M25" i="11"/>
  <c r="M104" i="11" s="1"/>
  <c r="H29" i="11"/>
  <c r="J29" i="11"/>
  <c r="C11" i="14"/>
  <c r="E7" i="13" s="1"/>
  <c r="D20" i="8"/>
  <c r="L104" i="11"/>
  <c r="E20" i="8"/>
  <c r="F5" i="8"/>
  <c r="F6" i="8"/>
  <c r="E10" i="8"/>
  <c r="E19" i="8"/>
  <c r="E25" i="8"/>
  <c r="E4" i="8"/>
  <c r="O30" i="11" l="1"/>
  <c r="I30" i="11"/>
  <c r="G28" i="8"/>
  <c r="N30" i="11"/>
  <c r="N104" i="11"/>
  <c r="G30" i="11"/>
  <c r="G32" i="11" s="1"/>
  <c r="H31" i="11" s="1"/>
  <c r="K30" i="11"/>
  <c r="J30" i="11"/>
  <c r="J104" i="11"/>
  <c r="G27" i="11"/>
  <c r="H26" i="11" s="1"/>
  <c r="H27" i="11" s="1"/>
  <c r="I26" i="11" s="1"/>
  <c r="M30" i="11"/>
  <c r="H30" i="11"/>
  <c r="F10" i="8"/>
  <c r="G6" i="8"/>
  <c r="F19" i="8"/>
  <c r="F20" i="8"/>
  <c r="G5" i="8"/>
  <c r="E8" i="8"/>
  <c r="E11" i="8" s="1"/>
  <c r="F17" i="8" s="1"/>
  <c r="F25" i="8" s="1"/>
  <c r="F4" i="8"/>
  <c r="F8" i="8" s="1"/>
  <c r="F11" i="8" s="1"/>
  <c r="G17" i="8" s="1"/>
  <c r="O91" i="11"/>
  <c r="J91" i="11"/>
  <c r="L91" i="11"/>
  <c r="K91" i="11"/>
  <c r="M91" i="11"/>
  <c r="I91" i="11"/>
  <c r="N91" i="11"/>
  <c r="H28" i="8" l="1"/>
  <c r="G34" i="11"/>
  <c r="G54" i="11" s="1"/>
  <c r="G83" i="11" s="1"/>
  <c r="H32" i="11"/>
  <c r="I31" i="11" s="1"/>
  <c r="I32" i="11" s="1"/>
  <c r="J31" i="11" s="1"/>
  <c r="J32" i="11" s="1"/>
  <c r="K31" i="11" s="1"/>
  <c r="K32" i="11" s="1"/>
  <c r="L31" i="11" s="1"/>
  <c r="L32" i="11" s="1"/>
  <c r="M31" i="11" s="1"/>
  <c r="M32" i="11" s="1"/>
  <c r="N31" i="11" s="1"/>
  <c r="N32" i="11" s="1"/>
  <c r="O31" i="11" s="1"/>
  <c r="O32" i="11" s="1"/>
  <c r="P31" i="11" s="1"/>
  <c r="P32" i="11" s="1"/>
  <c r="G10" i="8"/>
  <c r="H5" i="8"/>
  <c r="G19" i="8"/>
  <c r="G20" i="8"/>
  <c r="H6" i="8"/>
  <c r="G25" i="8"/>
  <c r="G4" i="8"/>
  <c r="P91" i="11"/>
  <c r="G91" i="11"/>
  <c r="H91" i="11"/>
  <c r="I27" i="11"/>
  <c r="J26" i="11" s="1"/>
  <c r="I28" i="8" l="1"/>
  <c r="G66" i="11"/>
  <c r="H34" i="11"/>
  <c r="H35" i="11" s="1"/>
  <c r="F36" i="11"/>
  <c r="G35" i="11"/>
  <c r="G55" i="11"/>
  <c r="G67" i="11" s="1"/>
  <c r="G86" i="11" s="1"/>
  <c r="G105" i="11" s="1"/>
  <c r="I34" i="11"/>
  <c r="H4" i="8"/>
  <c r="H10" i="8"/>
  <c r="I5" i="8"/>
  <c r="H19" i="8"/>
  <c r="H20" i="8"/>
  <c r="I6" i="8"/>
  <c r="G8" i="8"/>
  <c r="G11" i="8" s="1"/>
  <c r="H17" i="8" s="1"/>
  <c r="H25" i="8" s="1"/>
  <c r="J27" i="11"/>
  <c r="K26" i="11" s="1"/>
  <c r="G74" i="11"/>
  <c r="H87" i="11"/>
  <c r="J28" i="8" l="1"/>
  <c r="G58" i="11"/>
  <c r="G60" i="11" s="1"/>
  <c r="G62" i="11" s="1"/>
  <c r="G64" i="11" s="1"/>
  <c r="G76" i="11"/>
  <c r="H54" i="11"/>
  <c r="H55" i="11"/>
  <c r="H67" i="11" s="1"/>
  <c r="G87" i="11"/>
  <c r="K27" i="11"/>
  <c r="L26" i="11" s="1"/>
  <c r="J34" i="11"/>
  <c r="I4" i="8"/>
  <c r="I10" i="8"/>
  <c r="J6" i="8"/>
  <c r="I19" i="8"/>
  <c r="I20" i="8"/>
  <c r="J5" i="8"/>
  <c r="H8" i="8"/>
  <c r="H11" i="8" s="1"/>
  <c r="I17" i="8" s="1"/>
  <c r="I25" i="8" s="1"/>
  <c r="I55" i="11"/>
  <c r="I67" i="11" s="1"/>
  <c r="I35" i="11"/>
  <c r="I54" i="11"/>
  <c r="K28" i="8" l="1"/>
  <c r="H83" i="11"/>
  <c r="H66" i="11"/>
  <c r="H74" i="11" s="1"/>
  <c r="H76" i="11"/>
  <c r="H86" i="11"/>
  <c r="H105" i="11" s="1"/>
  <c r="H58" i="11"/>
  <c r="H60" i="11" s="1"/>
  <c r="H62" i="11" s="1"/>
  <c r="H64" i="11" s="1"/>
  <c r="K34" i="11"/>
  <c r="K55" i="11" s="1"/>
  <c r="K67" i="11" s="1"/>
  <c r="G84" i="11"/>
  <c r="G68" i="11"/>
  <c r="G71" i="11" s="1"/>
  <c r="G73" i="11" s="1"/>
  <c r="I8" i="8"/>
  <c r="I11" i="8" s="1"/>
  <c r="J17" i="8" s="1"/>
  <c r="J25" i="8" s="1"/>
  <c r="I87" i="11"/>
  <c r="I76" i="11"/>
  <c r="I86" i="11"/>
  <c r="I105" i="11" s="1"/>
  <c r="J54" i="11"/>
  <c r="J55" i="11"/>
  <c r="J67" i="11" s="1"/>
  <c r="J35" i="11"/>
  <c r="I83" i="11"/>
  <c r="I58" i="11"/>
  <c r="I60" i="11" s="1"/>
  <c r="I62" i="11" s="1"/>
  <c r="I64" i="11" s="1"/>
  <c r="I66" i="11"/>
  <c r="J20" i="8"/>
  <c r="K5" i="8"/>
  <c r="J19" i="8"/>
  <c r="K6" i="8"/>
  <c r="J4" i="8"/>
  <c r="L27" i="11"/>
  <c r="M26" i="11" s="1"/>
  <c r="L28" i="8" l="1"/>
  <c r="H68" i="11"/>
  <c r="H84" i="11"/>
  <c r="K35" i="11"/>
  <c r="K54" i="11"/>
  <c r="K66" i="11" s="1"/>
  <c r="L34" i="11"/>
  <c r="L35" i="11" s="1"/>
  <c r="J83" i="11"/>
  <c r="J58" i="11"/>
  <c r="J60" i="11" s="1"/>
  <c r="J62" i="11" s="1"/>
  <c r="J64" i="11" s="1"/>
  <c r="J66" i="11"/>
  <c r="J8" i="8"/>
  <c r="K4" i="8"/>
  <c r="I68" i="11"/>
  <c r="I75" i="11" s="1"/>
  <c r="I84" i="11"/>
  <c r="G75" i="11"/>
  <c r="G78" i="11" s="1"/>
  <c r="J87" i="11"/>
  <c r="M27" i="11"/>
  <c r="N26" i="11" s="1"/>
  <c r="L5" i="8"/>
  <c r="K19" i="8"/>
  <c r="L6" i="8"/>
  <c r="L4" i="8" s="1"/>
  <c r="L8" i="8" s="1"/>
  <c r="L11" i="8" s="1"/>
  <c r="M17" i="8" s="1"/>
  <c r="K20" i="8"/>
  <c r="K10" i="8"/>
  <c r="I74" i="11"/>
  <c r="J86" i="11"/>
  <c r="J105" i="11" s="1"/>
  <c r="J76" i="11"/>
  <c r="K76" i="11"/>
  <c r="K86" i="11"/>
  <c r="K105" i="11" s="1"/>
  <c r="M28" i="8" l="1"/>
  <c r="K8" i="8"/>
  <c r="K11" i="8" s="1"/>
  <c r="L17" i="8" s="1"/>
  <c r="L25" i="8" s="1"/>
  <c r="K83" i="11"/>
  <c r="H75" i="11"/>
  <c r="H71" i="11"/>
  <c r="H73" i="11" s="1"/>
  <c r="L54" i="11"/>
  <c r="L83" i="11" s="1"/>
  <c r="L55" i="11"/>
  <c r="L67" i="11" s="1"/>
  <c r="L86" i="11" s="1"/>
  <c r="L105" i="11" s="1"/>
  <c r="M34" i="11"/>
  <c r="M35" i="11" s="1"/>
  <c r="J11" i="8"/>
  <c r="K17" i="8" s="1"/>
  <c r="K25" i="8" s="1"/>
  <c r="J10" i="8"/>
  <c r="J74" i="11"/>
  <c r="L19" i="8"/>
  <c r="L20" i="8"/>
  <c r="L10" i="8"/>
  <c r="M6" i="8"/>
  <c r="M5" i="8"/>
  <c r="N27" i="11"/>
  <c r="O26" i="11" s="1"/>
  <c r="K74" i="11"/>
  <c r="K87" i="11"/>
  <c r="K58" i="11"/>
  <c r="K60" i="11" s="1"/>
  <c r="K62" i="11" s="1"/>
  <c r="K64" i="11" s="1"/>
  <c r="I71" i="11"/>
  <c r="I73" i="11" s="1"/>
  <c r="I78" i="11" s="1"/>
  <c r="J84" i="11"/>
  <c r="J68" i="11"/>
  <c r="J75" i="11" s="1"/>
  <c r="N28" i="8" l="1"/>
  <c r="L66" i="11"/>
  <c r="L74" i="11" s="1"/>
  <c r="H78" i="11"/>
  <c r="H85" i="11" s="1"/>
  <c r="H88" i="11" s="1"/>
  <c r="L76" i="11"/>
  <c r="M55" i="11"/>
  <c r="M67" i="11" s="1"/>
  <c r="M76" i="11" s="1"/>
  <c r="M54" i="11"/>
  <c r="M83" i="11" s="1"/>
  <c r="N34" i="11"/>
  <c r="N54" i="11" s="1"/>
  <c r="G85" i="11"/>
  <c r="G88" i="11" s="1"/>
  <c r="G90" i="11" s="1"/>
  <c r="G92" i="11" s="1"/>
  <c r="G80" i="11"/>
  <c r="G96" i="11" s="1"/>
  <c r="N6" i="8"/>
  <c r="N4" i="8" s="1"/>
  <c r="N8" i="8" s="1"/>
  <c r="N11" i="8" s="1"/>
  <c r="O17" i="8" s="1"/>
  <c r="M10" i="8"/>
  <c r="N5" i="8"/>
  <c r="M19" i="8"/>
  <c r="M20" i="8"/>
  <c r="M25" i="8"/>
  <c r="J71" i="11"/>
  <c r="J73" i="11" s="1"/>
  <c r="J78" i="11" s="1"/>
  <c r="I85" i="11"/>
  <c r="I88" i="11" s="1"/>
  <c r="I80" i="11"/>
  <c r="L87" i="11"/>
  <c r="M4" i="8"/>
  <c r="K84" i="11"/>
  <c r="K68" i="11"/>
  <c r="O27" i="11"/>
  <c r="P26" i="11" s="1"/>
  <c r="L58" i="11"/>
  <c r="L60" i="11" s="1"/>
  <c r="L62" i="11" s="1"/>
  <c r="L64" i="11" s="1"/>
  <c r="H80" i="11" l="1"/>
  <c r="H107" i="11" s="1"/>
  <c r="M66" i="11"/>
  <c r="O28" i="8"/>
  <c r="H95" i="11"/>
  <c r="H90" i="11"/>
  <c r="H92" i="11" s="1"/>
  <c r="M86" i="11"/>
  <c r="M105" i="11" s="1"/>
  <c r="H96" i="11"/>
  <c r="N55" i="11"/>
  <c r="N67" i="11" s="1"/>
  <c r="N76" i="11" s="1"/>
  <c r="N35" i="11"/>
  <c r="G95" i="11"/>
  <c r="G97" i="11" s="1"/>
  <c r="G99" i="11" s="1"/>
  <c r="G93" i="11"/>
  <c r="G107" i="11"/>
  <c r="G36" i="11"/>
  <c r="G37" i="11" s="1"/>
  <c r="P27" i="11"/>
  <c r="P34" i="11" s="1"/>
  <c r="K75" i="11"/>
  <c r="K71" i="11"/>
  <c r="K73" i="11" s="1"/>
  <c r="N86" i="11"/>
  <c r="N105" i="11" s="1"/>
  <c r="M74" i="11"/>
  <c r="O34" i="11"/>
  <c r="M87" i="11"/>
  <c r="L84" i="11"/>
  <c r="L68" i="11"/>
  <c r="I107" i="11"/>
  <c r="I96" i="11"/>
  <c r="I36" i="11"/>
  <c r="J80" i="11"/>
  <c r="J85" i="11"/>
  <c r="J88" i="11" s="1"/>
  <c r="N10" i="8"/>
  <c r="O5" i="8"/>
  <c r="N19" i="8"/>
  <c r="N20" i="8"/>
  <c r="O6" i="8"/>
  <c r="O4" i="8" s="1"/>
  <c r="O8" i="8" s="1"/>
  <c r="O11" i="8" s="1"/>
  <c r="P17" i="8" s="1"/>
  <c r="M58" i="11"/>
  <c r="M60" i="11" s="1"/>
  <c r="M62" i="11" s="1"/>
  <c r="M64" i="11" s="1"/>
  <c r="M8" i="8"/>
  <c r="M11" i="8" s="1"/>
  <c r="N17" i="8" s="1"/>
  <c r="N25" i="8" s="1"/>
  <c r="I95" i="11"/>
  <c r="I90" i="11"/>
  <c r="I92" i="11" s="1"/>
  <c r="I93" i="11" s="1"/>
  <c r="N83" i="11"/>
  <c r="N66" i="11"/>
  <c r="H36" i="11" l="1"/>
  <c r="H40" i="11" s="1"/>
  <c r="H41" i="11" s="1"/>
  <c r="H93" i="11"/>
  <c r="P28" i="8"/>
  <c r="H97" i="11"/>
  <c r="H99" i="11" s="1"/>
  <c r="G103" i="11"/>
  <c r="G106" i="11" s="1"/>
  <c r="G108" i="11" s="1"/>
  <c r="G109" i="11" s="1"/>
  <c r="G40" i="11"/>
  <c r="G41" i="11" s="1"/>
  <c r="O10" i="8"/>
  <c r="P5" i="8"/>
  <c r="P6" i="8"/>
  <c r="P4" i="8" s="1"/>
  <c r="P8" i="8" s="1"/>
  <c r="P11" i="8" s="1"/>
  <c r="Q17" i="8" s="1"/>
  <c r="O19" i="8"/>
  <c r="O20" i="8"/>
  <c r="O25" i="8"/>
  <c r="I37" i="11"/>
  <c r="I45" i="11" s="1"/>
  <c r="I48" i="11" s="1"/>
  <c r="I103" i="11"/>
  <c r="I106" i="11" s="1"/>
  <c r="I108" i="11" s="1"/>
  <c r="I109" i="11" s="1"/>
  <c r="I40" i="11"/>
  <c r="I41" i="11" s="1"/>
  <c r="N87" i="11"/>
  <c r="J95" i="11"/>
  <c r="J90" i="11"/>
  <c r="J92" i="11" s="1"/>
  <c r="J93" i="11" s="1"/>
  <c r="O55" i="11"/>
  <c r="O67" i="11" s="1"/>
  <c r="O54" i="11"/>
  <c r="O35" i="11"/>
  <c r="G45" i="11"/>
  <c r="P55" i="11"/>
  <c r="P67" i="11" s="1"/>
  <c r="P35" i="11"/>
  <c r="P54" i="11"/>
  <c r="N58" i="11"/>
  <c r="N60" i="11" s="1"/>
  <c r="N62" i="11" s="1"/>
  <c r="N64" i="11" s="1"/>
  <c r="I97" i="11"/>
  <c r="I99" i="11" s="1"/>
  <c r="N74" i="11"/>
  <c r="M68" i="11"/>
  <c r="M84" i="11"/>
  <c r="J36" i="11"/>
  <c r="J107" i="11"/>
  <c r="J96" i="11"/>
  <c r="L75" i="11"/>
  <c r="L71" i="11"/>
  <c r="L73" i="11" s="1"/>
  <c r="K78" i="11"/>
  <c r="H37" i="11" l="1"/>
  <c r="H45" i="11" s="1"/>
  <c r="H48" i="11" s="1"/>
  <c r="H103" i="11"/>
  <c r="H106" i="11" s="1"/>
  <c r="H108" i="11" s="1"/>
  <c r="H109" i="11" s="1"/>
  <c r="Q28" i="8"/>
  <c r="F10" i="17"/>
  <c r="H49" i="11"/>
  <c r="E9" i="17"/>
  <c r="G11" i="17"/>
  <c r="L78" i="11"/>
  <c r="L80" i="11" s="1"/>
  <c r="I49" i="11"/>
  <c r="G10" i="17"/>
  <c r="H11" i="17"/>
  <c r="F9" i="17"/>
  <c r="K80" i="11"/>
  <c r="K85" i="11"/>
  <c r="K88" i="11" s="1"/>
  <c r="M75" i="11"/>
  <c r="M71" i="11"/>
  <c r="M73" i="11" s="1"/>
  <c r="N84" i="11"/>
  <c r="N68" i="11"/>
  <c r="O58" i="11"/>
  <c r="O60" i="11" s="1"/>
  <c r="O62" i="11" s="1"/>
  <c r="O64" i="11" s="1"/>
  <c r="O66" i="11"/>
  <c r="O83" i="11"/>
  <c r="J37" i="11"/>
  <c r="J45" i="11" s="1"/>
  <c r="J48" i="11" s="1"/>
  <c r="J103" i="11"/>
  <c r="J106" i="11" s="1"/>
  <c r="J108" i="11" s="1"/>
  <c r="J109" i="11" s="1"/>
  <c r="J40" i="11"/>
  <c r="J41" i="11" s="1"/>
  <c r="P66" i="11"/>
  <c r="P83" i="11"/>
  <c r="P58" i="11"/>
  <c r="P60" i="11" s="1"/>
  <c r="P62" i="11" s="1"/>
  <c r="P64" i="11" s="1"/>
  <c r="O76" i="11"/>
  <c r="O86" i="11"/>
  <c r="O105" i="11" s="1"/>
  <c r="Q5" i="8"/>
  <c r="P19" i="8"/>
  <c r="P20" i="8"/>
  <c r="Q6" i="8"/>
  <c r="Q4" i="8" s="1"/>
  <c r="P10" i="8"/>
  <c r="P25" i="8"/>
  <c r="O87" i="11"/>
  <c r="P76" i="11"/>
  <c r="P86" i="11"/>
  <c r="P105" i="11" s="1"/>
  <c r="G48" i="11"/>
  <c r="J97" i="11"/>
  <c r="J99" i="11" s="1"/>
  <c r="L85" i="11" l="1"/>
  <c r="L88" i="11" s="1"/>
  <c r="Q8" i="8"/>
  <c r="Q11" i="8" s="1"/>
  <c r="R17" i="8" s="1"/>
  <c r="G49" i="11"/>
  <c r="F11" i="17"/>
  <c r="E10" i="17"/>
  <c r="D9" i="17"/>
  <c r="G47" i="11"/>
  <c r="J49" i="11"/>
  <c r="G9" i="17"/>
  <c r="G12" i="17" s="1"/>
  <c r="G17" i="17" s="1"/>
  <c r="H10" i="17"/>
  <c r="I11" i="17"/>
  <c r="P68" i="11"/>
  <c r="P75" i="11" s="1"/>
  <c r="P84" i="11"/>
  <c r="N75" i="11"/>
  <c r="N71" i="11"/>
  <c r="N73" i="11" s="1"/>
  <c r="K90" i="11"/>
  <c r="K92" i="11" s="1"/>
  <c r="K93" i="11" s="1"/>
  <c r="K95" i="11"/>
  <c r="L95" i="11"/>
  <c r="L90" i="11"/>
  <c r="L92" i="11" s="1"/>
  <c r="L93" i="11" s="1"/>
  <c r="O74" i="11"/>
  <c r="M78" i="11"/>
  <c r="Q19" i="8"/>
  <c r="R6" i="8"/>
  <c r="R4" i="8" s="1"/>
  <c r="R8" i="8" s="1"/>
  <c r="R11" i="8" s="1"/>
  <c r="S17" i="8" s="1"/>
  <c r="R5" i="8"/>
  <c r="Q20" i="8"/>
  <c r="Q10" i="8"/>
  <c r="Q25" i="8"/>
  <c r="O84" i="11"/>
  <c r="O68" i="11"/>
  <c r="O75" i="11" s="1"/>
  <c r="P87" i="11"/>
  <c r="P74" i="11"/>
  <c r="L96" i="11"/>
  <c r="L107" i="11"/>
  <c r="L36" i="11"/>
  <c r="K107" i="11"/>
  <c r="K36" i="11"/>
  <c r="K96" i="11"/>
  <c r="N78" i="11" l="1"/>
  <c r="N80" i="11" s="1"/>
  <c r="P71" i="11"/>
  <c r="P73" i="11" s="1"/>
  <c r="P78" i="11" s="1"/>
  <c r="O71" i="11"/>
  <c r="O73" i="11" s="1"/>
  <c r="O78" i="11" s="1"/>
  <c r="O85" i="11" s="1"/>
  <c r="O88" i="11" s="1"/>
  <c r="E12" i="17"/>
  <c r="E17" i="17" s="1"/>
  <c r="D12" i="17"/>
  <c r="F12" i="17"/>
  <c r="F17" i="17" s="1"/>
  <c r="L37" i="11"/>
  <c r="L45" i="11" s="1"/>
  <c r="L48" i="11" s="1"/>
  <c r="L40" i="11"/>
  <c r="L41" i="11" s="1"/>
  <c r="L103" i="11"/>
  <c r="L106" i="11" s="1"/>
  <c r="L108" i="11" s="1"/>
  <c r="L109" i="11" s="1"/>
  <c r="K37" i="11"/>
  <c r="K40" i="11"/>
  <c r="K41" i="11" s="1"/>
  <c r="K103" i="11"/>
  <c r="K106" i="11" s="1"/>
  <c r="K108" i="11" s="1"/>
  <c r="K109" i="11" s="1"/>
  <c r="S6" i="8"/>
  <c r="S4" i="8" s="1"/>
  <c r="R20" i="8"/>
  <c r="S5" i="8"/>
  <c r="R10" i="8"/>
  <c r="R19" i="8"/>
  <c r="R25" i="8"/>
  <c r="M85" i="11"/>
  <c r="M88" i="11" s="1"/>
  <c r="M80" i="11"/>
  <c r="L97" i="11"/>
  <c r="L99" i="11" s="1"/>
  <c r="K97" i="11"/>
  <c r="K99" i="11" s="1"/>
  <c r="S8" i="8" l="1"/>
  <c r="S11" i="8" s="1"/>
  <c r="T17" i="8" s="1"/>
  <c r="N85" i="11"/>
  <c r="N88" i="11" s="1"/>
  <c r="N90" i="11" s="1"/>
  <c r="N92" i="11" s="1"/>
  <c r="N93" i="11" s="1"/>
  <c r="O80" i="11"/>
  <c r="O107" i="11" s="1"/>
  <c r="D17" i="17"/>
  <c r="L49" i="11"/>
  <c r="K11" i="17"/>
  <c r="I9" i="17"/>
  <c r="J10" i="17"/>
  <c r="O90" i="11"/>
  <c r="O92" i="11" s="1"/>
  <c r="O95" i="11"/>
  <c r="M95" i="11"/>
  <c r="M90" i="11"/>
  <c r="M92" i="11" s="1"/>
  <c r="M93" i="11" s="1"/>
  <c r="K45" i="11"/>
  <c r="S10" i="8"/>
  <c r="T5" i="8"/>
  <c r="T6" i="8"/>
  <c r="T4" i="8" s="1"/>
  <c r="S20" i="8"/>
  <c r="S19" i="8"/>
  <c r="S25" i="8"/>
  <c r="N36" i="11"/>
  <c r="N96" i="11"/>
  <c r="N107" i="11"/>
  <c r="M96" i="11"/>
  <c r="M107" i="11"/>
  <c r="M36" i="11"/>
  <c r="P85" i="11"/>
  <c r="P88" i="11" s="1"/>
  <c r="P80" i="11"/>
  <c r="T8" i="8" l="1"/>
  <c r="T11" i="8" s="1"/>
  <c r="U17" i="8" s="1"/>
  <c r="N95" i="11"/>
  <c r="N97" i="11" s="1"/>
  <c r="N99" i="11" s="1"/>
  <c r="O36" i="11"/>
  <c r="O37" i="11" s="1"/>
  <c r="O45" i="11" s="1"/>
  <c r="O48" i="11" s="1"/>
  <c r="O96" i="11"/>
  <c r="O97" i="11" s="1"/>
  <c r="O99" i="11" s="1"/>
  <c r="O93" i="11"/>
  <c r="P36" i="11"/>
  <c r="P96" i="11"/>
  <c r="P107" i="11"/>
  <c r="M97" i="11"/>
  <c r="M99" i="11" s="1"/>
  <c r="P90" i="11"/>
  <c r="P92" i="11" s="1"/>
  <c r="P93" i="11" s="1"/>
  <c r="P95" i="11"/>
  <c r="K48" i="11"/>
  <c r="N37" i="11"/>
  <c r="N45" i="11" s="1"/>
  <c r="N48" i="11" s="1"/>
  <c r="N40" i="11"/>
  <c r="N41" i="11" s="1"/>
  <c r="N103" i="11"/>
  <c r="N106" i="11" s="1"/>
  <c r="N108" i="11" s="1"/>
  <c r="N109" i="11" s="1"/>
  <c r="M37" i="11"/>
  <c r="M103" i="11"/>
  <c r="M106" i="11" s="1"/>
  <c r="M108" i="11" s="1"/>
  <c r="M109" i="11" s="1"/>
  <c r="M40" i="11"/>
  <c r="M41" i="11" s="1"/>
  <c r="T19" i="8"/>
  <c r="T20" i="8"/>
  <c r="T10" i="8"/>
  <c r="U6" i="8"/>
  <c r="U4" i="8" s="1"/>
  <c r="U5" i="8"/>
  <c r="T25" i="8"/>
  <c r="U8" i="8" l="1"/>
  <c r="U11" i="8" s="1"/>
  <c r="V17" i="8" s="1"/>
  <c r="O40" i="11"/>
  <c r="O41" i="11" s="1"/>
  <c r="O103" i="11"/>
  <c r="O106" i="11" s="1"/>
  <c r="O108" i="11" s="1"/>
  <c r="O109" i="11" s="1"/>
  <c r="O49" i="11"/>
  <c r="M10" i="17"/>
  <c r="N11" i="17"/>
  <c r="L9" i="17"/>
  <c r="K49" i="11"/>
  <c r="J11" i="17"/>
  <c r="I10" i="17"/>
  <c r="H9" i="17"/>
  <c r="N49" i="11"/>
  <c r="K9" i="17"/>
  <c r="L10" i="17"/>
  <c r="M11" i="17"/>
  <c r="P97" i="11"/>
  <c r="P99" i="11" s="1"/>
  <c r="V5" i="8"/>
  <c r="U19" i="8"/>
  <c r="V6" i="8"/>
  <c r="V4" i="8" s="1"/>
  <c r="U10" i="8"/>
  <c r="U20" i="8"/>
  <c r="U25" i="8"/>
  <c r="M45" i="11"/>
  <c r="P37" i="11"/>
  <c r="P45" i="11" s="1"/>
  <c r="P48" i="11" s="1"/>
  <c r="P40" i="11"/>
  <c r="P41" i="11" s="1"/>
  <c r="P103" i="11"/>
  <c r="P106" i="11" s="1"/>
  <c r="P108" i="11" s="1"/>
  <c r="P109" i="11" s="1"/>
  <c r="V8" i="8" l="1"/>
  <c r="V11" i="8" s="1"/>
  <c r="W17" i="8" s="1"/>
  <c r="I12" i="17"/>
  <c r="I17" i="17" s="1"/>
  <c r="H12" i="17"/>
  <c r="P49" i="11"/>
  <c r="N10" i="17"/>
  <c r="N12" i="17" s="1"/>
  <c r="N17" i="17" s="1"/>
  <c r="O11" i="17"/>
  <c r="O12" i="17" s="1"/>
  <c r="O17" i="17" s="1"/>
  <c r="M9" i="17"/>
  <c r="M12" i="17" s="1"/>
  <c r="M17" i="17" s="1"/>
  <c r="M48" i="11"/>
  <c r="E47" i="11"/>
  <c r="E39" i="11"/>
  <c r="E40" i="11" s="1"/>
  <c r="V19" i="8"/>
  <c r="V20" i="8"/>
  <c r="W5" i="8"/>
  <c r="W6" i="8"/>
  <c r="W4" i="8" s="1"/>
  <c r="V25" i="8"/>
  <c r="V10" i="8" l="1"/>
  <c r="E49" i="11"/>
  <c r="E4" i="13" s="1"/>
  <c r="E48" i="11"/>
  <c r="W8" i="8"/>
  <c r="W11" i="8" s="1"/>
  <c r="X17" i="8" s="1"/>
  <c r="M49" i="11"/>
  <c r="K10" i="17"/>
  <c r="J9" i="17"/>
  <c r="L11" i="17"/>
  <c r="H17" i="17"/>
  <c r="W20" i="8"/>
  <c r="X5" i="8"/>
  <c r="W19" i="8"/>
  <c r="X6" i="8"/>
  <c r="X4" i="8" s="1"/>
  <c r="X8" i="8" s="1"/>
  <c r="X11" i="8" s="1"/>
  <c r="Y17" i="8" s="1"/>
  <c r="W10" i="8"/>
  <c r="W25" i="8"/>
  <c r="V10" i="17" l="1"/>
  <c r="K12" i="17"/>
  <c r="K17" i="17" s="1"/>
  <c r="L12" i="17"/>
  <c r="L17" i="17" s="1"/>
  <c r="V11" i="17"/>
  <c r="J12" i="17"/>
  <c r="V9" i="17"/>
  <c r="X10" i="8"/>
  <c r="Y5" i="8"/>
  <c r="X20" i="8"/>
  <c r="X19" i="8"/>
  <c r="Y6" i="8"/>
  <c r="Y4" i="8" s="1"/>
  <c r="Y8" i="8" s="1"/>
  <c r="Y11" i="8" s="1"/>
  <c r="Z17" i="8" s="1"/>
  <c r="X25" i="8"/>
  <c r="J17" i="17" l="1"/>
  <c r="V17" i="17" s="1"/>
  <c r="V12" i="17"/>
  <c r="Y20" i="8"/>
  <c r="Y10" i="8"/>
  <c r="Y19" i="8"/>
  <c r="Z6" i="8"/>
  <c r="Z4" i="8" s="1"/>
  <c r="Z8" i="8" s="1"/>
  <c r="Z11" i="8" s="1"/>
  <c r="AA17" i="8" s="1"/>
  <c r="Z5" i="8"/>
  <c r="Y25" i="8"/>
  <c r="Z10" i="8" l="1"/>
  <c r="Z20" i="8"/>
  <c r="AA5" i="8"/>
  <c r="Z19" i="8"/>
  <c r="AA6" i="8"/>
  <c r="AA4" i="8" s="1"/>
  <c r="AA8" i="8" s="1"/>
  <c r="AA11" i="8" s="1"/>
  <c r="AB17" i="8" s="1"/>
  <c r="Z25" i="8"/>
  <c r="AA19" i="8" l="1"/>
  <c r="AB6" i="8"/>
  <c r="AB4" i="8" s="1"/>
  <c r="AB8" i="8" s="1"/>
  <c r="AB11" i="8" s="1"/>
  <c r="AC17" i="8" s="1"/>
  <c r="AA10" i="8"/>
  <c r="AB5" i="8"/>
  <c r="AA20" i="8"/>
  <c r="AA25" i="8"/>
  <c r="AB20" i="8" l="1"/>
  <c r="AC5" i="8"/>
  <c r="AC6" i="8"/>
  <c r="AC4" i="8" s="1"/>
  <c r="AC8" i="8" s="1"/>
  <c r="AC11" i="8" s="1"/>
  <c r="AD17" i="8" s="1"/>
  <c r="AB25" i="8"/>
  <c r="AB10" i="8"/>
  <c r="AB19" i="8"/>
  <c r="AC10" i="8" l="1"/>
  <c r="AC19" i="8"/>
  <c r="AC20" i="8"/>
  <c r="AD5" i="8"/>
  <c r="AD6" i="8"/>
  <c r="AD4" i="8" s="1"/>
  <c r="AD8" i="8" s="1"/>
  <c r="AD11" i="8" s="1"/>
  <c r="AE17" i="8" s="1"/>
  <c r="AC25" i="8"/>
  <c r="AD10" i="8" l="1"/>
  <c r="AD19" i="8"/>
  <c r="AE6" i="8"/>
  <c r="AE4" i="8" s="1"/>
  <c r="AE8" i="8" s="1"/>
  <c r="AE11" i="8" s="1"/>
  <c r="AF17" i="8" s="1"/>
  <c r="AE5" i="8"/>
  <c r="AD20" i="8"/>
  <c r="AD25" i="8"/>
  <c r="AE10" i="8" l="1"/>
  <c r="AE19" i="8"/>
  <c r="AF5" i="8"/>
  <c r="AF6" i="8"/>
  <c r="AF4" i="8" s="1"/>
  <c r="AF8" i="8" s="1"/>
  <c r="AF11" i="8" s="1"/>
  <c r="AG17" i="8" s="1"/>
  <c r="AE20" i="8"/>
  <c r="AE25" i="8"/>
  <c r="AF10" i="8" l="1"/>
  <c r="AF19" i="8"/>
  <c r="AG5" i="8"/>
  <c r="AG6" i="8"/>
  <c r="AG4" i="8" s="1"/>
  <c r="AG8" i="8" s="1"/>
  <c r="AG11" i="8" s="1"/>
  <c r="AH17" i="8" s="1"/>
  <c r="AF20" i="8"/>
  <c r="AF25" i="8"/>
  <c r="AG10" i="8" l="1"/>
  <c r="AG19" i="8"/>
  <c r="AH5" i="8"/>
  <c r="AH6" i="8"/>
  <c r="AH4" i="8" s="1"/>
  <c r="AH8" i="8" s="1"/>
  <c r="AH11" i="8" s="1"/>
  <c r="AI17" i="8" s="1"/>
  <c r="AG20" i="8"/>
  <c r="AG25" i="8"/>
  <c r="AH19" i="8" l="1"/>
  <c r="AI6" i="8"/>
  <c r="AI4" i="8" s="1"/>
  <c r="AI8" i="8" s="1"/>
  <c r="AI11" i="8" s="1"/>
  <c r="AJ17" i="8" s="1"/>
  <c r="AH10" i="8"/>
  <c r="AI5" i="8"/>
  <c r="AH20" i="8"/>
  <c r="AH25" i="8"/>
  <c r="AJ6" i="8" l="1"/>
  <c r="AJ4" i="8" s="1"/>
  <c r="AJ8" i="8" s="1"/>
  <c r="AJ11" i="8" s="1"/>
  <c r="AK17" i="8" s="1"/>
  <c r="AI19" i="8"/>
  <c r="AI20" i="8"/>
  <c r="AI10" i="8"/>
  <c r="AI25" i="8"/>
  <c r="AJ5" i="8"/>
  <c r="AJ10" i="8" l="1"/>
  <c r="AK5" i="8"/>
  <c r="AJ20" i="8"/>
  <c r="AK6" i="8"/>
  <c r="AK4" i="8" s="1"/>
  <c r="AK8" i="8" s="1"/>
  <c r="AK11" i="8" s="1"/>
  <c r="AL17" i="8" s="1"/>
  <c r="AJ25" i="8"/>
  <c r="AJ19" i="8"/>
  <c r="AK19" i="8" l="1"/>
  <c r="AK10" i="8"/>
  <c r="AL6" i="8"/>
  <c r="AL4" i="8" s="1"/>
  <c r="AL8" i="8" s="1"/>
  <c r="AL11" i="8" s="1"/>
  <c r="AM17" i="8" s="1"/>
  <c r="AK20" i="8"/>
  <c r="AK25" i="8"/>
  <c r="AL5" i="8"/>
  <c r="AL10" i="8" l="1"/>
  <c r="AM5" i="8"/>
  <c r="AM6" i="8"/>
  <c r="AM4" i="8" s="1"/>
  <c r="AM8" i="8" s="1"/>
  <c r="AM11" i="8" s="1"/>
  <c r="AN17" i="8" s="1"/>
  <c r="AL19" i="8"/>
  <c r="AL20" i="8"/>
  <c r="AL25" i="8"/>
  <c r="AM20" i="8" l="1"/>
  <c r="AM19" i="8"/>
  <c r="AN6" i="8"/>
  <c r="AN4" i="8" s="1"/>
  <c r="AN8" i="8" s="1"/>
  <c r="AN11" i="8" s="1"/>
  <c r="AO17" i="8" s="1"/>
  <c r="AM10" i="8"/>
  <c r="AN5" i="8"/>
  <c r="AM25" i="8"/>
  <c r="AO6" i="8" l="1"/>
  <c r="AO4" i="8" s="1"/>
  <c r="AO8" i="8" s="1"/>
  <c r="AO11" i="8" s="1"/>
  <c r="AP17" i="8" s="1"/>
  <c r="AN20" i="8"/>
  <c r="AO5" i="8"/>
  <c r="AN10" i="8"/>
  <c r="AN19" i="8"/>
  <c r="AN25" i="8"/>
  <c r="AO10" i="8" l="1"/>
  <c r="AO19" i="8"/>
  <c r="AP5" i="8"/>
  <c r="AP6" i="8"/>
  <c r="AP4" i="8" s="1"/>
  <c r="AP8" i="8" s="1"/>
  <c r="AP11" i="8" s="1"/>
  <c r="AQ17" i="8" s="1"/>
  <c r="AO20" i="8"/>
  <c r="AO25" i="8"/>
  <c r="AP10" i="8" l="1"/>
  <c r="AP19" i="8"/>
  <c r="AQ5" i="8"/>
  <c r="AQ6" i="8"/>
  <c r="AQ4" i="8" s="1"/>
  <c r="AQ8" i="8" s="1"/>
  <c r="AQ11" i="8" s="1"/>
  <c r="AR17" i="8" s="1"/>
  <c r="AP20" i="8"/>
  <c r="AP25" i="8"/>
  <c r="AQ10" i="8" l="1"/>
  <c r="AQ19" i="8"/>
  <c r="AR6" i="8"/>
  <c r="AR4" i="8" s="1"/>
  <c r="AR8" i="8" s="1"/>
  <c r="AR11" i="8" s="1"/>
  <c r="AS17" i="8" s="1"/>
  <c r="AR5" i="8"/>
  <c r="AQ20" i="8"/>
  <c r="AQ25" i="8"/>
  <c r="AR10" i="8" l="1"/>
  <c r="AR19" i="8"/>
  <c r="AS5" i="8"/>
  <c r="AR20" i="8"/>
  <c r="AR25" i="8"/>
  <c r="AS6" i="8"/>
  <c r="AS4" i="8" s="1"/>
  <c r="AS8" i="8" s="1"/>
  <c r="AS11" i="8" s="1"/>
  <c r="AT17" i="8" s="1"/>
  <c r="AS10" i="8" l="1"/>
  <c r="AS19" i="8"/>
  <c r="AT5" i="8"/>
  <c r="AS20" i="8"/>
  <c r="AT6" i="8"/>
  <c r="AT4" i="8" s="1"/>
  <c r="AT8" i="8" s="1"/>
  <c r="AT11" i="8" s="1"/>
  <c r="AU17" i="8" s="1"/>
  <c r="AS25" i="8"/>
  <c r="AT19" i="8" l="1"/>
  <c r="AU6" i="8"/>
  <c r="AU4" i="8" s="1"/>
  <c r="AU8" i="8" s="1"/>
  <c r="AU11" i="8" s="1"/>
  <c r="AV17" i="8" s="1"/>
  <c r="AT10" i="8"/>
  <c r="AU5" i="8"/>
  <c r="AT20" i="8"/>
  <c r="AT25" i="8"/>
  <c r="AU19" i="8" l="1"/>
  <c r="AU10" i="8"/>
  <c r="AU20" i="8"/>
  <c r="AV6" i="8"/>
  <c r="AV4" i="8" s="1"/>
  <c r="AV8" i="8" s="1"/>
  <c r="AV11" i="8" s="1"/>
  <c r="AW17" i="8" s="1"/>
  <c r="AV5" i="8"/>
  <c r="AU25" i="8"/>
  <c r="AV10" i="8" l="1"/>
  <c r="AV20" i="8"/>
  <c r="AW5" i="8"/>
  <c r="AW6" i="8"/>
  <c r="AW4" i="8" s="1"/>
  <c r="AW8" i="8" s="1"/>
  <c r="AW11" i="8" s="1"/>
  <c r="AX17" i="8" s="1"/>
  <c r="AV19" i="8"/>
  <c r="AV25" i="8"/>
  <c r="AW19" i="8" l="1"/>
  <c r="AW10" i="8"/>
  <c r="AW20" i="8"/>
  <c r="AX5" i="8"/>
  <c r="AX6" i="8"/>
  <c r="AX4" i="8" s="1"/>
  <c r="AX8" i="8" s="1"/>
  <c r="AX11" i="8" s="1"/>
  <c r="AY17" i="8" s="1"/>
  <c r="AW25" i="8"/>
  <c r="AX10" i="8" l="1"/>
  <c r="AY6" i="8"/>
  <c r="AY4" i="8" s="1"/>
  <c r="AY8" i="8" s="1"/>
  <c r="AY11" i="8" s="1"/>
  <c r="AZ17" i="8" s="1"/>
  <c r="AY5" i="8"/>
  <c r="AX20" i="8"/>
  <c r="AX19" i="8"/>
  <c r="AX25" i="8"/>
  <c r="AY19" i="8" l="1"/>
  <c r="AZ6" i="8"/>
  <c r="AZ4" i="8" s="1"/>
  <c r="AZ8" i="8" s="1"/>
  <c r="AZ11" i="8" s="1"/>
  <c r="BA17" i="8" s="1"/>
  <c r="AY10" i="8"/>
  <c r="AZ5" i="8"/>
  <c r="AY20" i="8"/>
  <c r="AY25" i="8"/>
  <c r="AZ20" i="8" l="1"/>
  <c r="BA5" i="8"/>
  <c r="BA6" i="8"/>
  <c r="BA4" i="8" s="1"/>
  <c r="BA8" i="8" s="1"/>
  <c r="BA11" i="8" s="1"/>
  <c r="BB17" i="8" s="1"/>
  <c r="AZ25" i="8"/>
  <c r="AZ10" i="8"/>
  <c r="AZ19" i="8"/>
  <c r="BA10" i="8" l="1"/>
  <c r="BA19" i="8"/>
  <c r="BB6" i="8"/>
  <c r="BB4" i="8" s="1"/>
  <c r="BB8" i="8" s="1"/>
  <c r="BB11" i="8" s="1"/>
  <c r="BC17" i="8" s="1"/>
  <c r="BB5" i="8"/>
  <c r="BA20" i="8"/>
  <c r="BA25" i="8"/>
  <c r="BB10" i="8" l="1"/>
  <c r="BB19" i="8"/>
  <c r="BC5" i="8"/>
  <c r="BC6" i="8"/>
  <c r="BC4" i="8" s="1"/>
  <c r="BC8" i="8" s="1"/>
  <c r="BC11" i="8" s="1"/>
  <c r="BD17" i="8" s="1"/>
  <c r="BB25" i="8"/>
  <c r="BB20" i="8"/>
  <c r="BC10" i="8" l="1"/>
  <c r="BC19" i="8"/>
  <c r="BD5" i="8"/>
  <c r="BC20" i="8"/>
  <c r="BD6" i="8"/>
  <c r="BD4" i="8" s="1"/>
  <c r="BD8" i="8" s="1"/>
  <c r="BD11" i="8" s="1"/>
  <c r="BE17" i="8" s="1"/>
  <c r="BC25" i="8"/>
  <c r="BD10" i="8" l="1"/>
  <c r="BD19" i="8"/>
  <c r="BE5" i="8"/>
  <c r="BE6" i="8"/>
  <c r="BE4" i="8" s="1"/>
  <c r="BE8" i="8" s="1"/>
  <c r="BE11" i="8" s="1"/>
  <c r="BF17" i="8" s="1"/>
  <c r="BD20" i="8"/>
  <c r="BD25" i="8"/>
  <c r="BE10" i="8" l="1"/>
  <c r="BE19" i="8"/>
  <c r="BF5" i="8"/>
  <c r="BF6" i="8"/>
  <c r="BF4" i="8" s="1"/>
  <c r="BF8" i="8" s="1"/>
  <c r="BF11" i="8" s="1"/>
  <c r="BG17" i="8" s="1"/>
  <c r="BE20" i="8"/>
  <c r="BE25" i="8"/>
  <c r="BF19" i="8" l="1"/>
  <c r="BF20" i="8"/>
  <c r="BF10" i="8"/>
  <c r="BG5" i="8"/>
  <c r="BG6" i="8"/>
  <c r="BG4" i="8" s="1"/>
  <c r="BG8" i="8" s="1"/>
  <c r="BG11" i="8" s="1"/>
  <c r="BH17" i="8" s="1"/>
  <c r="BF25" i="8"/>
  <c r="BG19" i="8" l="1"/>
  <c r="BH6" i="8"/>
  <c r="BH4" i="8" s="1"/>
  <c r="BH8" i="8" s="1"/>
  <c r="BH11" i="8" s="1"/>
  <c r="BI17" i="8" s="1"/>
  <c r="BG10" i="8"/>
  <c r="BG20" i="8"/>
  <c r="BG25" i="8"/>
  <c r="BH5" i="8"/>
  <c r="BH10" i="8" l="1"/>
  <c r="BI6" i="8"/>
  <c r="BI4" i="8" s="1"/>
  <c r="BI8" i="8" s="1"/>
  <c r="BI11" i="8" s="1"/>
  <c r="BJ17" i="8" s="1"/>
  <c r="BI5" i="8"/>
  <c r="BH20" i="8"/>
  <c r="BH25" i="8"/>
  <c r="BH19" i="8"/>
  <c r="BI20" i="8" l="1"/>
  <c r="BI19" i="8"/>
  <c r="BJ6" i="8"/>
  <c r="BJ4" i="8" s="1"/>
  <c r="BJ8" i="8" s="1"/>
  <c r="BJ11" i="8" s="1"/>
  <c r="BK17" i="8" s="1"/>
  <c r="BI10" i="8"/>
  <c r="BI25" i="8"/>
  <c r="BJ5" i="8"/>
  <c r="BJ10" i="8" l="1"/>
  <c r="BJ20" i="8"/>
  <c r="BK5" i="8"/>
  <c r="BK6" i="8"/>
  <c r="BK4" i="8" s="1"/>
  <c r="BK8" i="8" s="1"/>
  <c r="BK11" i="8" s="1"/>
  <c r="BL17" i="8" s="1"/>
  <c r="BJ19" i="8"/>
  <c r="BJ25" i="8"/>
  <c r="BK19" i="8" l="1"/>
  <c r="BL6" i="8"/>
  <c r="BL4" i="8" s="1"/>
  <c r="BL8" i="8" s="1"/>
  <c r="BL11" i="8" s="1"/>
  <c r="BM17" i="8" s="1"/>
  <c r="BK10" i="8"/>
  <c r="BL5" i="8"/>
  <c r="BK20" i="8"/>
  <c r="BK25" i="8"/>
  <c r="BM5" i="8" l="1"/>
  <c r="BL20" i="8"/>
  <c r="BL10" i="8"/>
  <c r="BL19" i="8"/>
  <c r="BM6" i="8"/>
  <c r="BM4" i="8" s="1"/>
  <c r="BM8" i="8" s="1"/>
  <c r="BM11" i="8" s="1"/>
  <c r="BN17" i="8" s="1"/>
  <c r="BL25" i="8"/>
  <c r="BM10" i="8" l="1"/>
  <c r="BM19" i="8"/>
  <c r="BN5" i="8"/>
  <c r="BN6" i="8"/>
  <c r="BN4" i="8" s="1"/>
  <c r="BN8" i="8" s="1"/>
  <c r="BN11" i="8" s="1"/>
  <c r="BO17" i="8" s="1"/>
  <c r="BM20" i="8"/>
  <c r="BM25" i="8"/>
  <c r="BN10" i="8" l="1"/>
  <c r="BN19" i="8"/>
  <c r="BO5" i="8"/>
  <c r="BO6" i="8"/>
  <c r="BO4" i="8" s="1"/>
  <c r="BO8" i="8" s="1"/>
  <c r="BO11" i="8" s="1"/>
  <c r="BP17" i="8" s="1"/>
  <c r="BN20" i="8"/>
  <c r="BN25" i="8"/>
  <c r="BO10" i="8" l="1"/>
  <c r="BO19" i="8"/>
  <c r="BP5" i="8"/>
  <c r="BO20" i="8"/>
  <c r="BP6" i="8"/>
  <c r="BP4" i="8" s="1"/>
  <c r="BP8" i="8" s="1"/>
  <c r="BP11" i="8" s="1"/>
  <c r="BQ17" i="8" s="1"/>
  <c r="BO25" i="8"/>
  <c r="BP10" i="8" l="1"/>
  <c r="BP19" i="8"/>
  <c r="BP20" i="8"/>
  <c r="BQ5" i="8"/>
  <c r="BQ6" i="8"/>
  <c r="BQ4" i="8" s="1"/>
  <c r="BQ8" i="8" s="1"/>
  <c r="BQ11" i="8" s="1"/>
  <c r="BR17" i="8" s="1"/>
  <c r="BP25" i="8"/>
  <c r="BQ10" i="8" l="1"/>
  <c r="BQ19" i="8"/>
  <c r="BR5" i="8"/>
  <c r="BR6" i="8"/>
  <c r="BR4" i="8" s="1"/>
  <c r="BR8" i="8" s="1"/>
  <c r="BR11" i="8" s="1"/>
  <c r="BS17" i="8" s="1"/>
  <c r="BQ20" i="8"/>
  <c r="BQ25" i="8"/>
  <c r="BR19" i="8" l="1"/>
  <c r="BS6" i="8"/>
  <c r="BS4" i="8" s="1"/>
  <c r="BS8" i="8" s="1"/>
  <c r="BS11" i="8" s="1"/>
  <c r="BT17" i="8" s="1"/>
  <c r="BR10" i="8"/>
  <c r="BS5" i="8"/>
  <c r="BR20" i="8"/>
  <c r="BR25" i="8"/>
  <c r="BS19" i="8" l="1"/>
  <c r="BT6" i="8"/>
  <c r="BT4" i="8" s="1"/>
  <c r="BT8" i="8" s="1"/>
  <c r="BT11" i="8" s="1"/>
  <c r="BU17" i="8" s="1"/>
  <c r="BS10" i="8"/>
  <c r="BS20" i="8"/>
  <c r="BT5" i="8"/>
  <c r="BS25" i="8"/>
  <c r="BT10" i="8" l="1"/>
  <c r="BU5" i="8"/>
  <c r="BT20" i="8"/>
  <c r="BT19" i="8"/>
  <c r="BT25" i="8"/>
  <c r="BU6" i="8"/>
  <c r="BU4" i="8" s="1"/>
  <c r="BU8" i="8" s="1"/>
  <c r="BU11" i="8" s="1"/>
  <c r="BV17" i="8" s="1"/>
  <c r="BU20" i="8" l="1"/>
  <c r="BU19" i="8"/>
  <c r="BV6" i="8"/>
  <c r="BV4" i="8" s="1"/>
  <c r="BV8" i="8" s="1"/>
  <c r="BV11" i="8" s="1"/>
  <c r="BW17" i="8" s="1"/>
  <c r="BU10" i="8"/>
  <c r="BV5" i="8"/>
  <c r="BU25" i="8"/>
  <c r="BV10" i="8" l="1"/>
  <c r="BW6" i="8"/>
  <c r="BW4" i="8" s="1"/>
  <c r="BW8" i="8" s="1"/>
  <c r="BW11" i="8" s="1"/>
  <c r="BX17" i="8" s="1"/>
  <c r="BW5" i="8"/>
  <c r="BV20" i="8"/>
  <c r="BV19" i="8"/>
  <c r="BV25" i="8"/>
  <c r="BW19" i="8" l="1"/>
  <c r="BW10" i="8"/>
  <c r="BX5" i="8"/>
  <c r="BX6" i="8"/>
  <c r="BX4" i="8" s="1"/>
  <c r="BX8" i="8" s="1"/>
  <c r="BX11" i="8" s="1"/>
  <c r="BY17" i="8" s="1"/>
  <c r="BW25" i="8"/>
  <c r="BW20" i="8"/>
  <c r="BY6" i="8" l="1"/>
  <c r="BY4" i="8" s="1"/>
  <c r="BY8" i="8" s="1"/>
  <c r="BY11" i="8" s="1"/>
  <c r="BZ17" i="8" s="1"/>
  <c r="BX20" i="8"/>
  <c r="BY5" i="8"/>
  <c r="BX25" i="8"/>
  <c r="BX19" i="8"/>
  <c r="BX10" i="8"/>
  <c r="BY10" i="8" l="1"/>
  <c r="BY19" i="8"/>
  <c r="BZ5" i="8"/>
  <c r="BZ6" i="8"/>
  <c r="BZ4" i="8" s="1"/>
  <c r="BZ8" i="8" s="1"/>
  <c r="BZ11" i="8" s="1"/>
  <c r="CA17" i="8" s="1"/>
  <c r="BY20" i="8"/>
  <c r="BY25" i="8"/>
  <c r="BZ10" i="8" l="1"/>
  <c r="BZ19" i="8"/>
  <c r="BZ20" i="8"/>
  <c r="CA5" i="8"/>
  <c r="BZ25" i="8"/>
  <c r="CA6" i="8"/>
  <c r="CA4" i="8" s="1"/>
  <c r="CA8" i="8" s="1"/>
  <c r="CA11" i="8" s="1"/>
  <c r="CB17" i="8" s="1"/>
  <c r="CA10" i="8" l="1"/>
  <c r="CA19" i="8"/>
  <c r="CB5" i="8"/>
  <c r="CB6" i="8"/>
  <c r="CB4" i="8" s="1"/>
  <c r="CB8" i="8" s="1"/>
  <c r="CB11" i="8" s="1"/>
  <c r="CC17" i="8" s="1"/>
  <c r="CA20" i="8"/>
  <c r="CA25" i="8"/>
  <c r="CB10" i="8" l="1"/>
  <c r="CB19" i="8"/>
  <c r="CC6" i="8"/>
  <c r="CC4" i="8" s="1"/>
  <c r="CC8" i="8" s="1"/>
  <c r="CC11" i="8" s="1"/>
  <c r="CD17" i="8" s="1"/>
  <c r="CC5" i="8"/>
  <c r="CB20" i="8"/>
  <c r="CB25" i="8"/>
  <c r="CC10" i="8" l="1"/>
  <c r="CC19" i="8"/>
  <c r="CC20" i="8"/>
  <c r="CD5" i="8"/>
  <c r="CD6" i="8"/>
  <c r="CD4" i="8" s="1"/>
  <c r="CD8" i="8" s="1"/>
  <c r="CD11" i="8" s="1"/>
  <c r="CE17" i="8" s="1"/>
  <c r="CC25" i="8"/>
  <c r="CD19" i="8" l="1"/>
  <c r="CD10" i="8"/>
  <c r="CD20" i="8"/>
  <c r="CE5" i="8"/>
  <c r="CE6" i="8"/>
  <c r="CE4" i="8" s="1"/>
  <c r="CE8" i="8" s="1"/>
  <c r="CE11" i="8" s="1"/>
  <c r="CF17" i="8" s="1"/>
  <c r="CD25" i="8"/>
  <c r="CE19" i="8" l="1"/>
  <c r="CE20" i="8"/>
  <c r="CE10" i="8"/>
  <c r="CF6" i="8"/>
  <c r="CF4" i="8" s="1"/>
  <c r="CF8" i="8" s="1"/>
  <c r="CF11" i="8" s="1"/>
  <c r="CG17" i="8" s="1"/>
  <c r="CE25" i="8"/>
  <c r="CF5" i="8"/>
  <c r="CF10" i="8" l="1"/>
  <c r="CF20" i="8"/>
  <c r="CG6" i="8"/>
  <c r="CG4" i="8" s="1"/>
  <c r="CG8" i="8" s="1"/>
  <c r="CG11" i="8" s="1"/>
  <c r="CH17" i="8" s="1"/>
  <c r="CG5" i="8"/>
  <c r="CF25" i="8"/>
  <c r="CF19" i="8"/>
  <c r="CG20" i="8" l="1"/>
  <c r="CH6" i="8"/>
  <c r="CH4" i="8" s="1"/>
  <c r="CH8" i="8" s="1"/>
  <c r="CH11" i="8" s="1"/>
  <c r="CI17" i="8" s="1"/>
  <c r="CG10" i="8"/>
  <c r="CG19" i="8"/>
  <c r="CH5" i="8"/>
  <c r="CG25" i="8"/>
  <c r="CH10" i="8" l="1"/>
  <c r="CH20" i="8"/>
  <c r="CI6" i="8"/>
  <c r="CI4" i="8" s="1"/>
  <c r="CI8" i="8" s="1"/>
  <c r="CI11" i="8" s="1"/>
  <c r="CJ17" i="8" s="1"/>
  <c r="CI5" i="8"/>
  <c r="CH25" i="8"/>
  <c r="CH19" i="8"/>
  <c r="CI20" i="8" l="1"/>
  <c r="CJ6" i="8"/>
  <c r="CJ4" i="8" s="1"/>
  <c r="CJ8" i="8" s="1"/>
  <c r="CJ11" i="8" s="1"/>
  <c r="CK17" i="8" s="1"/>
  <c r="CI10" i="8"/>
  <c r="CJ5" i="8"/>
  <c r="CI19" i="8"/>
  <c r="CI25" i="8"/>
  <c r="CJ20" i="8" l="1"/>
  <c r="CK5" i="8"/>
  <c r="CK6" i="8"/>
  <c r="CK4" i="8" s="1"/>
  <c r="CK8" i="8" s="1"/>
  <c r="CK11" i="8" s="1"/>
  <c r="CL17" i="8" s="1"/>
  <c r="CJ10" i="8"/>
  <c r="CJ19" i="8"/>
  <c r="CJ25" i="8"/>
  <c r="CK10" i="8" l="1"/>
  <c r="CL5" i="8"/>
  <c r="CK19" i="8"/>
  <c r="CK20" i="8"/>
  <c r="CK25" i="8"/>
  <c r="CL6" i="8"/>
  <c r="CL4" i="8" s="1"/>
  <c r="CL8" i="8" s="1"/>
  <c r="CL11" i="8" s="1"/>
  <c r="CM17" i="8" s="1"/>
  <c r="CM5" i="8" l="1"/>
  <c r="CL10" i="8"/>
  <c r="CL19" i="8"/>
  <c r="CL20" i="8"/>
  <c r="CL25" i="8"/>
  <c r="CM6" i="8"/>
  <c r="CM4" i="8" s="1"/>
  <c r="CM8" i="8" s="1"/>
  <c r="CM11" i="8" s="1"/>
  <c r="CN17" i="8" s="1"/>
  <c r="CN5" i="8" l="1"/>
  <c r="CM10" i="8"/>
  <c r="CM19" i="8"/>
  <c r="CN6" i="8"/>
  <c r="CN4" i="8" s="1"/>
  <c r="CN8" i="8" s="1"/>
  <c r="CN11" i="8" s="1"/>
  <c r="CO17" i="8" s="1"/>
  <c r="CM25" i="8"/>
  <c r="CM20" i="8"/>
  <c r="CO5" i="8" l="1"/>
  <c r="CN10" i="8"/>
  <c r="CN19" i="8"/>
  <c r="CO6" i="8"/>
  <c r="CO4" i="8" s="1"/>
  <c r="CO8" i="8" s="1"/>
  <c r="CO11" i="8" s="1"/>
  <c r="CP17" i="8" s="1"/>
  <c r="CN25" i="8"/>
  <c r="CN20" i="8"/>
  <c r="CP6" i="8" l="1"/>
  <c r="CP4" i="8" s="1"/>
  <c r="CP8" i="8" s="1"/>
  <c r="CP11" i="8" s="1"/>
  <c r="CQ17" i="8" s="1"/>
  <c r="CP5" i="8"/>
  <c r="CO10" i="8"/>
  <c r="CO19" i="8"/>
  <c r="CO20" i="8"/>
  <c r="CO25" i="8"/>
  <c r="CQ5" i="8" l="1"/>
  <c r="CQ6" i="8"/>
  <c r="CQ4" i="8" s="1"/>
  <c r="CQ8" i="8" s="1"/>
  <c r="CQ11" i="8" s="1"/>
  <c r="CR17" i="8" s="1"/>
  <c r="CP19" i="8"/>
  <c r="CP10" i="8"/>
  <c r="CP20" i="8"/>
  <c r="CP25" i="8"/>
  <c r="CR5" i="8" l="1"/>
  <c r="CQ20" i="8"/>
  <c r="CQ10" i="8"/>
  <c r="CR6" i="8"/>
  <c r="CR4" i="8" s="1"/>
  <c r="CR8" i="8" s="1"/>
  <c r="CR11" i="8" s="1"/>
  <c r="CS17" i="8" s="1"/>
  <c r="CQ25" i="8"/>
  <c r="CQ19" i="8"/>
  <c r="CS5" i="8" l="1"/>
  <c r="CR20" i="8"/>
  <c r="CS6" i="8"/>
  <c r="CS4" i="8" s="1"/>
  <c r="CS8" i="8" s="1"/>
  <c r="CS11" i="8" s="1"/>
  <c r="CT17" i="8" s="1"/>
  <c r="CR10" i="8"/>
  <c r="CR19" i="8"/>
  <c r="CR25" i="8"/>
  <c r="CT5" i="8" l="1"/>
  <c r="CS20" i="8"/>
  <c r="CT6" i="8"/>
  <c r="CT4" i="8" s="1"/>
  <c r="CT8" i="8" s="1"/>
  <c r="CT11" i="8" s="1"/>
  <c r="CU17" i="8" s="1"/>
  <c r="CS10" i="8"/>
  <c r="CS25" i="8"/>
  <c r="CS19" i="8"/>
  <c r="CU5" i="8" l="1"/>
  <c r="CU6" i="8"/>
  <c r="CU4" i="8" s="1"/>
  <c r="CU8" i="8" s="1"/>
  <c r="CU11" i="8" s="1"/>
  <c r="CV17" i="8" s="1"/>
  <c r="CT10" i="8"/>
  <c r="CT20" i="8"/>
  <c r="CT19" i="8"/>
  <c r="CT25" i="8"/>
  <c r="CU20" i="8" l="1"/>
  <c r="CV6" i="8"/>
  <c r="CV4" i="8" s="1"/>
  <c r="CV8" i="8" s="1"/>
  <c r="CV11" i="8" s="1"/>
  <c r="CW17" i="8" s="1"/>
  <c r="CU10" i="8"/>
  <c r="CV5" i="8"/>
  <c r="CU25" i="8"/>
  <c r="CU19" i="8"/>
  <c r="CV10" i="8" l="1"/>
  <c r="CV20" i="8"/>
  <c r="CW5" i="8"/>
  <c r="CW6" i="8"/>
  <c r="CW4" i="8" s="1"/>
  <c r="CW8" i="8" s="1"/>
  <c r="CW11" i="8" s="1"/>
  <c r="CX17" i="8" s="1"/>
  <c r="CV19" i="8"/>
  <c r="CV25" i="8"/>
  <c r="CX5" i="8" l="1"/>
  <c r="CW20" i="8"/>
  <c r="CW10" i="8"/>
  <c r="CW19" i="8"/>
  <c r="CW25" i="8"/>
  <c r="CX6" i="8"/>
  <c r="CX4" i="8" s="1"/>
  <c r="CX8" i="8" s="1"/>
  <c r="CX11" i="8" s="1"/>
  <c r="CY17" i="8" s="1"/>
  <c r="CY5" i="8" l="1"/>
  <c r="CY6" i="8"/>
  <c r="CY4" i="8" s="1"/>
  <c r="CY8" i="8" s="1"/>
  <c r="CY11" i="8" s="1"/>
  <c r="CZ17" i="8" s="1"/>
  <c r="CX10" i="8"/>
  <c r="CX19" i="8"/>
  <c r="CX20" i="8"/>
  <c r="CX25" i="8"/>
  <c r="CZ5" i="8" l="1"/>
  <c r="CZ6" i="8"/>
  <c r="CZ4" i="8" s="1"/>
  <c r="CZ8" i="8" s="1"/>
  <c r="CZ11" i="8" s="1"/>
  <c r="DA17" i="8" s="1"/>
  <c r="CY10" i="8"/>
  <c r="CY19" i="8"/>
  <c r="CY25" i="8"/>
  <c r="CY20" i="8"/>
  <c r="DA6" i="8" l="1"/>
  <c r="DA4" i="8" s="1"/>
  <c r="DA8" i="8" s="1"/>
  <c r="DA11" i="8" s="1"/>
  <c r="DB17" i="8" s="1"/>
  <c r="DA5" i="8"/>
  <c r="CZ10" i="8"/>
  <c r="CZ19" i="8"/>
  <c r="CZ25" i="8"/>
  <c r="CZ20" i="8"/>
  <c r="DA20" i="8" l="1"/>
  <c r="DB5" i="8"/>
  <c r="DA19" i="8"/>
  <c r="DA10" i="8"/>
  <c r="DB6" i="8"/>
  <c r="DB4" i="8" s="1"/>
  <c r="DB8" i="8" s="1"/>
  <c r="DB11" i="8" s="1"/>
  <c r="DC17" i="8" s="1"/>
  <c r="DA25" i="8"/>
  <c r="DC5" i="8" l="1"/>
  <c r="DB20" i="8"/>
  <c r="DB25" i="8"/>
  <c r="DB19" i="8"/>
  <c r="DC6" i="8"/>
  <c r="DC4" i="8" s="1"/>
  <c r="DC8" i="8" s="1"/>
  <c r="DC11" i="8" s="1"/>
  <c r="DD17" i="8" s="1"/>
  <c r="DB10" i="8"/>
  <c r="DD5" i="8" l="1"/>
  <c r="DC10" i="8"/>
  <c r="DC19" i="8"/>
  <c r="DD6" i="8"/>
  <c r="DD4" i="8" s="1"/>
  <c r="DD8" i="8" s="1"/>
  <c r="DD11" i="8" s="1"/>
  <c r="DE17" i="8" s="1"/>
  <c r="DC20" i="8"/>
  <c r="DC25" i="8"/>
  <c r="DE5" i="8" l="1"/>
  <c r="DD10" i="8"/>
  <c r="DD19" i="8"/>
  <c r="DD20" i="8"/>
  <c r="DE6" i="8"/>
  <c r="DE4" i="8" s="1"/>
  <c r="DE8" i="8" s="1"/>
  <c r="DE11" i="8" s="1"/>
  <c r="DF17" i="8" s="1"/>
  <c r="DD25" i="8"/>
  <c r="DF5" i="8" l="1"/>
  <c r="DE19" i="8"/>
  <c r="DE10" i="8"/>
  <c r="DE20" i="8"/>
  <c r="DF6" i="8"/>
  <c r="DF4" i="8" s="1"/>
  <c r="DF8" i="8" s="1"/>
  <c r="DF11" i="8" s="1"/>
  <c r="DG17" i="8" s="1"/>
  <c r="DE25" i="8"/>
  <c r="DF19" i="8" l="1"/>
  <c r="DG5" i="8"/>
  <c r="DF20" i="8"/>
  <c r="DG6" i="8"/>
  <c r="DG4" i="8" s="1"/>
  <c r="DG8" i="8" s="1"/>
  <c r="DG11" i="8" s="1"/>
  <c r="DH17" i="8" s="1"/>
  <c r="DF10" i="8"/>
  <c r="DF25" i="8"/>
  <c r="DH5" i="8" l="1"/>
  <c r="DG19" i="8"/>
  <c r="DG20" i="8"/>
  <c r="DG10" i="8"/>
  <c r="DH6" i="8"/>
  <c r="DH4" i="8" s="1"/>
  <c r="DH8" i="8" s="1"/>
  <c r="DH11" i="8" s="1"/>
  <c r="DI17" i="8" s="1"/>
  <c r="DG25" i="8"/>
  <c r="DH19" i="8" l="1"/>
  <c r="DH20" i="8"/>
  <c r="DH10" i="8"/>
  <c r="DI6" i="8"/>
  <c r="DI4" i="8" s="1"/>
  <c r="DI8" i="8" s="1"/>
  <c r="DI11" i="8" s="1"/>
  <c r="DJ17" i="8" s="1"/>
  <c r="DH25" i="8"/>
  <c r="DI5" i="8"/>
  <c r="DJ6" i="8" l="1"/>
  <c r="DJ4" i="8" s="1"/>
  <c r="DJ8" i="8" s="1"/>
  <c r="DJ11" i="8" s="1"/>
  <c r="DK17" i="8" s="1"/>
  <c r="DI20" i="8"/>
  <c r="DI25" i="8"/>
  <c r="DJ5" i="8"/>
  <c r="DI10" i="8"/>
  <c r="DI19" i="8"/>
  <c r="DK6" i="8" l="1"/>
  <c r="DK4" i="8" s="1"/>
  <c r="DK8" i="8" s="1"/>
  <c r="DK11" i="8" s="1"/>
  <c r="DL17" i="8" s="1"/>
  <c r="DJ20" i="8"/>
  <c r="DK5" i="8"/>
  <c r="DJ19" i="8"/>
  <c r="DJ10" i="8"/>
  <c r="DJ25" i="8"/>
  <c r="DK20" i="8" l="1"/>
  <c r="DL6" i="8"/>
  <c r="DL4" i="8" s="1"/>
  <c r="DL8" i="8" s="1"/>
  <c r="DL11" i="8" s="1"/>
  <c r="DM17" i="8" s="1"/>
  <c r="DL5" i="8"/>
  <c r="DK10" i="8"/>
  <c r="DK19" i="8"/>
  <c r="DK25" i="8"/>
  <c r="DL20" i="8" l="1"/>
  <c r="DM6" i="8"/>
  <c r="DM4" i="8" s="1"/>
  <c r="DM8" i="8" s="1"/>
  <c r="DM11" i="8" s="1"/>
  <c r="DN17" i="8" s="1"/>
  <c r="DL25" i="8"/>
  <c r="DM5" i="8"/>
  <c r="DL19" i="8"/>
  <c r="DL10" i="8"/>
  <c r="DN6" i="8" l="1"/>
  <c r="DN4" i="8" s="1"/>
  <c r="DN8" i="8" s="1"/>
  <c r="DN11" i="8" s="1"/>
  <c r="DO17" i="8" s="1"/>
  <c r="DM25" i="8"/>
  <c r="DN5" i="8"/>
  <c r="DM10" i="8"/>
  <c r="DM20" i="8"/>
  <c r="DM19" i="8"/>
  <c r="DN20" i="8" l="1"/>
  <c r="DO5" i="8"/>
  <c r="DN10" i="8"/>
  <c r="DN19" i="8"/>
  <c r="DO6" i="8"/>
  <c r="DO4" i="8" s="1"/>
  <c r="DO8" i="8" s="1"/>
  <c r="DO11" i="8" s="1"/>
  <c r="DP17" i="8" s="1"/>
  <c r="DN25" i="8"/>
  <c r="DP5" i="8" l="1"/>
  <c r="DP6" i="8"/>
  <c r="DP4" i="8" s="1"/>
  <c r="DP8" i="8" s="1"/>
  <c r="DP11" i="8" s="1"/>
  <c r="DQ17" i="8" s="1"/>
  <c r="DO25" i="8"/>
  <c r="DO10" i="8"/>
  <c r="DO20" i="8"/>
  <c r="DO19" i="8"/>
  <c r="DQ5" i="8" l="1"/>
  <c r="DP25" i="8"/>
  <c r="DP10" i="8"/>
  <c r="DP19" i="8"/>
  <c r="DQ6" i="8"/>
  <c r="DQ4" i="8" s="1"/>
  <c r="DQ8" i="8" s="1"/>
  <c r="DQ11" i="8" s="1"/>
  <c r="DR17" i="8" s="1"/>
  <c r="DP20" i="8"/>
  <c r="DR5" i="8" l="1"/>
  <c r="DQ20" i="8"/>
  <c r="DR6" i="8"/>
  <c r="DR4" i="8" s="1"/>
  <c r="DR8" i="8" s="1"/>
  <c r="DR11" i="8" s="1"/>
  <c r="DS17" i="8" s="1"/>
  <c r="DQ10" i="8"/>
  <c r="DQ25" i="8"/>
  <c r="DQ19" i="8"/>
  <c r="DS5" i="8" l="1"/>
  <c r="DS6" i="8"/>
  <c r="DS4" i="8" s="1"/>
  <c r="DS8" i="8" s="1"/>
  <c r="DS11" i="8" s="1"/>
  <c r="DT17" i="8" s="1"/>
  <c r="DR10" i="8"/>
  <c r="DR20" i="8"/>
  <c r="DR25" i="8"/>
  <c r="DR19" i="8"/>
  <c r="DT6" i="8" l="1"/>
  <c r="DT4" i="8" s="1"/>
  <c r="DT8" i="8" s="1"/>
  <c r="DT11" i="8" s="1"/>
  <c r="DU17" i="8" s="1"/>
  <c r="DS10" i="8"/>
  <c r="DT5" i="8"/>
  <c r="DS20" i="8"/>
  <c r="DS25" i="8"/>
  <c r="DS19" i="8"/>
  <c r="DT25" i="8" l="1"/>
  <c r="DU5" i="8"/>
  <c r="DT19" i="8"/>
  <c r="DU6" i="8"/>
  <c r="DU4" i="8" s="1"/>
  <c r="DU8" i="8" s="1"/>
  <c r="DU11" i="8" s="1"/>
  <c r="DV17" i="8" s="1"/>
  <c r="DT20" i="8"/>
  <c r="DT10" i="8"/>
  <c r="DU25" i="8" l="1"/>
  <c r="DU10" i="8"/>
  <c r="DV5" i="8"/>
  <c r="DV6" i="8"/>
  <c r="DV4" i="8" s="1"/>
  <c r="DV8" i="8" s="1"/>
  <c r="DV11" i="8" s="1"/>
  <c r="DW17" i="8" s="1"/>
  <c r="DU19" i="8"/>
  <c r="DU20" i="8"/>
  <c r="DV10" i="8" l="1"/>
  <c r="DV19" i="8"/>
  <c r="DW5" i="8"/>
  <c r="DV20" i="8"/>
  <c r="DW6" i="8"/>
  <c r="DW4" i="8" s="1"/>
  <c r="DW8" i="8" s="1"/>
  <c r="DW11" i="8" s="1"/>
  <c r="DX17" i="8" s="1"/>
  <c r="DV25" i="8"/>
  <c r="DX6" i="8" l="1"/>
  <c r="DX4" i="8" s="1"/>
  <c r="DX8" i="8" s="1"/>
  <c r="DX11" i="8" s="1"/>
  <c r="DY17" i="8" s="1"/>
  <c r="DW25" i="8"/>
  <c r="DW19" i="8"/>
  <c r="DW20" i="8"/>
  <c r="DW10" i="8"/>
  <c r="DX5" i="8"/>
  <c r="DX10" i="8" l="1"/>
  <c r="DX19" i="8"/>
  <c r="DY5" i="8"/>
  <c r="DX20" i="8"/>
  <c r="DY6" i="8"/>
  <c r="DY4" i="8" s="1"/>
  <c r="DY8" i="8" s="1"/>
  <c r="DY11" i="8" s="1"/>
  <c r="DZ17" i="8" s="1"/>
  <c r="DX25" i="8"/>
  <c r="DY25" i="8" l="1"/>
  <c r="DY10" i="8"/>
  <c r="DZ5" i="8"/>
  <c r="DZ6" i="8"/>
  <c r="DZ4" i="8" s="1"/>
  <c r="DZ8" i="8" s="1"/>
  <c r="DZ11" i="8" s="1"/>
  <c r="EA17" i="8" s="1"/>
  <c r="DY19" i="8"/>
  <c r="DY20" i="8"/>
  <c r="EA5" i="8" l="1"/>
  <c r="DZ19" i="8"/>
  <c r="EA6" i="8"/>
  <c r="EA4" i="8" s="1"/>
  <c r="EA8" i="8" s="1"/>
  <c r="EA11" i="8" s="1"/>
  <c r="EB17" i="8" s="1"/>
  <c r="DZ20" i="8"/>
  <c r="DZ10" i="8"/>
  <c r="DZ25" i="8"/>
  <c r="EA19" i="8" l="1"/>
  <c r="EA20" i="8"/>
  <c r="EA10" i="8"/>
  <c r="EB6" i="8"/>
  <c r="EB4" i="8" s="1"/>
  <c r="EB8" i="8" s="1"/>
  <c r="EB11" i="8" s="1"/>
  <c r="EC17" i="8" s="1"/>
  <c r="EA25" i="8"/>
  <c r="EB5" i="8"/>
  <c r="EC5" i="8" l="1"/>
  <c r="EB25" i="8"/>
  <c r="EC6" i="8"/>
  <c r="EC4" i="8" s="1"/>
  <c r="EC8" i="8" s="1"/>
  <c r="EC11" i="8" s="1"/>
  <c r="ED17" i="8" s="1"/>
  <c r="EB20" i="8"/>
  <c r="EB19" i="8"/>
  <c r="EB10" i="8"/>
  <c r="EC19" i="8" l="1"/>
  <c r="EC10" i="8"/>
  <c r="EC20" i="8"/>
  <c r="ED6" i="8"/>
  <c r="ED4" i="8" s="1"/>
  <c r="ED8" i="8" s="1"/>
  <c r="ED11" i="8" s="1"/>
  <c r="EE17" i="8" s="1"/>
  <c r="ED5" i="8"/>
  <c r="EC25" i="8"/>
  <c r="EE5" i="8" l="1"/>
  <c r="ED20" i="8"/>
  <c r="ED25" i="8"/>
  <c r="ED10" i="8"/>
  <c r="ED19" i="8"/>
  <c r="EE6" i="8"/>
  <c r="EE4" i="8" s="1"/>
  <c r="EE8" i="8" s="1"/>
  <c r="EE11" i="8" s="1"/>
  <c r="EF17" i="8" s="1"/>
  <c r="EE19" i="8" l="1"/>
  <c r="EE10" i="8"/>
  <c r="EF5" i="8"/>
  <c r="EE25" i="8"/>
  <c r="EF6" i="8"/>
  <c r="EF4" i="8" s="1"/>
  <c r="EF8" i="8" s="1"/>
  <c r="EF11" i="8" s="1"/>
  <c r="EG17" i="8" s="1"/>
  <c r="EE20" i="8"/>
  <c r="EF25" i="8" l="1"/>
  <c r="EF20" i="8"/>
  <c r="EG6" i="8"/>
  <c r="EG4" i="8" s="1"/>
  <c r="EG8" i="8" s="1"/>
  <c r="EG11" i="8" s="1"/>
  <c r="EH17" i="8" s="1"/>
  <c r="EF19" i="8"/>
  <c r="EF10" i="8"/>
  <c r="EG5" i="8"/>
  <c r="EH6" i="8" l="1"/>
  <c r="EH4" i="8" s="1"/>
  <c r="EH8" i="8" s="1"/>
  <c r="EH11" i="8" s="1"/>
  <c r="EI17" i="8" s="1"/>
  <c r="EG20" i="8"/>
  <c r="EH5" i="8"/>
  <c r="EG10" i="8"/>
  <c r="EG25" i="8"/>
  <c r="EG19" i="8"/>
  <c r="EH10" i="8" l="1"/>
  <c r="EH20" i="8"/>
  <c r="EI5" i="8"/>
  <c r="EI6" i="8"/>
  <c r="EI4" i="8" s="1"/>
  <c r="EI8" i="8" s="1"/>
  <c r="EI11" i="8" s="1"/>
  <c r="EJ17" i="8" s="1"/>
  <c r="EH19" i="8"/>
  <c r="EH25" i="8"/>
  <c r="EJ6" i="8" l="1"/>
  <c r="EJ4" i="8" s="1"/>
  <c r="EJ8" i="8" s="1"/>
  <c r="EJ11" i="8" s="1"/>
  <c r="EK17" i="8" s="1"/>
  <c r="EI25" i="8"/>
  <c r="EI10" i="8"/>
  <c r="EI19" i="8"/>
  <c r="EI20" i="8"/>
  <c r="EJ5" i="8"/>
  <c r="EJ10" i="8" l="1"/>
  <c r="EK6" i="8"/>
  <c r="EK4" i="8" s="1"/>
  <c r="EK8" i="8" s="1"/>
  <c r="EK11" i="8" s="1"/>
  <c r="EL17" i="8" s="1"/>
  <c r="EJ19" i="8"/>
  <c r="EJ20" i="8"/>
  <c r="EK5" i="8"/>
  <c r="EJ25" i="8"/>
  <c r="EL5" i="8" l="1"/>
  <c r="EK19" i="8"/>
  <c r="EK10" i="8"/>
  <c r="EL6" i="8"/>
  <c r="EL4" i="8" s="1"/>
  <c r="EL8" i="8" s="1"/>
  <c r="EL11" i="8" s="1"/>
  <c r="EM17" i="8" s="1"/>
  <c r="EK20" i="8"/>
  <c r="EK25" i="8"/>
  <c r="EM5" i="8" l="1"/>
  <c r="EL20" i="8"/>
  <c r="EL19" i="8"/>
  <c r="EL25" i="8"/>
  <c r="EM6" i="8"/>
  <c r="EM4" i="8" s="1"/>
  <c r="EM8" i="8" s="1"/>
  <c r="EM11" i="8" s="1"/>
  <c r="EN17" i="8" s="1"/>
  <c r="EL10" i="8"/>
  <c r="EN5" i="8" l="1"/>
  <c r="EM19" i="8"/>
  <c r="EM10" i="8"/>
  <c r="EM20" i="8"/>
  <c r="EM25" i="8"/>
  <c r="EN6" i="8"/>
  <c r="EN4" i="8" s="1"/>
  <c r="EN8" i="8" s="1"/>
  <c r="EN11" i="8" s="1"/>
  <c r="EO17" i="8" s="1"/>
  <c r="EN19" i="8" l="1"/>
  <c r="EN10" i="8"/>
  <c r="EO6" i="8"/>
  <c r="EO4" i="8" s="1"/>
  <c r="EO8" i="8" s="1"/>
  <c r="EO11" i="8" s="1"/>
  <c r="EP17" i="8" s="1"/>
  <c r="EO5" i="8"/>
  <c r="EN20" i="8"/>
  <c r="EN25" i="8"/>
  <c r="EP5" i="8" l="1"/>
  <c r="EO25" i="8"/>
  <c r="EO20" i="8"/>
  <c r="EO10" i="8"/>
  <c r="EO19" i="8"/>
  <c r="EP6" i="8"/>
  <c r="EP4" i="8" s="1"/>
  <c r="EP8" i="8" s="1"/>
  <c r="EP11" i="8" s="1"/>
  <c r="EQ17" i="8" s="1"/>
  <c r="EP25" i="8" l="1"/>
  <c r="EP20" i="8"/>
  <c r="EQ5" i="8"/>
  <c r="EP19" i="8"/>
  <c r="EQ6" i="8"/>
  <c r="EQ4" i="8" s="1"/>
  <c r="EQ8" i="8" s="1"/>
  <c r="EQ11" i="8" s="1"/>
  <c r="ER17" i="8" s="1"/>
  <c r="EP10" i="8"/>
  <c r="EQ10" i="8" l="1"/>
  <c r="ER6" i="8"/>
  <c r="ER4" i="8" s="1"/>
  <c r="ER8" i="8" s="1"/>
  <c r="ER11" i="8" s="1"/>
  <c r="ES17" i="8" s="1"/>
  <c r="EQ25" i="8"/>
  <c r="EQ19" i="8"/>
  <c r="EQ20" i="8"/>
  <c r="ER5" i="8"/>
  <c r="ER20" i="8" l="1"/>
  <c r="ER25" i="8"/>
  <c r="ER10" i="8"/>
  <c r="ER19" i="8"/>
  <c r="ES5" i="8"/>
  <c r="ES6" i="8"/>
  <c r="ES4" i="8" s="1"/>
  <c r="ES8" i="8" s="1"/>
  <c r="ES11" i="8" s="1"/>
  <c r="ET17" i="8" s="1"/>
  <c r="ES10" i="8" l="1"/>
  <c r="ET5" i="8"/>
  <c r="ES20" i="8"/>
  <c r="ES25" i="8"/>
  <c r="ES19" i="8"/>
  <c r="ET6" i="8"/>
  <c r="ET4" i="8" s="1"/>
  <c r="ET8" i="8" s="1"/>
  <c r="ET11" i="8" s="1"/>
  <c r="EU17" i="8" s="1"/>
  <c r="ET10" i="8" l="1"/>
  <c r="EU5" i="8"/>
  <c r="ET20" i="8"/>
  <c r="ET19" i="8"/>
  <c r="ET25" i="8"/>
  <c r="EU6" i="8"/>
  <c r="EU4" i="8" s="1"/>
  <c r="EU8" i="8" s="1"/>
  <c r="EU11" i="8" s="1"/>
  <c r="EV17" i="8" s="1"/>
  <c r="EU20" i="8" l="1"/>
  <c r="EU10" i="8"/>
  <c r="EV6" i="8"/>
  <c r="EV4" i="8" s="1"/>
  <c r="EV8" i="8" s="1"/>
  <c r="EV11" i="8" s="1"/>
  <c r="EW17" i="8" s="1"/>
  <c r="EV5" i="8"/>
  <c r="EU19" i="8"/>
  <c r="EU25" i="8"/>
  <c r="EW5" i="8" l="1"/>
  <c r="EV19" i="8"/>
  <c r="EW6" i="8"/>
  <c r="EW4" i="8" s="1"/>
  <c r="EW8" i="8" s="1"/>
  <c r="EW11" i="8" s="1"/>
  <c r="EX17" i="8" s="1"/>
  <c r="EV25" i="8"/>
  <c r="EV20" i="8"/>
  <c r="EV10" i="8"/>
  <c r="EW20" i="8" l="1"/>
  <c r="EW10" i="8"/>
  <c r="EW19" i="8"/>
  <c r="EX5" i="8"/>
  <c r="EW25" i="8"/>
  <c r="EX6" i="8"/>
  <c r="EX4" i="8" s="1"/>
  <c r="EX8" i="8" s="1"/>
  <c r="EX11" i="8" s="1"/>
  <c r="EY17" i="8" s="1"/>
  <c r="EX20" i="8" l="1"/>
  <c r="EY6" i="8"/>
  <c r="EY4" i="8" s="1"/>
  <c r="EY8" i="8" s="1"/>
  <c r="EY11" i="8" s="1"/>
  <c r="EZ17" i="8" s="1"/>
  <c r="EX19" i="8"/>
  <c r="EY5" i="8"/>
  <c r="EX25" i="8"/>
  <c r="EX10" i="8"/>
  <c r="EY10" i="8" l="1"/>
  <c r="EY19" i="8"/>
  <c r="EY25" i="8"/>
  <c r="EY20" i="8"/>
  <c r="EZ5" i="8"/>
  <c r="EZ6" i="8"/>
  <c r="EZ4" i="8" s="1"/>
  <c r="EZ8" i="8" s="1"/>
  <c r="EZ11" i="8" s="1"/>
  <c r="FA17" i="8" s="1"/>
  <c r="EZ20" i="8" l="1"/>
  <c r="EZ10" i="8"/>
  <c r="EZ25" i="8"/>
  <c r="FA5" i="8"/>
  <c r="FA6" i="8"/>
  <c r="FA4" i="8" s="1"/>
  <c r="FA8" i="8" s="1"/>
  <c r="FA11" i="8" s="1"/>
  <c r="FB17" i="8" s="1"/>
  <c r="EZ19" i="8"/>
  <c r="FA10" i="8" l="1"/>
  <c r="FB6" i="8"/>
  <c r="FB4" i="8" s="1"/>
  <c r="FB8" i="8" s="1"/>
  <c r="FB11" i="8" s="1"/>
  <c r="FC17" i="8" s="1"/>
  <c r="FA20" i="8"/>
  <c r="FA25" i="8"/>
  <c r="FB5" i="8"/>
  <c r="FA19" i="8"/>
  <c r="FC6" i="8" l="1"/>
  <c r="FC4" i="8" s="1"/>
  <c r="FC8" i="8" s="1"/>
  <c r="FC11" i="8" s="1"/>
  <c r="FD17" i="8" s="1"/>
  <c r="FB10" i="8"/>
  <c r="FB20" i="8"/>
  <c r="FC5" i="8"/>
  <c r="FB19" i="8"/>
  <c r="FB25" i="8"/>
  <c r="FC10" i="8" l="1"/>
  <c r="FD6" i="8"/>
  <c r="FD4" i="8" s="1"/>
  <c r="FD8" i="8" s="1"/>
  <c r="FD11" i="8" s="1"/>
  <c r="FE17" i="8" s="1"/>
  <c r="FC25" i="8"/>
  <c r="FC19" i="8"/>
  <c r="FC20" i="8"/>
  <c r="FD5" i="8"/>
  <c r="FD20" i="8" l="1"/>
  <c r="FD10" i="8"/>
  <c r="FE5" i="8"/>
  <c r="FE6" i="8"/>
  <c r="FE4" i="8" s="1"/>
  <c r="FE8" i="8" s="1"/>
  <c r="FE11" i="8" s="1"/>
  <c r="FF17" i="8" s="1"/>
  <c r="FD19" i="8"/>
  <c r="FD25" i="8"/>
  <c r="FE10" i="8" l="1"/>
  <c r="FE20" i="8"/>
  <c r="FE25" i="8"/>
  <c r="FE19" i="8"/>
  <c r="FF5" i="8"/>
  <c r="FF6" i="8"/>
  <c r="FF4" i="8" s="1"/>
  <c r="FF8" i="8" s="1"/>
  <c r="FF11" i="8" s="1"/>
  <c r="FG17" i="8" s="1"/>
  <c r="FG6" i="8" l="1"/>
  <c r="FG4" i="8" s="1"/>
  <c r="FG8" i="8" s="1"/>
  <c r="FG11" i="8" s="1"/>
  <c r="FH17" i="8" s="1"/>
  <c r="FF10" i="8"/>
  <c r="FF25" i="8"/>
  <c r="FF19" i="8"/>
  <c r="FF20" i="8"/>
  <c r="FG5" i="8"/>
  <c r="FG10" i="8" l="1"/>
  <c r="FH6" i="8"/>
  <c r="FH4" i="8" s="1"/>
  <c r="FH8" i="8" s="1"/>
  <c r="FH11" i="8" s="1"/>
  <c r="FI17" i="8" s="1"/>
  <c r="FH5" i="8"/>
  <c r="FG25" i="8"/>
  <c r="FG19" i="8"/>
  <c r="FG20" i="8"/>
  <c r="FI5" i="8" l="1"/>
  <c r="FI6" i="8"/>
  <c r="FI4" i="8" s="1"/>
  <c r="FI8" i="8" s="1"/>
  <c r="FI11" i="8" s="1"/>
  <c r="FJ17" i="8" s="1"/>
  <c r="FH25" i="8"/>
  <c r="FH10" i="8"/>
  <c r="FH19" i="8"/>
  <c r="FH20" i="8"/>
  <c r="FJ6" i="8" l="1"/>
  <c r="FJ4" i="8" s="1"/>
  <c r="FJ8" i="8" s="1"/>
  <c r="FJ11" i="8" s="1"/>
  <c r="FK17" i="8" s="1"/>
  <c r="FJ5" i="8"/>
  <c r="FI20" i="8"/>
  <c r="FI25" i="8"/>
  <c r="FI19" i="8"/>
  <c r="FI10" i="8"/>
  <c r="FJ20" i="8" l="1"/>
  <c r="FJ19" i="8"/>
  <c r="FK5" i="8"/>
  <c r="FJ25" i="8"/>
  <c r="FJ10" i="8"/>
  <c r="FK6" i="8"/>
  <c r="FK4" i="8" s="1"/>
  <c r="FK8" i="8" s="1"/>
  <c r="FK11" i="8" s="1"/>
  <c r="FL17" i="8" s="1"/>
  <c r="FK10" i="8" l="1"/>
  <c r="FL6" i="8"/>
  <c r="FL4" i="8" s="1"/>
  <c r="FL8" i="8" s="1"/>
  <c r="FL11" i="8" s="1"/>
  <c r="FM17" i="8" s="1"/>
  <c r="FK20" i="8"/>
  <c r="FL5" i="8"/>
  <c r="FK25" i="8"/>
  <c r="FK19" i="8"/>
  <c r="FL25" i="8" l="1"/>
  <c r="FL20" i="8"/>
  <c r="FM5" i="8"/>
  <c r="FL19" i="8"/>
  <c r="FM6" i="8"/>
  <c r="FM4" i="8" s="1"/>
  <c r="FM8" i="8" s="1"/>
  <c r="FM11" i="8" s="1"/>
  <c r="FN17" i="8" s="1"/>
  <c r="FL10" i="8"/>
  <c r="FM10" i="8" l="1"/>
  <c r="FN6" i="8"/>
  <c r="FN4" i="8" s="1"/>
  <c r="FN8" i="8" s="1"/>
  <c r="FN11" i="8" s="1"/>
  <c r="FO17" i="8" s="1"/>
  <c r="FM25" i="8"/>
  <c r="FN5" i="8"/>
  <c r="FM20" i="8"/>
  <c r="FM19" i="8"/>
  <c r="FN20" i="8" l="1"/>
  <c r="FO6" i="8"/>
  <c r="FO4" i="8" s="1"/>
  <c r="FO8" i="8" s="1"/>
  <c r="FO11" i="8" s="1"/>
  <c r="FP17" i="8" s="1"/>
  <c r="FN25" i="8"/>
  <c r="FN19" i="8"/>
  <c r="FN10" i="8"/>
  <c r="FO5" i="8"/>
  <c r="FP5" i="8" l="1"/>
  <c r="FO19" i="8"/>
  <c r="FO10" i="8"/>
  <c r="FP6" i="8"/>
  <c r="FP4" i="8" s="1"/>
  <c r="FP8" i="8" s="1"/>
  <c r="FP11" i="8" s="1"/>
  <c r="FQ17" i="8" s="1"/>
  <c r="FO20" i="8"/>
  <c r="FO25" i="8"/>
  <c r="FP25" i="8" l="1"/>
  <c r="FP19" i="8"/>
  <c r="FP10" i="8"/>
  <c r="FQ5" i="8"/>
  <c r="FP20" i="8"/>
  <c r="FQ6" i="8"/>
  <c r="FQ4" i="8" s="1"/>
  <c r="FQ8" i="8" s="1"/>
  <c r="FQ11" i="8" s="1"/>
  <c r="FR17" i="8" s="1"/>
  <c r="FQ19" i="8" l="1"/>
  <c r="FR5" i="8"/>
  <c r="FQ20" i="8"/>
  <c r="FQ25" i="8"/>
  <c r="FQ10" i="8"/>
  <c r="FR6" i="8"/>
  <c r="FR4" i="8" s="1"/>
  <c r="FR8" i="8" s="1"/>
  <c r="FR11" i="8" s="1"/>
  <c r="FS17" i="8" s="1"/>
  <c r="FS5" i="8" l="1"/>
  <c r="FR19" i="8"/>
  <c r="FR25" i="8"/>
  <c r="FR10" i="8"/>
  <c r="FS6" i="8"/>
  <c r="FS4" i="8" s="1"/>
  <c r="FS8" i="8" s="1"/>
  <c r="FS11" i="8" s="1"/>
  <c r="FT17" i="8" s="1"/>
  <c r="FR20" i="8"/>
  <c r="FS19" i="8" l="1"/>
  <c r="FT6" i="8"/>
  <c r="FT4" i="8" s="1"/>
  <c r="FT8" i="8" s="1"/>
  <c r="FT11" i="8" s="1"/>
  <c r="FU17" i="8" s="1"/>
  <c r="FS20" i="8"/>
  <c r="FS10" i="8"/>
  <c r="FS25" i="8"/>
  <c r="FT5" i="8"/>
  <c r="FU5" i="8" l="1"/>
  <c r="FT20" i="8"/>
  <c r="FT19" i="8"/>
  <c r="FT10" i="8"/>
  <c r="FT25" i="8"/>
  <c r="FU6" i="8"/>
  <c r="FU4" i="8" s="1"/>
  <c r="FU8" i="8" s="1"/>
  <c r="FU11" i="8" s="1"/>
  <c r="FV17" i="8" s="1"/>
  <c r="FU25" i="8" l="1"/>
  <c r="FU10" i="8"/>
  <c r="FV6" i="8"/>
  <c r="FV4" i="8" s="1"/>
  <c r="FV8" i="8" s="1"/>
  <c r="FV11" i="8" s="1"/>
  <c r="FW17" i="8" s="1"/>
  <c r="FV5" i="8"/>
  <c r="FU20" i="8"/>
  <c r="FU19" i="8"/>
  <c r="FV25" i="8" l="1"/>
  <c r="FV20" i="8"/>
  <c r="FV10" i="8"/>
  <c r="FW5" i="8"/>
  <c r="FV19" i="8"/>
  <c r="FW6" i="8"/>
  <c r="FW4" i="8" s="1"/>
  <c r="FW8" i="8" s="1"/>
  <c r="FW11" i="8" s="1"/>
  <c r="FX17" i="8" s="1"/>
  <c r="FW10" i="8" l="1"/>
  <c r="FW20" i="8"/>
  <c r="FX5" i="8"/>
  <c r="FW19" i="8"/>
  <c r="FW25" i="8"/>
  <c r="FX6" i="8"/>
  <c r="FX4" i="8" s="1"/>
  <c r="FX8" i="8" s="1"/>
  <c r="FX11" i="8" s="1"/>
  <c r="FY17" i="8" s="1"/>
  <c r="FX25" i="8" l="1"/>
  <c r="FY6" i="8"/>
  <c r="FY4" i="8" s="1"/>
  <c r="FY8" i="8" s="1"/>
  <c r="FY11" i="8" s="1"/>
  <c r="FZ17" i="8" s="1"/>
  <c r="FX10" i="8"/>
  <c r="FX19" i="8"/>
  <c r="FY5" i="8"/>
  <c r="FX20" i="8"/>
  <c r="FY20" i="8" l="1"/>
  <c r="FY10" i="8"/>
  <c r="FY19" i="8"/>
  <c r="FZ5" i="8"/>
  <c r="FZ6" i="8"/>
  <c r="FY25" i="8"/>
  <c r="GA6" i="8" l="1"/>
  <c r="FZ20" i="8"/>
  <c r="FZ19" i="8"/>
  <c r="FZ25" i="8"/>
  <c r="FZ10" i="8"/>
  <c r="GR12" i="8" s="1"/>
  <c r="FZ4" i="8"/>
  <c r="GR25" i="8"/>
  <c r="GR23" i="8"/>
  <c r="GR16" i="8"/>
  <c r="GR17" i="8"/>
  <c r="GR20" i="8"/>
  <c r="GR21" i="8"/>
  <c r="GR24" i="8"/>
  <c r="GR14" i="8"/>
  <c r="GR19" i="8"/>
  <c r="GR18" i="8"/>
  <c r="GR22" i="8"/>
  <c r="GR11" i="8"/>
  <c r="GR13" i="8"/>
  <c r="GR15" i="8"/>
  <c r="H16" i="8" l="1"/>
  <c r="H24" i="8" s="1"/>
  <c r="H26" i="8" s="1"/>
  <c r="I16" i="8"/>
  <c r="I24" i="8" s="1"/>
  <c r="I26" i="8" s="1"/>
  <c r="J16" i="8"/>
  <c r="J24" i="8" s="1"/>
  <c r="J26" i="8" s="1"/>
  <c r="K16" i="8"/>
  <c r="K24" i="8" s="1"/>
  <c r="K26" i="8" s="1"/>
  <c r="L16" i="8"/>
  <c r="L24" i="8" s="1"/>
  <c r="L26" i="8" s="1"/>
  <c r="M16" i="8"/>
  <c r="M24" i="8" s="1"/>
  <c r="M26" i="8" s="1"/>
  <c r="N16" i="8"/>
  <c r="N24" i="8" s="1"/>
  <c r="N26" i="8" s="1"/>
  <c r="O16" i="8"/>
  <c r="O24" i="8" s="1"/>
  <c r="O26" i="8" s="1"/>
  <c r="P16" i="8"/>
  <c r="P24" i="8" s="1"/>
  <c r="P26" i="8" s="1"/>
  <c r="Q16" i="8"/>
  <c r="Q24" i="8" s="1"/>
  <c r="Q26" i="8" s="1"/>
  <c r="R16" i="8"/>
  <c r="R24" i="8" s="1"/>
  <c r="R26" i="8" s="1"/>
  <c r="S16" i="8"/>
  <c r="S24" i="8" s="1"/>
  <c r="S26" i="8" s="1"/>
  <c r="D16" i="8"/>
  <c r="D24" i="8" s="1"/>
  <c r="D26" i="8" s="1"/>
  <c r="C16" i="8"/>
  <c r="C24" i="8" s="1"/>
  <c r="C26" i="8" s="1"/>
  <c r="E16" i="8"/>
  <c r="E24" i="8" s="1"/>
  <c r="E26" i="8" s="1"/>
  <c r="F16" i="8"/>
  <c r="F24" i="8" s="1"/>
  <c r="F26" i="8" s="1"/>
  <c r="G16" i="8"/>
  <c r="G24" i="8" s="1"/>
  <c r="G26" i="8" s="1"/>
  <c r="GA4" i="8"/>
  <c r="GA11" i="8" s="1"/>
  <c r="GB17" i="8" s="1"/>
  <c r="GB6" i="8"/>
  <c r="GB16" i="8" s="1"/>
  <c r="GA20" i="8"/>
  <c r="GA19" i="8"/>
  <c r="GA16" i="8"/>
  <c r="BP16" i="8"/>
  <c r="BP24" i="8" s="1"/>
  <c r="BP26" i="8" s="1"/>
  <c r="BQ16" i="8"/>
  <c r="BQ24" i="8" s="1"/>
  <c r="BQ26" i="8" s="1"/>
  <c r="BR16" i="8"/>
  <c r="BR24" i="8" s="1"/>
  <c r="BR26" i="8" s="1"/>
  <c r="BS16" i="8"/>
  <c r="BS24" i="8" s="1"/>
  <c r="BS26" i="8" s="1"/>
  <c r="BT16" i="8"/>
  <c r="BT24" i="8" s="1"/>
  <c r="BT26" i="8" s="1"/>
  <c r="BU16" i="8"/>
  <c r="BU24" i="8" s="1"/>
  <c r="BU26" i="8" s="1"/>
  <c r="BV16" i="8"/>
  <c r="BV24" i="8" s="1"/>
  <c r="BV26" i="8" s="1"/>
  <c r="BW16" i="8"/>
  <c r="BW24" i="8" s="1"/>
  <c r="BW26" i="8" s="1"/>
  <c r="BX16" i="8"/>
  <c r="BX24" i="8" s="1"/>
  <c r="BX26" i="8" s="1"/>
  <c r="BY16" i="8"/>
  <c r="BY24" i="8" s="1"/>
  <c r="BY26" i="8" s="1"/>
  <c r="BZ16" i="8"/>
  <c r="BZ24" i="8" s="1"/>
  <c r="BZ26" i="8" s="1"/>
  <c r="CA16" i="8"/>
  <c r="CA24" i="8" s="1"/>
  <c r="CA26" i="8" s="1"/>
  <c r="EJ16" i="8"/>
  <c r="EJ24" i="8" s="1"/>
  <c r="EJ26" i="8" s="1"/>
  <c r="EK16" i="8"/>
  <c r="EK24" i="8" s="1"/>
  <c r="EK26" i="8" s="1"/>
  <c r="EL16" i="8"/>
  <c r="EL24" i="8" s="1"/>
  <c r="EL26" i="8" s="1"/>
  <c r="EM16" i="8"/>
  <c r="EM24" i="8" s="1"/>
  <c r="EM26" i="8" s="1"/>
  <c r="EN16" i="8"/>
  <c r="EN24" i="8" s="1"/>
  <c r="EN26" i="8" s="1"/>
  <c r="EO16" i="8"/>
  <c r="EO24" i="8" s="1"/>
  <c r="EO26" i="8" s="1"/>
  <c r="EP16" i="8"/>
  <c r="EP24" i="8" s="1"/>
  <c r="EP26" i="8" s="1"/>
  <c r="EQ16" i="8"/>
  <c r="EQ24" i="8" s="1"/>
  <c r="EQ26" i="8" s="1"/>
  <c r="ER16" i="8"/>
  <c r="ER24" i="8" s="1"/>
  <c r="ER26" i="8" s="1"/>
  <c r="ES16" i="8"/>
  <c r="ES24" i="8" s="1"/>
  <c r="ES26" i="8" s="1"/>
  <c r="ET16" i="8"/>
  <c r="ET24" i="8" s="1"/>
  <c r="ET26" i="8" s="1"/>
  <c r="EU16" i="8"/>
  <c r="EU24" i="8" s="1"/>
  <c r="EU26" i="8" s="1"/>
  <c r="AR16" i="8"/>
  <c r="AR24" i="8" s="1"/>
  <c r="AR26" i="8" s="1"/>
  <c r="AS16" i="8"/>
  <c r="AS24" i="8" s="1"/>
  <c r="AS26" i="8" s="1"/>
  <c r="AT16" i="8"/>
  <c r="AT24" i="8" s="1"/>
  <c r="AT26" i="8" s="1"/>
  <c r="AU16" i="8"/>
  <c r="AU24" i="8" s="1"/>
  <c r="AU26" i="8" s="1"/>
  <c r="AV16" i="8"/>
  <c r="AV24" i="8" s="1"/>
  <c r="AV26" i="8" s="1"/>
  <c r="AW16" i="8"/>
  <c r="AW24" i="8" s="1"/>
  <c r="AW26" i="8" s="1"/>
  <c r="AX16" i="8"/>
  <c r="AX24" i="8" s="1"/>
  <c r="AX26" i="8" s="1"/>
  <c r="AY16" i="8"/>
  <c r="AY24" i="8" s="1"/>
  <c r="AY26" i="8" s="1"/>
  <c r="AZ16" i="8"/>
  <c r="AZ24" i="8" s="1"/>
  <c r="AZ26" i="8" s="1"/>
  <c r="BA16" i="8"/>
  <c r="BA24" i="8" s="1"/>
  <c r="BA26" i="8" s="1"/>
  <c r="BB16" i="8"/>
  <c r="BB24" i="8" s="1"/>
  <c r="BB26" i="8" s="1"/>
  <c r="BC16" i="8"/>
  <c r="BC24" i="8" s="1"/>
  <c r="BC26" i="8" s="1"/>
  <c r="DX16" i="8"/>
  <c r="DX24" i="8" s="1"/>
  <c r="DX26" i="8" s="1"/>
  <c r="DY16" i="8"/>
  <c r="DY24" i="8" s="1"/>
  <c r="DY26" i="8" s="1"/>
  <c r="DZ16" i="8"/>
  <c r="DZ24" i="8" s="1"/>
  <c r="DZ26" i="8" s="1"/>
  <c r="EA16" i="8"/>
  <c r="EA24" i="8" s="1"/>
  <c r="EA26" i="8" s="1"/>
  <c r="EB16" i="8"/>
  <c r="EB24" i="8" s="1"/>
  <c r="EB26" i="8" s="1"/>
  <c r="EC16" i="8"/>
  <c r="EC24" i="8" s="1"/>
  <c r="EC26" i="8" s="1"/>
  <c r="ED16" i="8"/>
  <c r="ED24" i="8" s="1"/>
  <c r="ED26" i="8" s="1"/>
  <c r="EE16" i="8"/>
  <c r="EE24" i="8" s="1"/>
  <c r="EE26" i="8" s="1"/>
  <c r="EF16" i="8"/>
  <c r="EF24" i="8" s="1"/>
  <c r="EF26" i="8" s="1"/>
  <c r="EG16" i="8"/>
  <c r="EG24" i="8" s="1"/>
  <c r="EG26" i="8" s="1"/>
  <c r="EH16" i="8"/>
  <c r="EH24" i="8" s="1"/>
  <c r="EH26" i="8" s="1"/>
  <c r="EI16" i="8"/>
  <c r="EI24" i="8" s="1"/>
  <c r="EI26" i="8" s="1"/>
  <c r="CZ16" i="8"/>
  <c r="CZ24" i="8" s="1"/>
  <c r="CZ26" i="8" s="1"/>
  <c r="DA16" i="8"/>
  <c r="DA24" i="8" s="1"/>
  <c r="DA26" i="8" s="1"/>
  <c r="DB16" i="8"/>
  <c r="DB24" i="8" s="1"/>
  <c r="DB26" i="8" s="1"/>
  <c r="DC16" i="8"/>
  <c r="DC24" i="8" s="1"/>
  <c r="DC26" i="8" s="1"/>
  <c r="DD16" i="8"/>
  <c r="DD24" i="8" s="1"/>
  <c r="DD26" i="8" s="1"/>
  <c r="DE16" i="8"/>
  <c r="DE24" i="8" s="1"/>
  <c r="DE26" i="8" s="1"/>
  <c r="DF16" i="8"/>
  <c r="DF24" i="8" s="1"/>
  <c r="DF26" i="8" s="1"/>
  <c r="DG16" i="8"/>
  <c r="DG24" i="8" s="1"/>
  <c r="DG26" i="8" s="1"/>
  <c r="DH16" i="8"/>
  <c r="DH24" i="8" s="1"/>
  <c r="DH26" i="8" s="1"/>
  <c r="DI16" i="8"/>
  <c r="DI24" i="8" s="1"/>
  <c r="DI26" i="8" s="1"/>
  <c r="DJ16" i="8"/>
  <c r="DJ24" i="8" s="1"/>
  <c r="DJ26" i="8" s="1"/>
  <c r="DK16" i="8"/>
  <c r="DK24" i="8" s="1"/>
  <c r="DK26" i="8" s="1"/>
  <c r="FH16" i="8"/>
  <c r="FH24" i="8" s="1"/>
  <c r="FH26" i="8" s="1"/>
  <c r="FI16" i="8"/>
  <c r="FI24" i="8" s="1"/>
  <c r="FI26" i="8" s="1"/>
  <c r="FJ16" i="8"/>
  <c r="FJ24" i="8" s="1"/>
  <c r="FJ26" i="8" s="1"/>
  <c r="FK16" i="8"/>
  <c r="FK24" i="8" s="1"/>
  <c r="FK26" i="8" s="1"/>
  <c r="FL16" i="8"/>
  <c r="FL24" i="8" s="1"/>
  <c r="FL26" i="8" s="1"/>
  <c r="FM16" i="8"/>
  <c r="FM24" i="8" s="1"/>
  <c r="FM26" i="8" s="1"/>
  <c r="FN16" i="8"/>
  <c r="FN24" i="8" s="1"/>
  <c r="FN26" i="8" s="1"/>
  <c r="FO16" i="8"/>
  <c r="FO24" i="8" s="1"/>
  <c r="FO26" i="8" s="1"/>
  <c r="FP16" i="8"/>
  <c r="FP24" i="8" s="1"/>
  <c r="FP26" i="8" s="1"/>
  <c r="FQ16" i="8"/>
  <c r="FQ24" i="8" s="1"/>
  <c r="FQ26" i="8" s="1"/>
  <c r="FR16" i="8"/>
  <c r="FR24" i="8" s="1"/>
  <c r="FR26" i="8" s="1"/>
  <c r="FS16" i="8"/>
  <c r="FS24" i="8" s="1"/>
  <c r="FS26" i="8" s="1"/>
  <c r="DL16" i="8"/>
  <c r="DL24" i="8" s="1"/>
  <c r="DL26" i="8" s="1"/>
  <c r="DM16" i="8"/>
  <c r="DM24" i="8" s="1"/>
  <c r="DM26" i="8" s="1"/>
  <c r="DN16" i="8"/>
  <c r="DN24" i="8" s="1"/>
  <c r="DN26" i="8" s="1"/>
  <c r="DO16" i="8"/>
  <c r="DO24" i="8" s="1"/>
  <c r="DO26" i="8" s="1"/>
  <c r="DP16" i="8"/>
  <c r="DP24" i="8" s="1"/>
  <c r="DP26" i="8" s="1"/>
  <c r="DQ16" i="8"/>
  <c r="DQ24" i="8" s="1"/>
  <c r="DQ26" i="8" s="1"/>
  <c r="DR16" i="8"/>
  <c r="DR24" i="8" s="1"/>
  <c r="DR26" i="8" s="1"/>
  <c r="DS16" i="8"/>
  <c r="DS24" i="8" s="1"/>
  <c r="DS26" i="8" s="1"/>
  <c r="DT16" i="8"/>
  <c r="DT24" i="8" s="1"/>
  <c r="DT26" i="8" s="1"/>
  <c r="DU16" i="8"/>
  <c r="DU24" i="8" s="1"/>
  <c r="DU26" i="8" s="1"/>
  <c r="DV16" i="8"/>
  <c r="DV24" i="8" s="1"/>
  <c r="DV26" i="8" s="1"/>
  <c r="DW16" i="8"/>
  <c r="DW24" i="8" s="1"/>
  <c r="DW26" i="8" s="1"/>
  <c r="AF16" i="8"/>
  <c r="AF24" i="8" s="1"/>
  <c r="AF26" i="8" s="1"/>
  <c r="AG16" i="8"/>
  <c r="AG24" i="8" s="1"/>
  <c r="AG26" i="8" s="1"/>
  <c r="AH16" i="8"/>
  <c r="AH24" i="8" s="1"/>
  <c r="AH26" i="8" s="1"/>
  <c r="AI16" i="8"/>
  <c r="AI24" i="8" s="1"/>
  <c r="AI26" i="8" s="1"/>
  <c r="AJ16" i="8"/>
  <c r="AJ24" i="8" s="1"/>
  <c r="AJ26" i="8" s="1"/>
  <c r="AK16" i="8"/>
  <c r="AK24" i="8" s="1"/>
  <c r="AK26" i="8" s="1"/>
  <c r="AL16" i="8"/>
  <c r="AL24" i="8" s="1"/>
  <c r="AL26" i="8" s="1"/>
  <c r="AM16" i="8"/>
  <c r="AM24" i="8" s="1"/>
  <c r="AM26" i="8" s="1"/>
  <c r="AN16" i="8"/>
  <c r="AN24" i="8" s="1"/>
  <c r="AN26" i="8" s="1"/>
  <c r="AO16" i="8"/>
  <c r="AO24" i="8" s="1"/>
  <c r="AO26" i="8" s="1"/>
  <c r="AP16" i="8"/>
  <c r="AP24" i="8" s="1"/>
  <c r="AP26" i="8" s="1"/>
  <c r="AQ16" i="8"/>
  <c r="AQ24" i="8" s="1"/>
  <c r="AQ26" i="8" s="1"/>
  <c r="BD16" i="8"/>
  <c r="BD24" i="8" s="1"/>
  <c r="BD26" i="8" s="1"/>
  <c r="BE16" i="8"/>
  <c r="BE24" i="8" s="1"/>
  <c r="BE26" i="8" s="1"/>
  <c r="BF16" i="8"/>
  <c r="BF24" i="8" s="1"/>
  <c r="BF26" i="8" s="1"/>
  <c r="BG16" i="8"/>
  <c r="BG24" i="8" s="1"/>
  <c r="BG26" i="8" s="1"/>
  <c r="BH16" i="8"/>
  <c r="BH24" i="8" s="1"/>
  <c r="BH26" i="8" s="1"/>
  <c r="BI16" i="8"/>
  <c r="BI24" i="8" s="1"/>
  <c r="BI26" i="8" s="1"/>
  <c r="BJ16" i="8"/>
  <c r="BJ24" i="8" s="1"/>
  <c r="BJ26" i="8" s="1"/>
  <c r="BK16" i="8"/>
  <c r="BK24" i="8" s="1"/>
  <c r="BK26" i="8" s="1"/>
  <c r="BL16" i="8"/>
  <c r="BL24" i="8" s="1"/>
  <c r="BL26" i="8" s="1"/>
  <c r="BM16" i="8"/>
  <c r="BM24" i="8" s="1"/>
  <c r="BM26" i="8" s="1"/>
  <c r="BN16" i="8"/>
  <c r="BN24" i="8" s="1"/>
  <c r="BN26" i="8" s="1"/>
  <c r="BO16" i="8"/>
  <c r="BO24" i="8" s="1"/>
  <c r="BO26" i="8" s="1"/>
  <c r="CN16" i="8"/>
  <c r="CN24" i="8" s="1"/>
  <c r="CN26" i="8" s="1"/>
  <c r="CO16" i="8"/>
  <c r="CO24" i="8" s="1"/>
  <c r="CO26" i="8" s="1"/>
  <c r="CP16" i="8"/>
  <c r="CP24" i="8" s="1"/>
  <c r="CP26" i="8" s="1"/>
  <c r="CQ16" i="8"/>
  <c r="CQ24" i="8" s="1"/>
  <c r="CQ26" i="8" s="1"/>
  <c r="CR16" i="8"/>
  <c r="CR24" i="8" s="1"/>
  <c r="CR26" i="8" s="1"/>
  <c r="CS16" i="8"/>
  <c r="CS24" i="8" s="1"/>
  <c r="CS26" i="8" s="1"/>
  <c r="CT16" i="8"/>
  <c r="CT24" i="8" s="1"/>
  <c r="CT26" i="8" s="1"/>
  <c r="CU16" i="8"/>
  <c r="CU24" i="8" s="1"/>
  <c r="CU26" i="8" s="1"/>
  <c r="CV16" i="8"/>
  <c r="CV24" i="8" s="1"/>
  <c r="CV26" i="8" s="1"/>
  <c r="CW16" i="8"/>
  <c r="CW24" i="8" s="1"/>
  <c r="CW26" i="8" s="1"/>
  <c r="CX16" i="8"/>
  <c r="CX24" i="8" s="1"/>
  <c r="CX26" i="8" s="1"/>
  <c r="CY16" i="8"/>
  <c r="CY24" i="8" s="1"/>
  <c r="CY26" i="8" s="1"/>
  <c r="FZ8" i="8"/>
  <c r="FZ11" i="8" s="1"/>
  <c r="GA17" i="8" s="1"/>
  <c r="EV16" i="8"/>
  <c r="EV24" i="8" s="1"/>
  <c r="EV26" i="8" s="1"/>
  <c r="EW16" i="8"/>
  <c r="EW24" i="8" s="1"/>
  <c r="EW26" i="8" s="1"/>
  <c r="EX16" i="8"/>
  <c r="EX24" i="8" s="1"/>
  <c r="EX26" i="8" s="1"/>
  <c r="EY16" i="8"/>
  <c r="EY24" i="8" s="1"/>
  <c r="EY26" i="8" s="1"/>
  <c r="EZ16" i="8"/>
  <c r="EZ24" i="8" s="1"/>
  <c r="EZ26" i="8" s="1"/>
  <c r="FA16" i="8"/>
  <c r="FA24" i="8" s="1"/>
  <c r="FA26" i="8" s="1"/>
  <c r="FB16" i="8"/>
  <c r="FB24" i="8" s="1"/>
  <c r="FB26" i="8" s="1"/>
  <c r="FC16" i="8"/>
  <c r="FC24" i="8" s="1"/>
  <c r="FC26" i="8" s="1"/>
  <c r="FD16" i="8"/>
  <c r="FD24" i="8" s="1"/>
  <c r="FD26" i="8" s="1"/>
  <c r="FE16" i="8"/>
  <c r="FE24" i="8" s="1"/>
  <c r="FE26" i="8" s="1"/>
  <c r="FF16" i="8"/>
  <c r="FF24" i="8" s="1"/>
  <c r="FF26" i="8" s="1"/>
  <c r="FG16" i="8"/>
  <c r="FG24" i="8" s="1"/>
  <c r="FG26" i="8" s="1"/>
  <c r="FT16" i="8"/>
  <c r="FT24" i="8" s="1"/>
  <c r="FT26" i="8" s="1"/>
  <c r="FU16" i="8"/>
  <c r="FU24" i="8" s="1"/>
  <c r="FU26" i="8" s="1"/>
  <c r="FV16" i="8"/>
  <c r="FV24" i="8" s="1"/>
  <c r="FV26" i="8" s="1"/>
  <c r="FW16" i="8"/>
  <c r="FW24" i="8" s="1"/>
  <c r="FW26" i="8" s="1"/>
  <c r="FX16" i="8"/>
  <c r="FX24" i="8" s="1"/>
  <c r="FX26" i="8" s="1"/>
  <c r="FY16" i="8"/>
  <c r="FY24" i="8" s="1"/>
  <c r="FY26" i="8" s="1"/>
  <c r="CB16" i="8"/>
  <c r="CB24" i="8" s="1"/>
  <c r="CB26" i="8" s="1"/>
  <c r="CC16" i="8"/>
  <c r="CC24" i="8" s="1"/>
  <c r="CC26" i="8" s="1"/>
  <c r="CD16" i="8"/>
  <c r="CD24" i="8" s="1"/>
  <c r="CD26" i="8" s="1"/>
  <c r="CE16" i="8"/>
  <c r="CE24" i="8" s="1"/>
  <c r="CE26" i="8" s="1"/>
  <c r="CF16" i="8"/>
  <c r="CF24" i="8" s="1"/>
  <c r="CF26" i="8" s="1"/>
  <c r="CG16" i="8"/>
  <c r="CG24" i="8" s="1"/>
  <c r="CG26" i="8" s="1"/>
  <c r="CH16" i="8"/>
  <c r="CH24" i="8" s="1"/>
  <c r="CH26" i="8" s="1"/>
  <c r="CI16" i="8"/>
  <c r="CI24" i="8" s="1"/>
  <c r="CI26" i="8" s="1"/>
  <c r="CJ16" i="8"/>
  <c r="CJ24" i="8" s="1"/>
  <c r="CJ26" i="8" s="1"/>
  <c r="CK16" i="8"/>
  <c r="CK24" i="8" s="1"/>
  <c r="CK26" i="8" s="1"/>
  <c r="CL16" i="8"/>
  <c r="CL24" i="8" s="1"/>
  <c r="CL26" i="8" s="1"/>
  <c r="CM16" i="8"/>
  <c r="CM24" i="8" s="1"/>
  <c r="CM26" i="8" s="1"/>
  <c r="T16" i="8"/>
  <c r="T24" i="8" s="1"/>
  <c r="T26" i="8" s="1"/>
  <c r="U16" i="8"/>
  <c r="U24" i="8" s="1"/>
  <c r="U26" i="8" s="1"/>
  <c r="V16" i="8"/>
  <c r="V24" i="8" s="1"/>
  <c r="V26" i="8" s="1"/>
  <c r="W16" i="8"/>
  <c r="W24" i="8" s="1"/>
  <c r="W26" i="8" s="1"/>
  <c r="X16" i="8"/>
  <c r="X24" i="8" s="1"/>
  <c r="X26" i="8" s="1"/>
  <c r="Y16" i="8"/>
  <c r="Y24" i="8" s="1"/>
  <c r="Y26" i="8" s="1"/>
  <c r="Z16" i="8"/>
  <c r="Z24" i="8" s="1"/>
  <c r="Z26" i="8" s="1"/>
  <c r="AA16" i="8"/>
  <c r="AA24" i="8" s="1"/>
  <c r="AA26" i="8" s="1"/>
  <c r="AB16" i="8"/>
  <c r="AB24" i="8" s="1"/>
  <c r="AB26" i="8" s="1"/>
  <c r="AC16" i="8"/>
  <c r="AC24" i="8" s="1"/>
  <c r="AC26" i="8" s="1"/>
  <c r="AD16" i="8"/>
  <c r="AD24" i="8" s="1"/>
  <c r="AD26" i="8" s="1"/>
  <c r="AE16" i="8"/>
  <c r="AE24" i="8" s="1"/>
  <c r="AE26" i="8" s="1"/>
  <c r="FZ16" i="8"/>
  <c r="FZ24" i="8" s="1"/>
  <c r="FZ26" i="8" s="1"/>
  <c r="GB4" i="8" l="1"/>
  <c r="GB19" i="8"/>
  <c r="GC6" i="8"/>
  <c r="GB20" i="8"/>
  <c r="GB24" i="8" s="1"/>
  <c r="GB26" i="8" s="1"/>
  <c r="GA24" i="8"/>
  <c r="GD6" i="8" l="1"/>
  <c r="GC19" i="8"/>
  <c r="GC4" i="8"/>
  <c r="GC20" i="8"/>
  <c r="GC16" i="8"/>
  <c r="GB11" i="8"/>
  <c r="GC17" i="8" s="1"/>
  <c r="GA26" i="8"/>
  <c r="GC24" i="8" l="1"/>
  <c r="GC26" i="8" s="1"/>
  <c r="GC11" i="8"/>
  <c r="GD17" i="8" s="1"/>
  <c r="GD19" i="8"/>
  <c r="GE6" i="8"/>
  <c r="GD20" i="8"/>
  <c r="GD4" i="8"/>
  <c r="GD16" i="8"/>
  <c r="GD24" i="8" l="1"/>
  <c r="GD26" i="8" s="1"/>
  <c r="GD11" i="8"/>
  <c r="GE17" i="8" s="1"/>
  <c r="GE20" i="8"/>
  <c r="GE19" i="8"/>
  <c r="GF6" i="8"/>
  <c r="GE4" i="8"/>
  <c r="GE16" i="8"/>
  <c r="GE24" i="8" l="1"/>
  <c r="GE26" i="8" s="1"/>
  <c r="GE11" i="8"/>
  <c r="GF17" i="8" s="1"/>
  <c r="GF20" i="8"/>
  <c r="GF19" i="8"/>
  <c r="GF4" i="8"/>
  <c r="GG6" i="8"/>
  <c r="GF16" i="8"/>
  <c r="GF24" i="8" l="1"/>
  <c r="GF26" i="8" s="1"/>
  <c r="GH6" i="8"/>
  <c r="GG19" i="8"/>
  <c r="GG20" i="8"/>
  <c r="GG4" i="8"/>
  <c r="GG16" i="8"/>
  <c r="GF11" i="8"/>
  <c r="GG17" i="8" s="1"/>
  <c r="GG11" i="8" l="1"/>
  <c r="GH17" i="8" s="1"/>
  <c r="GH19" i="8"/>
  <c r="GI6" i="8"/>
  <c r="GH20" i="8"/>
  <c r="GH4" i="8"/>
  <c r="GH16" i="8"/>
  <c r="GG24" i="8"/>
  <c r="GG26" i="8" s="1"/>
  <c r="GH24" i="8" l="1"/>
  <c r="GH26" i="8" s="1"/>
  <c r="GH11" i="8"/>
  <c r="GI17" i="8" s="1"/>
  <c r="GI19" i="8"/>
  <c r="GJ6" i="8"/>
  <c r="GI4" i="8"/>
  <c r="GI20" i="8"/>
  <c r="GI16" i="8"/>
  <c r="GI24" i="8" l="1"/>
  <c r="GI26" i="8" s="1"/>
  <c r="GK6" i="8"/>
  <c r="GJ4" i="8"/>
  <c r="GJ20" i="8"/>
  <c r="GJ19" i="8"/>
  <c r="GJ16" i="8"/>
  <c r="GI11" i="8"/>
  <c r="GJ17" i="8" s="1"/>
  <c r="GJ24" i="8" l="1"/>
  <c r="GJ26" i="8" s="1"/>
  <c r="GJ11" i="8"/>
  <c r="GK17" i="8" s="1"/>
  <c r="GL6" i="8"/>
  <c r="GK20" i="8"/>
  <c r="GK4" i="8"/>
  <c r="GK19" i="8"/>
  <c r="GK16" i="8"/>
  <c r="GL4" i="8" l="1"/>
  <c r="GL19" i="8"/>
  <c r="GL20" i="8"/>
  <c r="GL16" i="8"/>
  <c r="GK24" i="8"/>
  <c r="GK26" i="8" s="1"/>
  <c r="GK11" i="8"/>
  <c r="GL17" i="8" s="1"/>
  <c r="N31" i="8"/>
  <c r="G31" i="8"/>
  <c r="I31" i="8"/>
  <c r="GL24" i="8" l="1"/>
  <c r="GL26" i="8"/>
  <c r="R31" i="8"/>
  <c r="GL11" i="8"/>
  <c r="D30" i="8"/>
  <c r="E30" i="8"/>
  <c r="R30" i="8"/>
  <c r="C30" i="8"/>
  <c r="H30" i="8"/>
  <c r="G30" i="8"/>
  <c r="F30" i="8"/>
  <c r="I30" i="8"/>
  <c r="J30" i="8"/>
  <c r="K30" i="8"/>
  <c r="L30" i="8"/>
  <c r="M30" i="8"/>
  <c r="O30" i="8"/>
  <c r="N30" i="8"/>
  <c r="Q30" i="8"/>
  <c r="P30" i="8"/>
  <c r="F32" i="8"/>
  <c r="O32" i="8"/>
  <c r="I32" i="8"/>
  <c r="M31" i="8"/>
  <c r="N32" i="8"/>
  <c r="Q32" i="8"/>
  <c r="G32" i="8"/>
  <c r="F31" i="8"/>
  <c r="H32" i="8"/>
  <c r="Q31" i="8"/>
  <c r="Q33" i="8" s="1"/>
  <c r="K31" i="8"/>
  <c r="O31" i="8"/>
  <c r="C31" i="8"/>
  <c r="K32" i="8"/>
  <c r="M32" i="8"/>
  <c r="R32" i="8"/>
  <c r="E32" i="8"/>
  <c r="J31" i="8"/>
  <c r="P32" i="8"/>
  <c r="D32" i="8"/>
  <c r="J32" i="8"/>
  <c r="D31" i="8"/>
  <c r="C32" i="8"/>
  <c r="L32" i="8"/>
  <c r="L31" i="8"/>
  <c r="P31" i="8"/>
  <c r="H31" i="8"/>
  <c r="E31" i="8"/>
  <c r="S20" i="18" l="1"/>
  <c r="T21" i="18"/>
  <c r="R19" i="18"/>
  <c r="J33" i="8"/>
  <c r="L33" i="8"/>
  <c r="I33" i="8"/>
  <c r="N33" i="8"/>
  <c r="G33" i="8"/>
  <c r="F33" i="8"/>
  <c r="B32" i="8"/>
  <c r="E12" i="13" s="1"/>
  <c r="D33" i="8"/>
  <c r="R33" i="8"/>
  <c r="B31" i="8"/>
  <c r="E11" i="13" s="1"/>
  <c r="B30" i="8"/>
  <c r="M21" i="17"/>
  <c r="P33" i="8"/>
  <c r="E33" i="8"/>
  <c r="O33" i="8"/>
  <c r="M33" i="8"/>
  <c r="C33" i="8"/>
  <c r="T21" i="17"/>
  <c r="S20" i="17"/>
  <c r="R19" i="17"/>
  <c r="H33" i="8"/>
  <c r="K33" i="8"/>
  <c r="J21" i="17" l="1"/>
  <c r="I20" i="18"/>
  <c r="H19" i="18"/>
  <c r="J21" i="18"/>
  <c r="Q20" i="18"/>
  <c r="P19" i="18"/>
  <c r="R21" i="18"/>
  <c r="N20" i="17"/>
  <c r="M19" i="18"/>
  <c r="N20" i="18"/>
  <c r="O21" i="18"/>
  <c r="M20" i="18"/>
  <c r="L19" i="18"/>
  <c r="N21" i="18"/>
  <c r="F19" i="18"/>
  <c r="H21" i="18"/>
  <c r="G20" i="18"/>
  <c r="J20" i="18"/>
  <c r="K21" i="18"/>
  <c r="I19" i="18"/>
  <c r="S21" i="18"/>
  <c r="R20" i="18"/>
  <c r="R22" i="18" s="1"/>
  <c r="R30" i="18" s="1"/>
  <c r="R31" i="18" s="1"/>
  <c r="Q19" i="18"/>
  <c r="E19" i="18"/>
  <c r="G21" i="18"/>
  <c r="F20" i="18"/>
  <c r="L20" i="18"/>
  <c r="K19" i="18"/>
  <c r="K22" i="18" s="1"/>
  <c r="K30" i="18" s="1"/>
  <c r="K31" i="18" s="1"/>
  <c r="M21" i="18"/>
  <c r="E20" i="18"/>
  <c r="V20" i="18" s="1"/>
  <c r="D19" i="18"/>
  <c r="F21" i="18"/>
  <c r="V21" i="18" s="1"/>
  <c r="N19" i="18"/>
  <c r="P21" i="18"/>
  <c r="O20" i="18"/>
  <c r="P20" i="17"/>
  <c r="P20" i="18"/>
  <c r="Q21" i="18"/>
  <c r="O19" i="18"/>
  <c r="O22" i="18" s="1"/>
  <c r="O30" i="18" s="1"/>
  <c r="O31" i="18" s="1"/>
  <c r="L21" i="17"/>
  <c r="K20" i="18"/>
  <c r="J19" i="18"/>
  <c r="J22" i="18" s="1"/>
  <c r="J30" i="18" s="1"/>
  <c r="J31" i="18" s="1"/>
  <c r="L21" i="18"/>
  <c r="S19" i="18"/>
  <c r="S22" i="18" s="1"/>
  <c r="S30" i="18" s="1"/>
  <c r="S31" i="18" s="1"/>
  <c r="T20" i="18"/>
  <c r="T22" i="18" s="1"/>
  <c r="T30" i="18" s="1"/>
  <c r="T31" i="18" s="1"/>
  <c r="U21" i="18"/>
  <c r="U22" i="18" s="1"/>
  <c r="U30" i="18" s="1"/>
  <c r="U31" i="18" s="1"/>
  <c r="M19" i="17"/>
  <c r="K19" i="17"/>
  <c r="H20" i="18"/>
  <c r="G19" i="18"/>
  <c r="G22" i="18" s="1"/>
  <c r="G30" i="18" s="1"/>
  <c r="G31" i="18" s="1"/>
  <c r="I21" i="18"/>
  <c r="L20" i="17"/>
  <c r="J19" i="17"/>
  <c r="O21" i="17"/>
  <c r="K20" i="17"/>
  <c r="H19" i="17"/>
  <c r="O19" i="17"/>
  <c r="I20" i="17"/>
  <c r="Q21" i="17"/>
  <c r="O20" i="17"/>
  <c r="P21" i="17"/>
  <c r="N19" i="17"/>
  <c r="T20" i="17"/>
  <c r="T22" i="17" s="1"/>
  <c r="T30" i="17" s="1"/>
  <c r="T31" i="17" s="1"/>
  <c r="S19" i="17"/>
  <c r="U21" i="17"/>
  <c r="U22" i="17" s="1"/>
  <c r="U30" i="17" s="1"/>
  <c r="U31" i="17" s="1"/>
  <c r="E19" i="17"/>
  <c r="F20" i="17"/>
  <c r="G21" i="17"/>
  <c r="P19" i="17"/>
  <c r="P22" i="17" s="1"/>
  <c r="P30" i="17" s="1"/>
  <c r="P31" i="17" s="1"/>
  <c r="R21" i="17"/>
  <c r="Q20" i="17"/>
  <c r="G20" i="17"/>
  <c r="F19" i="17"/>
  <c r="H21" i="17"/>
  <c r="M20" i="17"/>
  <c r="L19" i="17"/>
  <c r="N21" i="17"/>
  <c r="E13" i="13"/>
  <c r="E16" i="13" s="1"/>
  <c r="B33" i="8"/>
  <c r="K21" i="17"/>
  <c r="I19" i="17"/>
  <c r="J20" i="17"/>
  <c r="S21" i="17"/>
  <c r="Q19" i="17"/>
  <c r="R20" i="17"/>
  <c r="D19" i="17"/>
  <c r="F21" i="17"/>
  <c r="E20" i="17"/>
  <c r="I21" i="17"/>
  <c r="H20" i="17"/>
  <c r="G19" i="17"/>
  <c r="L22" i="17" l="1"/>
  <c r="L30" i="17" s="1"/>
  <c r="L31" i="17" s="1"/>
  <c r="E22" i="18"/>
  <c r="E30" i="18" s="1"/>
  <c r="E31" i="18" s="1"/>
  <c r="D22" i="18"/>
  <c r="V19" i="18"/>
  <c r="Q22" i="18"/>
  <c r="Q30" i="18" s="1"/>
  <c r="Q31" i="18" s="1"/>
  <c r="F22" i="18"/>
  <c r="F30" i="18" s="1"/>
  <c r="F31" i="18" s="1"/>
  <c r="P22" i="18"/>
  <c r="P30" i="18" s="1"/>
  <c r="P31" i="18" s="1"/>
  <c r="O22" i="17"/>
  <c r="O30" i="17" s="1"/>
  <c r="O31" i="17" s="1"/>
  <c r="L22" i="18"/>
  <c r="L30" i="18" s="1"/>
  <c r="L31" i="18" s="1"/>
  <c r="M22" i="17"/>
  <c r="M30" i="17" s="1"/>
  <c r="M31" i="17" s="1"/>
  <c r="I22" i="18"/>
  <c r="I30" i="18" s="1"/>
  <c r="I31" i="18" s="1"/>
  <c r="H22" i="18"/>
  <c r="H30" i="18" s="1"/>
  <c r="H31" i="18" s="1"/>
  <c r="J22" i="17"/>
  <c r="J30" i="17" s="1"/>
  <c r="J31" i="17" s="1"/>
  <c r="N22" i="18"/>
  <c r="N30" i="18" s="1"/>
  <c r="N31" i="18" s="1"/>
  <c r="K22" i="17"/>
  <c r="K30" i="17" s="1"/>
  <c r="K31" i="17" s="1"/>
  <c r="M22" i="18"/>
  <c r="M30" i="18" s="1"/>
  <c r="M31" i="18" s="1"/>
  <c r="H22" i="17"/>
  <c r="H30" i="17" s="1"/>
  <c r="H31" i="17" s="1"/>
  <c r="S22" i="17"/>
  <c r="S30" i="17" s="1"/>
  <c r="S31" i="17" s="1"/>
  <c r="V20" i="17"/>
  <c r="V21" i="17"/>
  <c r="G22" i="17"/>
  <c r="G30" i="17" s="1"/>
  <c r="G31" i="17" s="1"/>
  <c r="N22" i="17"/>
  <c r="N30" i="17" s="1"/>
  <c r="N31" i="17" s="1"/>
  <c r="R22" i="17"/>
  <c r="R30" i="17" s="1"/>
  <c r="R31" i="17" s="1"/>
  <c r="E22" i="17"/>
  <c r="E30" i="17" s="1"/>
  <c r="E31" i="17" s="1"/>
  <c r="D22" i="17"/>
  <c r="V19" i="17"/>
  <c r="Q22" i="17"/>
  <c r="Q30" i="17" s="1"/>
  <c r="Q31" i="17" s="1"/>
  <c r="I22" i="17"/>
  <c r="I30" i="17" s="1"/>
  <c r="I31" i="17" s="1"/>
  <c r="F22" i="17"/>
  <c r="F30" i="17" s="1"/>
  <c r="F31" i="17" s="1"/>
  <c r="V22" i="18" l="1"/>
  <c r="D30" i="18"/>
  <c r="D30" i="17"/>
  <c r="V22" i="17"/>
  <c r="D31" i="18" l="1"/>
  <c r="V31" i="18" s="1"/>
  <c r="V30" i="18"/>
  <c r="D31" i="17"/>
  <c r="V31" i="17" s="1"/>
  <c r="V30" i="17"/>
</calcChain>
</file>

<file path=xl/sharedStrings.xml><?xml version="1.0" encoding="utf-8"?>
<sst xmlns="http://schemas.openxmlformats.org/spreadsheetml/2006/main" count="734" uniqueCount="219">
  <si>
    <t>Month</t>
  </si>
  <si>
    <t>Peak</t>
  </si>
  <si>
    <t>Year</t>
  </si>
  <si>
    <t>Beginning</t>
  </si>
  <si>
    <t>Ending</t>
  </si>
  <si>
    <t xml:space="preserve">Started: </t>
  </si>
  <si>
    <t>Requested by:</t>
  </si>
  <si>
    <t>Craig/Josh</t>
  </si>
  <si>
    <t>Avoided Costs:</t>
  </si>
  <si>
    <t>December 2018 Update</t>
  </si>
  <si>
    <t>Load and LMP History:</t>
  </si>
  <si>
    <t>Green Mountain Power</t>
  </si>
  <si>
    <t>Calculation</t>
  </si>
  <si>
    <t>Input</t>
  </si>
  <si>
    <t>Cell Color Code</t>
  </si>
  <si>
    <t>December 2018 Rule 4.100 Avoided Costs</t>
  </si>
  <si>
    <t>Battery Availability</t>
  </si>
  <si>
    <t>RNS</t>
  </si>
  <si>
    <t>Project Year</t>
  </si>
  <si>
    <t>Reserve Margin</t>
  </si>
  <si>
    <t>Losses</t>
  </si>
  <si>
    <t>Marginal Losses</t>
  </si>
  <si>
    <t>Volume</t>
  </si>
  <si>
    <t>FCA11</t>
  </si>
  <si>
    <t>FCA12</t>
  </si>
  <si>
    <t>FCA13</t>
  </si>
  <si>
    <t>FCA14</t>
  </si>
  <si>
    <t>FCA15</t>
  </si>
  <si>
    <t>FCA16</t>
  </si>
  <si>
    <t>FCA17</t>
  </si>
  <si>
    <t>FCA18</t>
  </si>
  <si>
    <t>FCA19</t>
  </si>
  <si>
    <t>FCA20</t>
  </si>
  <si>
    <t>FCA21</t>
  </si>
  <si>
    <t>FCA22</t>
  </si>
  <si>
    <t>FCA23</t>
  </si>
  <si>
    <t>FCA24</t>
  </si>
  <si>
    <t>FCA25</t>
  </si>
  <si>
    <t>FCA26</t>
  </si>
  <si>
    <t>FCA27</t>
  </si>
  <si>
    <t>FCA28</t>
  </si>
  <si>
    <t>FCA29</t>
  </si>
  <si>
    <t>FCA30</t>
  </si>
  <si>
    <t>FCA31</t>
  </si>
  <si>
    <t>FCA32</t>
  </si>
  <si>
    <t>FCA33</t>
  </si>
  <si>
    <t>FCA34</t>
  </si>
  <si>
    <t>FCA35</t>
  </si>
  <si>
    <t>FCA36</t>
  </si>
  <si>
    <t>FCA37</t>
  </si>
  <si>
    <t>FCA38</t>
  </si>
  <si>
    <t>FCA39</t>
  </si>
  <si>
    <t>FCA40</t>
  </si>
  <si>
    <t>FCA41</t>
  </si>
  <si>
    <t>FCA42</t>
  </si>
  <si>
    <t>Auction</t>
  </si>
  <si>
    <t>Price</t>
  </si>
  <si>
    <t>Begin</t>
  </si>
  <si>
    <t>End</t>
  </si>
  <si>
    <t>Capacity Price - $/kW-month</t>
  </si>
  <si>
    <t>RNS Price - $/kW-month</t>
  </si>
  <si>
    <t>Revenues</t>
  </si>
  <si>
    <t>Energy</t>
  </si>
  <si>
    <t>Capacity</t>
  </si>
  <si>
    <t>Total Revenues</t>
  </si>
  <si>
    <t>Forecast</t>
  </si>
  <si>
    <t>Rate</t>
  </si>
  <si>
    <t>Total</t>
  </si>
  <si>
    <t>NPV</t>
  </si>
  <si>
    <t>FCM Physical Effectiveness</t>
  </si>
  <si>
    <t>RNS Physical Effectiveness</t>
  </si>
  <si>
    <t>FCM Forecast Accuracy (% of Physical Effectiveness)</t>
  </si>
  <si>
    <t>RNS Forecast Accuracy (% of Physical Effectiveness) (Minimum Performance or Expected)</t>
  </si>
  <si>
    <t>Analysis of Revenues Associated with Tesla Powerwall Pilot #2</t>
  </si>
  <si>
    <t>Capacity Volume (1)</t>
  </si>
  <si>
    <t>RNS Volume (1)</t>
  </si>
  <si>
    <t>Adjusted Capacity Volume (2)</t>
  </si>
  <si>
    <t>Adjusted RNS Volume (2)</t>
  </si>
  <si>
    <t>(2) Adjusted for losses, reserve margin (for FCM), physical effectiveness, and forecast error.</t>
  </si>
  <si>
    <t>FCM</t>
  </si>
  <si>
    <t xml:space="preserve">Year </t>
  </si>
  <si>
    <t>Failure Rate</t>
  </si>
  <si>
    <t>This is used to determine 'Capacity Volume' and 'RNS Volume' on the Monthly tab.</t>
  </si>
  <si>
    <t xml:space="preserve">Degradation - </t>
  </si>
  <si>
    <t>Tesla ran simulations against the historical data, reducing the energy capacity of the battery</t>
  </si>
  <si>
    <t>RNS Deg</t>
  </si>
  <si>
    <t>FCM Deg</t>
  </si>
  <si>
    <t>Failure</t>
  </si>
  <si>
    <t>Cum Fail</t>
  </si>
  <si>
    <t>Zero failure rate through year 10 due to Tesla Warranty</t>
  </si>
  <si>
    <t>Assumed failure rate starting year 11.</t>
  </si>
  <si>
    <t>Nominal Site Capacity - kW (0)</t>
  </si>
  <si>
    <t>(0) Adjusted for failure rate</t>
  </si>
  <si>
    <t>(1) Adjusted for degradation and availability</t>
  </si>
  <si>
    <t>Macroeconomic Inputs</t>
  </si>
  <si>
    <t>Federal Inc Tax Rate =</t>
  </si>
  <si>
    <t>State Inc Tax Rate=</t>
  </si>
  <si>
    <t>Composite Tax Rate =</t>
  </si>
  <si>
    <t>Financial Inputs</t>
  </si>
  <si>
    <t>Weighted</t>
  </si>
  <si>
    <t>Share</t>
  </si>
  <si>
    <t>Cost</t>
  </si>
  <si>
    <t>Pre-Tax</t>
  </si>
  <si>
    <t>ROR</t>
  </si>
  <si>
    <t>After-Tax</t>
  </si>
  <si>
    <t xml:space="preserve">Common Equity </t>
  </si>
  <si>
    <t>Preferred</t>
  </si>
  <si>
    <t>Debt</t>
  </si>
  <si>
    <t xml:space="preserve">  Preliminary Capital Investment</t>
  </si>
  <si>
    <t xml:space="preserve">  Sales Tax</t>
  </si>
  <si>
    <t xml:space="preserve">  Captialized A&amp;G</t>
  </si>
  <si>
    <t xml:space="preserve">  Installed Capital Investment</t>
  </si>
  <si>
    <r>
      <t xml:space="preserve">  Book Depreciation </t>
    </r>
    <r>
      <rPr>
        <sz val="10"/>
        <color rgb="FF0070C0"/>
        <rFont val="Arial"/>
        <family val="2"/>
      </rPr>
      <t>(10 years)</t>
    </r>
  </si>
  <si>
    <t xml:space="preserve">  Net Plant (b.o.y.)</t>
  </si>
  <si>
    <t xml:space="preserve">  Net Plant (e.o.y.)</t>
  </si>
  <si>
    <r>
      <t xml:space="preserve">  MACRS Depreciation Rates </t>
    </r>
    <r>
      <rPr>
        <sz val="10"/>
        <color rgb="FF0070C0"/>
        <rFont val="Arial"/>
        <family val="2"/>
      </rPr>
      <t>(7 yrs)</t>
    </r>
  </si>
  <si>
    <t xml:space="preserve">  Tax Depreciation</t>
  </si>
  <si>
    <t xml:space="preserve">  Deferred Income Taxes (e.o.y.)</t>
  </si>
  <si>
    <t xml:space="preserve">  Accumulated Deferred Income Taxes (b.o.y.)</t>
  </si>
  <si>
    <t xml:space="preserve">  Working Capital</t>
  </si>
  <si>
    <t xml:space="preserve">  Net Rate Base</t>
  </si>
  <si>
    <t xml:space="preserve">  Income Taxes</t>
  </si>
  <si>
    <t>Total Revenue Requirement (Direct Cost Recovery)</t>
  </si>
  <si>
    <t>Levelized Billing Requirement (aka Present Value Rev. Req.)</t>
  </si>
  <si>
    <t>Adjustment for Gross Revenue &amp; Weather. Taxes</t>
  </si>
  <si>
    <t>Pre-tax ROR</t>
  </si>
  <si>
    <t>Adjusted NPV</t>
  </si>
  <si>
    <t>Post-Tax Cost</t>
  </si>
  <si>
    <t>Adj for Gross Rev</t>
  </si>
  <si>
    <t>Levelization Factor</t>
  </si>
  <si>
    <t>Powerwall Cost</t>
  </si>
  <si>
    <t>Total Rev Requirement</t>
  </si>
  <si>
    <t>year duration</t>
  </si>
  <si>
    <t>Customer Payment</t>
  </si>
  <si>
    <t>per month</t>
  </si>
  <si>
    <t>years</t>
  </si>
  <si>
    <t>Customer Contribution</t>
  </si>
  <si>
    <t>Net Value</t>
  </si>
  <si>
    <t>Powerwall install cost</t>
  </si>
  <si>
    <t>Return Requirement</t>
  </si>
  <si>
    <t>TAX CALCULATION:</t>
  </si>
  <si>
    <t>return on rate base</t>
  </si>
  <si>
    <t>less interest</t>
  </si>
  <si>
    <t>+/- PERM - Book depreciation of ITC basis reduction</t>
  </si>
  <si>
    <r>
      <t xml:space="preserve">ITC amortization </t>
    </r>
    <r>
      <rPr>
        <b/>
        <sz val="10"/>
        <color rgb="FFFF0000"/>
        <rFont val="Arial"/>
        <family val="2"/>
      </rPr>
      <t>( NOTE:  assumes the ITC is monetized in the year earned)</t>
    </r>
  </si>
  <si>
    <t>Subtotal</t>
  </si>
  <si>
    <t>Federal Statutory Rate X</t>
  </si>
  <si>
    <t>1 minus Fed Statutory rate   /</t>
  </si>
  <si>
    <t>ITC amortization</t>
  </si>
  <si>
    <t>Federal Tax Expense / (Benefit)</t>
  </si>
  <si>
    <t>Federal income tax</t>
  </si>
  <si>
    <t>Perms</t>
  </si>
  <si>
    <t>State manual adjs</t>
  </si>
  <si>
    <t>subtotal</t>
  </si>
  <si>
    <t>1 minus STATE Statutory rate   /</t>
  </si>
  <si>
    <t>less return on rate base</t>
  </si>
  <si>
    <t>less Federal income tax</t>
  </si>
  <si>
    <t>perms</t>
  </si>
  <si>
    <t>State Tax Expense / (Benefit)</t>
  </si>
  <si>
    <t>TOTAL TAX EXPENSE / (BENEFIT)</t>
  </si>
  <si>
    <t>CHECK:</t>
  </si>
  <si>
    <t>Return on rate base</t>
  </si>
  <si>
    <t>Add back - Federal Tax</t>
  </si>
  <si>
    <t>State Tax</t>
  </si>
  <si>
    <t>Deduct interest expense</t>
  </si>
  <si>
    <t>PERMS - Book depreciation of ITC Basis reduction</t>
  </si>
  <si>
    <t>Pretax income</t>
  </si>
  <si>
    <t>Federal &amp; State Statutory rate  X</t>
  </si>
  <si>
    <t>Tax before ITC amortization</t>
  </si>
  <si>
    <t>NET TAX</t>
  </si>
  <si>
    <t>VARIANCE</t>
  </si>
  <si>
    <t>tax</t>
  </si>
  <si>
    <t>net income / (loss)</t>
  </si>
  <si>
    <t>Recap of COS impact on income:</t>
  </si>
  <si>
    <t>Retail Revenue</t>
  </si>
  <si>
    <t>Depreciation</t>
  </si>
  <si>
    <t>Interest Expense</t>
  </si>
  <si>
    <t>Pre-Tax Income</t>
  </si>
  <si>
    <t>Income Tax</t>
  </si>
  <si>
    <t>Net Income</t>
  </si>
  <si>
    <t>per system (2 PWs) per year</t>
  </si>
  <si>
    <t xml:space="preserve">  Accumulated Deferred Income Taxes (e.o.y.)</t>
  </si>
  <si>
    <t>Costs</t>
  </si>
  <si>
    <t>Software Fees</t>
  </si>
  <si>
    <t>Total Costs</t>
  </si>
  <si>
    <t>Power Supply Value</t>
  </si>
  <si>
    <t>Total Revenue</t>
  </si>
  <si>
    <t>Net Benefit</t>
  </si>
  <si>
    <t>Monthly Customers</t>
  </si>
  <si>
    <t>Equipment &amp; Installation Costs Year 1</t>
  </si>
  <si>
    <t>Equipment &amp; Installation Costs Year 2</t>
  </si>
  <si>
    <t>Equipment &amp; Installation Costs Year 3</t>
  </si>
  <si>
    <t>Upfront Customers</t>
  </si>
  <si>
    <t>Power Supply Value Year 1</t>
  </si>
  <si>
    <t>Power Supply Value Year 2</t>
  </si>
  <si>
    <t>Power Supply Value Year 3</t>
  </si>
  <si>
    <t>Software fees Year 1</t>
  </si>
  <si>
    <t>Software fees Year 2</t>
  </si>
  <si>
    <t>Software fees Year 3</t>
  </si>
  <si>
    <t>Equipment &amp; Installation Costs*</t>
  </si>
  <si>
    <t>Customer Battery Payment (monthly Yr 1)</t>
  </si>
  <si>
    <t>Customer Battery Payment (monthly Yr 2)</t>
  </si>
  <si>
    <t>Customer Battery Payment (monthly Yr 3)</t>
  </si>
  <si>
    <t>Customer Battery Payment (Monthly)</t>
  </si>
  <si>
    <t>Lifetime NPV</t>
  </si>
  <si>
    <t>Monthly</t>
  </si>
  <si>
    <t>Customer Battery Payment (Upfront)</t>
  </si>
  <si>
    <t>*Includes 7.94% A&amp;G allocation for all batteries.</t>
  </si>
  <si>
    <t>Tier 3</t>
  </si>
  <si>
    <t>Tier 3 Value</t>
  </si>
  <si>
    <t>Tier 3 Value - MWH</t>
  </si>
  <si>
    <t>Tier 3 Value - $$</t>
  </si>
  <si>
    <t>Total Tier 3 Value</t>
  </si>
  <si>
    <t>Capitalized A&amp;G</t>
  </si>
  <si>
    <t xml:space="preserve">These are the results of a study done as part of the first program.  </t>
  </si>
  <si>
    <t>Revised</t>
  </si>
  <si>
    <t>This is the assumption that we model. The reserve requirement has been higher than this for several years but the ISO-NE target is 17%.</t>
  </si>
  <si>
    <t>*Includes 7.57% A&amp;G allocation for all batteries.</t>
  </si>
  <si>
    <t>Green Mountain Power Corporation
Tesla Powerwall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</si>
</sst>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0.0%"/>
    <numFmt numFmtId="166" formatCode="#,##0.000_);\(#,##0.000\)"/>
    <numFmt numFmtId="167" formatCode="0.000"/>
    <numFmt numFmtId="168" formatCode="_(* #,##0_);_(* \(#,##0\);_(* &quot;-&quot;??_);_(@_)"/>
    <numFmt numFmtId="169" formatCode="0.00_);\(0.00\)"/>
    <numFmt numFmtId="170" formatCode="0.000%"/>
    <numFmt numFmtId="171" formatCode="_(&quot;$&quot;* #,##0_);_(&quot;$&quot;* \(#,##0\);_(&quot;$&quot;* &quot;-&quot;??_);_(@_)"/>
    <numFmt numFmtId="172" formatCode="&quot;$&quot;#,##0.00;[Red]&quot;$&quot;#,##0.00"/>
    <numFmt numFmtId="173" formatCode="0.0000%"/>
    <numFmt numFmtId="174" formatCode="&quot;$&quot;#,##0.00;[Red]\-&quot;$&quot;#,##0.00"/>
    <numFmt numFmtId="175" formatCode="&quot;$&quot;#,##0"/>
    <numFmt numFmtId="176" formatCode="&quot;$&quot;#,##0.00"/>
    <numFmt numFmtId="177" formatCode="#,##0.000000_);\(#,##0.000000\)"/>
    <numFmt numFmtId="178" formatCode="#,##0.00000000_);\(#,##0.00000000\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SWISS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u/>
      <sz val="10"/>
      <color indexed="8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medium">
        <color auto="1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auto="1"/>
      </bottom>
      <diagonal/>
    </border>
    <border>
      <left style="thin">
        <color rgb="FF7F7F7F"/>
      </left>
      <right style="medium">
        <color auto="1"/>
      </right>
      <top style="thin">
        <color rgb="FF7F7F7F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/>
      <top/>
      <bottom/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7" fillId="0" borderId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8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39" fontId="0" fillId="0" borderId="0" xfId="0" applyNumberFormat="1"/>
    <xf numFmtId="0" fontId="0" fillId="0" borderId="0" xfId="0" applyAlignment="1">
      <alignment horizontal="centerContinuous"/>
    </xf>
    <xf numFmtId="0" fontId="0" fillId="0" borderId="3" xfId="0" applyBorder="1"/>
    <xf numFmtId="0" fontId="0" fillId="0" borderId="0" xfId="0" applyBorder="1"/>
    <xf numFmtId="9" fontId="2" fillId="2" borderId="1" xfId="2" applyNumberFormat="1"/>
    <xf numFmtId="0" fontId="3" fillId="3" borderId="1" xfId="3"/>
    <xf numFmtId="0" fontId="2" fillId="2" borderId="1" xfId="2"/>
    <xf numFmtId="37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6" fillId="0" borderId="0" xfId="0" applyFont="1"/>
    <xf numFmtId="0" fontId="4" fillId="0" borderId="2" xfId="5" applyFont="1" applyBorder="1" applyAlignment="1">
      <alignment horizontal="center"/>
    </xf>
    <xf numFmtId="39" fontId="0" fillId="0" borderId="4" xfId="0" applyNumberFormat="1" applyBorder="1"/>
    <xf numFmtId="37" fontId="0" fillId="0" borderId="4" xfId="0" applyNumberFormat="1" applyBorder="1"/>
    <xf numFmtId="165" fontId="2" fillId="2" borderId="1" xfId="2" applyNumberFormat="1"/>
    <xf numFmtId="0" fontId="0" fillId="0" borderId="0" xfId="0" quotePrefix="1" applyAlignment="1">
      <alignment horizontal="center"/>
    </xf>
    <xf numFmtId="169" fontId="0" fillId="0" borderId="0" xfId="0" applyNumberFormat="1"/>
    <xf numFmtId="0" fontId="0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9" fontId="0" fillId="0" borderId="8" xfId="0" applyNumberFormat="1" applyBorder="1"/>
    <xf numFmtId="0" fontId="0" fillId="0" borderId="9" xfId="0" applyBorder="1"/>
    <xf numFmtId="9" fontId="0" fillId="0" borderId="11" xfId="0" applyNumberFormat="1" applyBorder="1"/>
    <xf numFmtId="9" fontId="2" fillId="2" borderId="1" xfId="2" applyNumberFormat="1" applyBorder="1"/>
    <xf numFmtId="9" fontId="2" fillId="2" borderId="12" xfId="2" applyNumberFormat="1" applyBorder="1"/>
    <xf numFmtId="9" fontId="2" fillId="2" borderId="13" xfId="2" applyNumberFormat="1" applyBorder="1"/>
    <xf numFmtId="9" fontId="2" fillId="2" borderId="14" xfId="2" applyNumberFormat="1" applyBorder="1"/>
    <xf numFmtId="0" fontId="0" fillId="0" borderId="0" xfId="0" applyAlignment="1">
      <alignment horizontal="left" indent="1"/>
    </xf>
    <xf numFmtId="0" fontId="8" fillId="0" borderId="0" xfId="7" applyFont="1" applyAlignment="1" applyProtection="1">
      <alignment horizontal="left"/>
    </xf>
    <xf numFmtId="0" fontId="5" fillId="0" borderId="0" xfId="7" applyFont="1" applyAlignment="1" applyProtection="1">
      <alignment horizontal="center"/>
    </xf>
    <xf numFmtId="0" fontId="9" fillId="0" borderId="0" xfId="7" applyFont="1" applyAlignment="1" applyProtection="1">
      <alignment horizontal="center"/>
    </xf>
    <xf numFmtId="10" fontId="10" fillId="0" borderId="0" xfId="7" applyNumberFormat="1" applyFont="1" applyAlignment="1" applyProtection="1">
      <alignment horizontal="center"/>
      <protection locked="0"/>
    </xf>
    <xf numFmtId="10" fontId="10" fillId="0" borderId="2" xfId="7" applyNumberFormat="1" applyFont="1" applyBorder="1" applyAlignment="1" applyProtection="1">
      <alignment horizontal="center"/>
      <protection locked="0"/>
    </xf>
    <xf numFmtId="170" fontId="9" fillId="0" borderId="0" xfId="7" applyNumberFormat="1" applyFont="1" applyAlignment="1" applyProtection="1">
      <alignment horizontal="center"/>
    </xf>
    <xf numFmtId="0" fontId="11" fillId="0" borderId="0" xfId="7" applyFont="1" applyAlignment="1" applyProtection="1">
      <alignment horizontal="left"/>
    </xf>
    <xf numFmtId="10" fontId="9" fillId="0" borderId="0" xfId="7" applyNumberFormat="1" applyFont="1" applyAlignment="1" applyProtection="1">
      <alignment horizontal="center"/>
    </xf>
    <xf numFmtId="0" fontId="5" fillId="0" borderId="0" xfId="7" applyFont="1" applyAlignment="1">
      <alignment horizontal="center"/>
    </xf>
    <xf numFmtId="10" fontId="9" fillId="5" borderId="0" xfId="7" applyNumberFormat="1" applyFont="1" applyFill="1" applyAlignment="1" applyProtection="1">
      <alignment horizontal="center"/>
    </xf>
    <xf numFmtId="10" fontId="10" fillId="0" borderId="0" xfId="7" applyNumberFormat="1" applyFont="1" applyFill="1" applyAlignment="1" applyProtection="1">
      <alignment horizontal="center"/>
      <protection locked="0"/>
    </xf>
    <xf numFmtId="6" fontId="0" fillId="0" borderId="0" xfId="0" applyNumberFormat="1"/>
    <xf numFmtId="0" fontId="18" fillId="0" borderId="0" xfId="0" applyFont="1"/>
    <xf numFmtId="8" fontId="0" fillId="0" borderId="0" xfId="0" applyNumberFormat="1"/>
    <xf numFmtId="175" fontId="2" fillId="2" borderId="1" xfId="2" applyNumberFormat="1"/>
    <xf numFmtId="0" fontId="0" fillId="0" borderId="15" xfId="0" applyBorder="1"/>
    <xf numFmtId="0" fontId="0" fillId="0" borderId="16" xfId="0" applyBorder="1"/>
    <xf numFmtId="0" fontId="0" fillId="0" borderId="2" xfId="0" applyBorder="1"/>
    <xf numFmtId="6" fontId="0" fillId="0" borderId="19" xfId="0" applyNumberFormat="1" applyBorder="1"/>
    <xf numFmtId="6" fontId="18" fillId="0" borderId="0" xfId="0" applyNumberFormat="1" applyFont="1"/>
    <xf numFmtId="44" fontId="0" fillId="0" borderId="0" xfId="6" applyFont="1"/>
    <xf numFmtId="5" fontId="0" fillId="0" borderId="0" xfId="0" applyNumberFormat="1"/>
    <xf numFmtId="0" fontId="0" fillId="7" borderId="0" xfId="0" applyFill="1"/>
    <xf numFmtId="37" fontId="0" fillId="7" borderId="0" xfId="0" applyNumberFormat="1" applyFill="1"/>
    <xf numFmtId="0" fontId="0" fillId="0" borderId="18" xfId="0" applyBorder="1" applyAlignment="1">
      <alignment horizontal="left" indent="1"/>
    </xf>
    <xf numFmtId="0" fontId="0" fillId="0" borderId="17" xfId="0" applyBorder="1"/>
    <xf numFmtId="6" fontId="0" fillId="0" borderId="0" xfId="0" applyNumberFormat="1" applyBorder="1"/>
    <xf numFmtId="6" fontId="4" fillId="0" borderId="0" xfId="0" applyNumberFormat="1" applyFont="1"/>
    <xf numFmtId="176" fontId="19" fillId="0" borderId="0" xfId="0" applyNumberFormat="1" applyFont="1"/>
    <xf numFmtId="0" fontId="5" fillId="0" borderId="0" xfId="12"/>
    <xf numFmtId="0" fontId="5" fillId="0" borderId="0" xfId="12" applyFill="1" applyBorder="1"/>
    <xf numFmtId="6" fontId="5" fillId="0" borderId="0" xfId="8" applyNumberFormat="1" applyFont="1" applyFill="1" applyBorder="1"/>
    <xf numFmtId="6" fontId="5" fillId="0" borderId="0" xfId="12" applyNumberFormat="1" applyFill="1" applyBorder="1"/>
    <xf numFmtId="9" fontId="5" fillId="0" borderId="0" xfId="12" applyNumberFormat="1" applyFill="1" applyBorder="1"/>
    <xf numFmtId="44" fontId="5" fillId="0" borderId="0" xfId="12" applyNumberFormat="1" applyFill="1" applyBorder="1"/>
    <xf numFmtId="10" fontId="5" fillId="0" borderId="0" xfId="12" applyNumberFormat="1" applyAlignment="1">
      <alignment horizontal="center"/>
    </xf>
    <xf numFmtId="0" fontId="5" fillId="0" borderId="2" xfId="12" applyBorder="1"/>
    <xf numFmtId="0" fontId="5" fillId="0" borderId="0" xfId="12" applyBorder="1"/>
    <xf numFmtId="0" fontId="5" fillId="0" borderId="0" xfId="12" applyFont="1"/>
    <xf numFmtId="0" fontId="5" fillId="0" borderId="0" xfId="12" applyFill="1"/>
    <xf numFmtId="171" fontId="10" fillId="0" borderId="0" xfId="13" applyNumberFormat="1" applyFont="1" applyFill="1"/>
    <xf numFmtId="44" fontId="5" fillId="0" borderId="0" xfId="12" applyNumberFormat="1" applyFill="1"/>
    <xf numFmtId="44" fontId="5" fillId="0" borderId="2" xfId="12" applyNumberFormat="1" applyFill="1" applyBorder="1"/>
    <xf numFmtId="44" fontId="5" fillId="0" borderId="0" xfId="12" applyNumberFormat="1"/>
    <xf numFmtId="44" fontId="5" fillId="6" borderId="0" xfId="13" applyNumberFormat="1" applyFont="1" applyFill="1"/>
    <xf numFmtId="6" fontId="5" fillId="0" borderId="0" xfId="12" applyNumberFormat="1"/>
    <xf numFmtId="43" fontId="5" fillId="0" borderId="0" xfId="12" applyNumberFormat="1"/>
    <xf numFmtId="43" fontId="5" fillId="0" borderId="0" xfId="12" applyNumberFormat="1" applyBorder="1"/>
    <xf numFmtId="168" fontId="10" fillId="0" borderId="0" xfId="14" applyNumberFormat="1" applyFont="1"/>
    <xf numFmtId="6" fontId="5" fillId="0" borderId="0" xfId="12" applyNumberFormat="1" applyFont="1"/>
    <xf numFmtId="43" fontId="13" fillId="0" borderId="0" xfId="12" applyNumberFormat="1" applyFont="1" applyBorder="1"/>
    <xf numFmtId="170" fontId="10" fillId="0" borderId="0" xfId="15" applyNumberFormat="1" applyFont="1"/>
    <xf numFmtId="43" fontId="14" fillId="0" borderId="0" xfId="12" applyNumberFormat="1" applyFont="1" applyBorder="1"/>
    <xf numFmtId="6" fontId="15" fillId="4" borderId="0" xfId="12" applyNumberFormat="1" applyFont="1" applyFill="1"/>
    <xf numFmtId="165" fontId="16" fillId="0" borderId="0" xfId="15" applyNumberFormat="1" applyFont="1"/>
    <xf numFmtId="165" fontId="10" fillId="0" borderId="0" xfId="15" applyNumberFormat="1" applyFont="1" applyBorder="1"/>
    <xf numFmtId="10" fontId="10" fillId="0" borderId="0" xfId="15" applyNumberFormat="1" applyFont="1"/>
    <xf numFmtId="43" fontId="5" fillId="0" borderId="0" xfId="12" applyNumberFormat="1" applyFont="1" applyBorder="1"/>
    <xf numFmtId="0" fontId="5" fillId="0" borderId="0" xfId="12" applyAlignment="1">
      <alignment horizontal="left" indent="1"/>
    </xf>
    <xf numFmtId="6" fontId="5" fillId="4" borderId="0" xfId="12" applyNumberFormat="1" applyFont="1" applyFill="1"/>
    <xf numFmtId="10" fontId="10" fillId="0" borderId="2" xfId="15" applyNumberFormat="1" applyFont="1" applyBorder="1"/>
    <xf numFmtId="8" fontId="5" fillId="0" borderId="2" xfId="12" applyNumberFormat="1" applyBorder="1"/>
    <xf numFmtId="6" fontId="5" fillId="4" borderId="2" xfId="12" applyNumberFormat="1" applyFont="1" applyFill="1" applyBorder="1"/>
    <xf numFmtId="0" fontId="14" fillId="0" borderId="0" xfId="12" applyFont="1"/>
    <xf numFmtId="10" fontId="5" fillId="0" borderId="0" xfId="15" applyNumberFormat="1" applyFont="1" applyFill="1" applyBorder="1" applyAlignment="1">
      <alignment horizontal="center"/>
    </xf>
    <xf numFmtId="0" fontId="5" fillId="0" borderId="0" xfId="12" applyFill="1" applyBorder="1" applyAlignment="1">
      <alignment horizontal="center"/>
    </xf>
    <xf numFmtId="43" fontId="14" fillId="0" borderId="0" xfId="9" applyFont="1" applyFill="1" applyBorder="1"/>
    <xf numFmtId="10" fontId="14" fillId="0" borderId="0" xfId="10" applyNumberFormat="1" applyFont="1" applyFill="1" applyBorder="1"/>
    <xf numFmtId="0" fontId="5" fillId="6" borderId="5" xfId="12" applyFont="1" applyFill="1" applyBorder="1"/>
    <xf numFmtId="10" fontId="10" fillId="6" borderId="6" xfId="15" applyNumberFormat="1" applyFont="1" applyFill="1" applyBorder="1"/>
    <xf numFmtId="0" fontId="5" fillId="6" borderId="6" xfId="12" applyFill="1" applyBorder="1"/>
    <xf numFmtId="6" fontId="5" fillId="6" borderId="7" xfId="12" applyNumberFormat="1" applyFill="1" applyBorder="1"/>
    <xf numFmtId="172" fontId="5" fillId="0" borderId="0" xfId="12" applyNumberFormat="1"/>
    <xf numFmtId="43" fontId="10" fillId="0" borderId="0" xfId="12" applyNumberFormat="1" applyFont="1" applyBorder="1"/>
    <xf numFmtId="0" fontId="5" fillId="6" borderId="9" xfId="12" applyFill="1" applyBorder="1"/>
    <xf numFmtId="10" fontId="10" fillId="6" borderId="10" xfId="15" applyNumberFormat="1" applyFont="1" applyFill="1" applyBorder="1"/>
    <xf numFmtId="0" fontId="5" fillId="6" borderId="10" xfId="12" applyFill="1" applyBorder="1"/>
    <xf numFmtId="6" fontId="5" fillId="6" borderId="11" xfId="12" applyNumberFormat="1" applyFill="1" applyBorder="1"/>
    <xf numFmtId="8" fontId="5" fillId="0" borderId="0" xfId="12" applyNumberFormat="1"/>
    <xf numFmtId="43" fontId="14" fillId="0" borderId="0" xfId="12" applyNumberFormat="1" applyFont="1" applyFill="1" applyBorder="1"/>
    <xf numFmtId="166" fontId="5" fillId="0" borderId="0" xfId="12" applyNumberFormat="1"/>
    <xf numFmtId="10" fontId="5" fillId="0" borderId="0" xfId="10" applyNumberFormat="1" applyFont="1"/>
    <xf numFmtId="10" fontId="5" fillId="0" borderId="0" xfId="12" applyNumberFormat="1"/>
    <xf numFmtId="173" fontId="5" fillId="0" borderId="0" xfId="10" applyNumberFormat="1" applyFont="1"/>
    <xf numFmtId="9" fontId="5" fillId="0" borderId="0" xfId="12" applyNumberFormat="1"/>
    <xf numFmtId="44" fontId="5" fillId="0" borderId="0" xfId="8" applyFont="1"/>
    <xf numFmtId="0" fontId="5" fillId="6" borderId="0" xfId="12" applyFill="1"/>
    <xf numFmtId="167" fontId="14" fillId="6" borderId="0" xfId="12" applyNumberFormat="1" applyFont="1" applyFill="1"/>
    <xf numFmtId="174" fontId="5" fillId="0" borderId="0" xfId="12" applyNumberFormat="1"/>
    <xf numFmtId="0" fontId="5" fillId="0" borderId="0" xfId="12" applyAlignment="1">
      <alignment horizontal="right"/>
    </xf>
    <xf numFmtId="37" fontId="5" fillId="0" borderId="0" xfId="12" applyNumberFormat="1"/>
    <xf numFmtId="0" fontId="5" fillId="0" borderId="0" xfId="12" quotePrefix="1" applyAlignment="1">
      <alignment horizontal="right"/>
    </xf>
    <xf numFmtId="37" fontId="5" fillId="0" borderId="0" xfId="12" applyNumberFormat="1" applyBorder="1"/>
    <xf numFmtId="37" fontId="5" fillId="0" borderId="2" xfId="12" applyNumberFormat="1" applyBorder="1"/>
    <xf numFmtId="38" fontId="5" fillId="0" borderId="0" xfId="12" applyNumberFormat="1"/>
    <xf numFmtId="0" fontId="5" fillId="0" borderId="0" xfId="12" applyBorder="1" applyAlignment="1">
      <alignment horizontal="right"/>
    </xf>
    <xf numFmtId="170" fontId="5" fillId="0" borderId="2" xfId="12" applyNumberFormat="1" applyBorder="1"/>
    <xf numFmtId="177" fontId="5" fillId="0" borderId="2" xfId="12" applyNumberFormat="1" applyBorder="1"/>
    <xf numFmtId="37" fontId="5" fillId="4" borderId="20" xfId="12" applyNumberFormat="1" applyFill="1" applyBorder="1"/>
    <xf numFmtId="37" fontId="5" fillId="0" borderId="20" xfId="12" applyNumberFormat="1" applyBorder="1"/>
    <xf numFmtId="0" fontId="21" fillId="0" borderId="2" xfId="12" applyFont="1" applyBorder="1"/>
    <xf numFmtId="37" fontId="5" fillId="0" borderId="4" xfId="12" applyNumberFormat="1" applyBorder="1"/>
    <xf numFmtId="43" fontId="5" fillId="0" borderId="0" xfId="9" applyFont="1"/>
    <xf numFmtId="165" fontId="5" fillId="0" borderId="0" xfId="10" applyNumberFormat="1" applyFont="1"/>
    <xf numFmtId="178" fontId="5" fillId="0" borderId="0" xfId="12" applyNumberFormat="1"/>
    <xf numFmtId="5" fontId="22" fillId="0" borderId="0" xfId="6" applyNumberFormat="1" applyFont="1" applyFill="1" applyBorder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6" fontId="4" fillId="0" borderId="0" xfId="0" applyNumberFormat="1" applyFont="1" applyAlignment="1">
      <alignment horizontal="center"/>
    </xf>
    <xf numFmtId="6" fontId="0" fillId="0" borderId="2" xfId="0" applyNumberFormat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6" fontId="0" fillId="0" borderId="0" xfId="0" applyNumberFormat="1" applyBorder="1" applyAlignment="1">
      <alignment horizontal="center"/>
    </xf>
    <xf numFmtId="6" fontId="0" fillId="0" borderId="4" xfId="0" applyNumberFormat="1" applyBorder="1" applyAlignment="1">
      <alignment horizontal="center"/>
    </xf>
    <xf numFmtId="6" fontId="4" fillId="0" borderId="0" xfId="0" applyNumberFormat="1" applyFont="1" applyBorder="1" applyAlignment="1">
      <alignment horizontal="center"/>
    </xf>
    <xf numFmtId="8" fontId="0" fillId="0" borderId="0" xfId="0" applyNumberFormat="1" applyBorder="1"/>
    <xf numFmtId="0" fontId="2" fillId="2" borderId="1" xfId="2" applyNumberFormat="1"/>
    <xf numFmtId="175" fontId="2" fillId="0" borderId="1" xfId="2" applyNumberFormat="1" applyFill="1"/>
    <xf numFmtId="0" fontId="0" fillId="0" borderId="0" xfId="0" applyFill="1"/>
    <xf numFmtId="0" fontId="0" fillId="0" borderId="0" xfId="0" applyFill="1" applyAlignment="1">
      <alignment horizontal="left" indent="2"/>
    </xf>
    <xf numFmtId="6" fontId="0" fillId="0" borderId="0" xfId="0" applyNumberFormat="1" applyFill="1" applyAlignment="1">
      <alignment horizontal="center"/>
    </xf>
    <xf numFmtId="5" fontId="22" fillId="0" borderId="2" xfId="6" applyNumberFormat="1" applyFont="1" applyFill="1" applyBorder="1"/>
    <xf numFmtId="0" fontId="4" fillId="0" borderId="0" xfId="0" applyFont="1" applyFill="1"/>
    <xf numFmtId="9" fontId="2" fillId="4" borderId="1" xfId="2" applyNumberFormat="1" applyFill="1"/>
    <xf numFmtId="0" fontId="4" fillId="4" borderId="2" xfId="0" applyFont="1" applyFill="1" applyBorder="1" applyAlignment="1">
      <alignment horizontal="center"/>
    </xf>
    <xf numFmtId="0" fontId="9" fillId="4" borderId="0" xfId="7" applyFont="1" applyFill="1" applyAlignment="1">
      <alignment horizontal="center"/>
    </xf>
    <xf numFmtId="0" fontId="9" fillId="4" borderId="2" xfId="7" applyFont="1" applyFill="1" applyBorder="1" applyAlignment="1">
      <alignment horizontal="center"/>
    </xf>
    <xf numFmtId="0" fontId="5" fillId="4" borderId="0" xfId="7" applyFont="1" applyFill="1" applyAlignment="1">
      <alignment horizontal="center"/>
    </xf>
    <xf numFmtId="10" fontId="16" fillId="4" borderId="0" xfId="11" applyNumberFormat="1" applyFont="1" applyFill="1"/>
    <xf numFmtId="10" fontId="0" fillId="4" borderId="0" xfId="0" applyNumberFormat="1" applyFill="1"/>
    <xf numFmtId="10" fontId="0" fillId="4" borderId="8" xfId="0" applyNumberFormat="1" applyFill="1" applyBorder="1"/>
    <xf numFmtId="10" fontId="9" fillId="4" borderId="0" xfId="7" applyNumberFormat="1" applyFont="1" applyFill="1" applyAlignment="1">
      <alignment horizontal="center"/>
    </xf>
    <xf numFmtId="10" fontId="0" fillId="4" borderId="2" xfId="0" applyNumberFormat="1" applyFill="1" applyBorder="1"/>
    <xf numFmtId="10" fontId="0" fillId="4" borderId="21" xfId="0" applyNumberFormat="1" applyFill="1" applyBorder="1"/>
    <xf numFmtId="0" fontId="4" fillId="4" borderId="2" xfId="5" applyFont="1" applyFill="1" applyBorder="1" applyAlignment="1">
      <alignment horizontal="center"/>
    </xf>
    <xf numFmtId="0" fontId="1" fillId="4" borderId="0" xfId="5" applyFill="1"/>
    <xf numFmtId="164" fontId="1" fillId="4" borderId="0" xfId="5" applyNumberFormat="1" applyFill="1"/>
    <xf numFmtId="0" fontId="0" fillId="4" borderId="0" xfId="0" applyFill="1"/>
    <xf numFmtId="14" fontId="0" fillId="4" borderId="0" xfId="0" applyNumberFormat="1" applyFill="1"/>
    <xf numFmtId="166" fontId="0" fillId="4" borderId="0" xfId="0" applyNumberFormat="1" applyFill="1"/>
    <xf numFmtId="0" fontId="18" fillId="4" borderId="0" xfId="0" applyFont="1" applyFill="1"/>
    <xf numFmtId="166" fontId="0" fillId="8" borderId="0" xfId="0" applyNumberFormat="1" applyFill="1"/>
    <xf numFmtId="0" fontId="1" fillId="8" borderId="0" xfId="5" applyFill="1"/>
    <xf numFmtId="0" fontId="0" fillId="0" borderId="22" xfId="0" applyBorder="1" applyAlignment="1">
      <alignment wrapText="1"/>
    </xf>
    <xf numFmtId="0" fontId="0" fillId="0" borderId="0" xfId="0" applyAlignment="1">
      <alignment wrapText="1"/>
    </xf>
    <xf numFmtId="0" fontId="23" fillId="0" borderId="0" xfId="0" applyFont="1" applyAlignment="1">
      <alignment horizontal="centerContinuous" wrapText="1"/>
    </xf>
  </cellXfs>
  <cellStyles count="16">
    <cellStyle name="Calculation" xfId="3" builtinId="22"/>
    <cellStyle name="Comma 2" xfId="9" xr:uid="{00000000-0005-0000-0000-000001000000}"/>
    <cellStyle name="Comma 2 2" xfId="14" xr:uid="{00000000-0005-0000-0000-000002000000}"/>
    <cellStyle name="Currency" xfId="6" builtinId="4"/>
    <cellStyle name="Currency 2" xfId="8" xr:uid="{00000000-0005-0000-0000-000004000000}"/>
    <cellStyle name="Currency 2 2" xfId="13" xr:uid="{00000000-0005-0000-0000-000005000000}"/>
    <cellStyle name="Input" xfId="2" builtinId="20"/>
    <cellStyle name="Normal" xfId="0" builtinId="0"/>
    <cellStyle name="Normal 13" xfId="5" xr:uid="{00000000-0005-0000-0000-000008000000}"/>
    <cellStyle name="Normal 2" xfId="4" xr:uid="{00000000-0005-0000-0000-000009000000}"/>
    <cellStyle name="Normal 2 2" xfId="12" xr:uid="{00000000-0005-0000-0000-00000A000000}"/>
    <cellStyle name="Normal 643" xfId="11" xr:uid="{00000000-0005-0000-0000-00000B000000}"/>
    <cellStyle name="Normal_Sheet3" xfId="7" xr:uid="{00000000-0005-0000-0000-00000C000000}"/>
    <cellStyle name="Percent" xfId="1" builtinId="5"/>
    <cellStyle name="Percent 2" xfId="10" xr:uid="{00000000-0005-0000-0000-00000E000000}"/>
    <cellStyle name="Percent 2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zoomScaleNormal="100" workbookViewId="0">
      <selection activeCell="I20" sqref="I20"/>
    </sheetView>
  </sheetViews>
  <sheetFormatPr defaultColWidth="8.7109375" defaultRowHeight="15"/>
  <cols>
    <col min="1" max="1" width="84.28515625" customWidth="1"/>
    <col min="2" max="2" width="9.7109375" bestFit="1" customWidth="1"/>
    <col min="6" max="6" width="14.7109375" bestFit="1" customWidth="1"/>
  </cols>
  <sheetData>
    <row r="1" spans="1:6" ht="37.5">
      <c r="A1" s="184" t="s">
        <v>218</v>
      </c>
      <c r="B1" s="8"/>
      <c r="C1" s="8"/>
      <c r="D1" s="8"/>
      <c r="E1" s="8"/>
      <c r="F1" s="8"/>
    </row>
    <row r="3" spans="1:6">
      <c r="A3" t="s">
        <v>5</v>
      </c>
      <c r="B3" s="2">
        <v>43479</v>
      </c>
      <c r="F3" t="s">
        <v>14</v>
      </c>
    </row>
    <row r="4" spans="1:6">
      <c r="A4" t="s">
        <v>6</v>
      </c>
      <c r="B4" t="s">
        <v>7</v>
      </c>
      <c r="F4" s="12" t="s">
        <v>12</v>
      </c>
    </row>
    <row r="5" spans="1:6">
      <c r="A5" t="s">
        <v>8</v>
      </c>
      <c r="B5" t="s">
        <v>9</v>
      </c>
      <c r="F5" s="13" t="s">
        <v>13</v>
      </c>
    </row>
    <row r="6" spans="1:6">
      <c r="A6" t="s">
        <v>10</v>
      </c>
      <c r="B6" t="s">
        <v>15</v>
      </c>
    </row>
    <row r="9" spans="1:6">
      <c r="A9" t="s">
        <v>130</v>
      </c>
      <c r="B9" s="50">
        <v>16300</v>
      </c>
    </row>
    <row r="11" spans="1:6">
      <c r="A11" t="s">
        <v>133</v>
      </c>
      <c r="B11" s="50">
        <f>'Single System'!J2</f>
        <v>55</v>
      </c>
    </row>
    <row r="12" spans="1:6">
      <c r="B12" s="156"/>
    </row>
    <row r="13" spans="1:6">
      <c r="A13" t="s">
        <v>210</v>
      </c>
      <c r="B13" s="155">
        <v>19.399999999999999</v>
      </c>
    </row>
    <row r="14" spans="1:6">
      <c r="A14" t="s">
        <v>211</v>
      </c>
      <c r="B14" s="50">
        <v>25</v>
      </c>
    </row>
    <row r="15" spans="1:6">
      <c r="A15" t="s">
        <v>212</v>
      </c>
      <c r="B15" s="50">
        <f>B13*B14</f>
        <v>484.99999999999994</v>
      </c>
      <c r="C15" s="49"/>
    </row>
    <row r="17" spans="1:7">
      <c r="A17" t="s">
        <v>16</v>
      </c>
      <c r="B17" s="11">
        <v>0.9</v>
      </c>
    </row>
    <row r="19" spans="1:7">
      <c r="A19" t="s">
        <v>19</v>
      </c>
      <c r="B19" s="162">
        <v>0.3</v>
      </c>
      <c r="C19" s="182" t="s">
        <v>216</v>
      </c>
      <c r="D19" s="183"/>
      <c r="E19" s="183"/>
      <c r="F19" s="183"/>
      <c r="G19" s="183"/>
    </row>
    <row r="20" spans="1:7">
      <c r="A20" t="s">
        <v>20</v>
      </c>
      <c r="B20" s="21">
        <v>8.8999999999999996E-2</v>
      </c>
      <c r="C20" s="182"/>
      <c r="D20" s="183"/>
      <c r="E20" s="183"/>
      <c r="F20" s="183"/>
      <c r="G20" s="183"/>
    </row>
    <row r="21" spans="1:7">
      <c r="C21" s="182"/>
      <c r="D21" s="183"/>
      <c r="E21" s="183"/>
      <c r="F21" s="183"/>
      <c r="G21" s="183"/>
    </row>
    <row r="22" spans="1:7">
      <c r="A22" t="s">
        <v>69</v>
      </c>
      <c r="B22" s="21">
        <v>1</v>
      </c>
    </row>
    <row r="23" spans="1:7">
      <c r="A23" t="s">
        <v>70</v>
      </c>
      <c r="B23" s="21">
        <v>0.99</v>
      </c>
    </row>
    <row r="24" spans="1:7">
      <c r="A24" t="s">
        <v>71</v>
      </c>
      <c r="B24" s="21">
        <v>0.8</v>
      </c>
    </row>
    <row r="25" spans="1:7">
      <c r="A25" t="s">
        <v>72</v>
      </c>
      <c r="B25" s="21">
        <v>0.7</v>
      </c>
    </row>
    <row r="27" spans="1:7" ht="15.75" thickBot="1">
      <c r="A27" t="s">
        <v>83</v>
      </c>
    </row>
    <row r="28" spans="1:7">
      <c r="A28" s="35" t="s">
        <v>214</v>
      </c>
      <c r="B28" s="25" t="s">
        <v>80</v>
      </c>
      <c r="C28" s="26" t="s">
        <v>85</v>
      </c>
      <c r="D28" s="27" t="s">
        <v>86</v>
      </c>
    </row>
    <row r="29" spans="1:7">
      <c r="A29" s="35" t="s">
        <v>84</v>
      </c>
      <c r="B29" s="9">
        <v>1</v>
      </c>
      <c r="C29" s="31">
        <v>0.99</v>
      </c>
      <c r="D29" s="32">
        <v>1</v>
      </c>
    </row>
    <row r="30" spans="1:7">
      <c r="A30" s="35" t="s">
        <v>82</v>
      </c>
      <c r="B30" s="9">
        <v>2</v>
      </c>
      <c r="C30" s="31">
        <v>0.99</v>
      </c>
      <c r="D30" s="32">
        <v>1</v>
      </c>
    </row>
    <row r="31" spans="1:7">
      <c r="B31" s="9">
        <v>3</v>
      </c>
      <c r="C31" s="31">
        <v>0.98</v>
      </c>
      <c r="D31" s="32">
        <v>1</v>
      </c>
    </row>
    <row r="32" spans="1:7">
      <c r="B32" s="9">
        <v>4</v>
      </c>
      <c r="C32" s="31">
        <v>0.98</v>
      </c>
      <c r="D32" s="32">
        <v>1</v>
      </c>
    </row>
    <row r="33" spans="1:4">
      <c r="B33" s="9">
        <v>5</v>
      </c>
      <c r="C33" s="31">
        <v>0.98</v>
      </c>
      <c r="D33" s="32">
        <v>1</v>
      </c>
    </row>
    <row r="34" spans="1:4">
      <c r="B34" s="9">
        <v>6</v>
      </c>
      <c r="C34" s="31">
        <v>0.98</v>
      </c>
      <c r="D34" s="32">
        <v>1</v>
      </c>
    </row>
    <row r="35" spans="1:4">
      <c r="B35" s="9">
        <v>7</v>
      </c>
      <c r="C35" s="31">
        <v>0.97</v>
      </c>
      <c r="D35" s="32">
        <v>1</v>
      </c>
    </row>
    <row r="36" spans="1:4">
      <c r="B36" s="9">
        <v>8</v>
      </c>
      <c r="C36" s="31">
        <v>0.97</v>
      </c>
      <c r="D36" s="32">
        <v>1</v>
      </c>
    </row>
    <row r="37" spans="1:4">
      <c r="B37" s="9">
        <v>9</v>
      </c>
      <c r="C37" s="31">
        <v>0.96</v>
      </c>
      <c r="D37" s="32">
        <v>1</v>
      </c>
    </row>
    <row r="38" spans="1:4">
      <c r="B38" s="9">
        <v>10</v>
      </c>
      <c r="C38" s="31">
        <v>0.96</v>
      </c>
      <c r="D38" s="32">
        <v>1</v>
      </c>
    </row>
    <row r="39" spans="1:4">
      <c r="B39" s="9">
        <v>11</v>
      </c>
      <c r="C39" s="31">
        <v>0.95</v>
      </c>
      <c r="D39" s="32">
        <v>1</v>
      </c>
    </row>
    <row r="40" spans="1:4">
      <c r="B40" s="9">
        <v>12</v>
      </c>
      <c r="C40" s="31">
        <v>0.95</v>
      </c>
      <c r="D40" s="32">
        <v>1</v>
      </c>
    </row>
    <row r="41" spans="1:4">
      <c r="B41" s="9">
        <v>13</v>
      </c>
      <c r="C41" s="31">
        <v>0.95</v>
      </c>
      <c r="D41" s="32">
        <v>1</v>
      </c>
    </row>
    <row r="42" spans="1:4">
      <c r="B42" s="9">
        <v>14</v>
      </c>
      <c r="C42" s="31">
        <v>0.94</v>
      </c>
      <c r="D42" s="32">
        <v>1</v>
      </c>
    </row>
    <row r="43" spans="1:4" ht="15.75" thickBot="1">
      <c r="B43" s="29">
        <v>15</v>
      </c>
      <c r="C43" s="33">
        <v>0.93</v>
      </c>
      <c r="D43" s="34">
        <v>1</v>
      </c>
    </row>
    <row r="45" spans="1:4" ht="15.75" thickBot="1">
      <c r="A45" t="s">
        <v>81</v>
      </c>
    </row>
    <row r="46" spans="1:4">
      <c r="A46" s="35" t="s">
        <v>89</v>
      </c>
      <c r="B46" s="25" t="s">
        <v>80</v>
      </c>
      <c r="C46" s="26" t="s">
        <v>87</v>
      </c>
      <c r="D46" s="27" t="s">
        <v>88</v>
      </c>
    </row>
    <row r="47" spans="1:4">
      <c r="A47" s="35" t="s">
        <v>90</v>
      </c>
      <c r="B47" s="9">
        <v>1</v>
      </c>
      <c r="C47" s="31">
        <v>0</v>
      </c>
      <c r="D47" s="28">
        <f>C47</f>
        <v>0</v>
      </c>
    </row>
    <row r="48" spans="1:4">
      <c r="B48" s="9">
        <v>2</v>
      </c>
      <c r="C48" s="31">
        <v>0</v>
      </c>
      <c r="D48" s="28">
        <f>D47+C48</f>
        <v>0</v>
      </c>
    </row>
    <row r="49" spans="2:4">
      <c r="B49" s="9">
        <v>3</v>
      </c>
      <c r="C49" s="31">
        <v>0</v>
      </c>
      <c r="D49" s="28">
        <f t="shared" ref="D49:D61" si="0">D48+C49</f>
        <v>0</v>
      </c>
    </row>
    <row r="50" spans="2:4">
      <c r="B50" s="9">
        <v>4</v>
      </c>
      <c r="C50" s="31">
        <v>0</v>
      </c>
      <c r="D50" s="28">
        <f t="shared" si="0"/>
        <v>0</v>
      </c>
    </row>
    <row r="51" spans="2:4">
      <c r="B51" s="9">
        <v>5</v>
      </c>
      <c r="C51" s="31">
        <v>0</v>
      </c>
      <c r="D51" s="28">
        <f t="shared" si="0"/>
        <v>0</v>
      </c>
    </row>
    <row r="52" spans="2:4">
      <c r="B52" s="9">
        <v>6</v>
      </c>
      <c r="C52" s="31">
        <v>0</v>
      </c>
      <c r="D52" s="28">
        <f t="shared" si="0"/>
        <v>0</v>
      </c>
    </row>
    <row r="53" spans="2:4">
      <c r="B53" s="9">
        <v>7</v>
      </c>
      <c r="C53" s="31">
        <v>0</v>
      </c>
      <c r="D53" s="28">
        <f t="shared" si="0"/>
        <v>0</v>
      </c>
    </row>
    <row r="54" spans="2:4">
      <c r="B54" s="9">
        <v>8</v>
      </c>
      <c r="C54" s="31">
        <v>0</v>
      </c>
      <c r="D54" s="28">
        <f t="shared" si="0"/>
        <v>0</v>
      </c>
    </row>
    <row r="55" spans="2:4">
      <c r="B55" s="9">
        <v>9</v>
      </c>
      <c r="C55" s="31">
        <v>0</v>
      </c>
      <c r="D55" s="28">
        <f t="shared" si="0"/>
        <v>0</v>
      </c>
    </row>
    <row r="56" spans="2:4">
      <c r="B56" s="9">
        <v>10</v>
      </c>
      <c r="C56" s="31">
        <v>0</v>
      </c>
      <c r="D56" s="28">
        <f t="shared" si="0"/>
        <v>0</v>
      </c>
    </row>
    <row r="57" spans="2:4">
      <c r="B57" s="9">
        <v>11</v>
      </c>
      <c r="C57" s="31">
        <v>0.1</v>
      </c>
      <c r="D57" s="28">
        <f t="shared" si="0"/>
        <v>0.1</v>
      </c>
    </row>
    <row r="58" spans="2:4">
      <c r="B58" s="9">
        <v>12</v>
      </c>
      <c r="C58" s="31">
        <v>0.15</v>
      </c>
      <c r="D58" s="28">
        <f t="shared" si="0"/>
        <v>0.25</v>
      </c>
    </row>
    <row r="59" spans="2:4">
      <c r="B59" s="9">
        <v>13</v>
      </c>
      <c r="C59" s="31">
        <v>0.2</v>
      </c>
      <c r="D59" s="28">
        <f t="shared" si="0"/>
        <v>0.45</v>
      </c>
    </row>
    <row r="60" spans="2:4">
      <c r="B60" s="9">
        <v>14</v>
      </c>
      <c r="C60" s="31">
        <v>0.25</v>
      </c>
      <c r="D60" s="28">
        <f t="shared" si="0"/>
        <v>0.7</v>
      </c>
    </row>
    <row r="61" spans="2:4" ht="15.75" thickBot="1">
      <c r="B61" s="29">
        <v>15</v>
      </c>
      <c r="C61" s="33">
        <v>0.3</v>
      </c>
      <c r="D61" s="30">
        <f t="shared" si="0"/>
        <v>1</v>
      </c>
    </row>
  </sheetData>
  <mergeCells count="1">
    <mergeCell ref="C19:G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R37"/>
  <sheetViews>
    <sheetView workbookViewId="0"/>
  </sheetViews>
  <sheetFormatPr defaultColWidth="8.7109375" defaultRowHeight="15"/>
  <cols>
    <col min="1" max="1" width="20.7109375" customWidth="1"/>
    <col min="196" max="196" width="6.42578125" customWidth="1"/>
    <col min="197" max="197" width="6.7109375" customWidth="1"/>
    <col min="199" max="199" width="9.7109375" bestFit="1" customWidth="1"/>
  </cols>
  <sheetData>
    <row r="1" spans="1:200">
      <c r="A1" s="5" t="s">
        <v>11</v>
      </c>
    </row>
    <row r="2" spans="1:200">
      <c r="A2" s="5" t="s">
        <v>73</v>
      </c>
    </row>
    <row r="4" spans="1:200">
      <c r="A4" s="5" t="s">
        <v>18</v>
      </c>
      <c r="C4" s="3">
        <f>IF(C6=$C6,1,C6+1-$C6)</f>
        <v>1</v>
      </c>
      <c r="D4" s="3">
        <f t="shared" ref="D4:BO4" si="0">IF(D6=$C6,1,D6+1-$C6)</f>
        <v>1</v>
      </c>
      <c r="E4" s="3">
        <f t="shared" si="0"/>
        <v>1</v>
      </c>
      <c r="F4" s="3">
        <f t="shared" si="0"/>
        <v>1</v>
      </c>
      <c r="G4" s="3">
        <f t="shared" si="0"/>
        <v>1</v>
      </c>
      <c r="H4" s="3">
        <f t="shared" si="0"/>
        <v>1</v>
      </c>
      <c r="I4" s="3">
        <f t="shared" si="0"/>
        <v>1</v>
      </c>
      <c r="J4" s="3">
        <f t="shared" si="0"/>
        <v>1</v>
      </c>
      <c r="K4" s="3">
        <f t="shared" si="0"/>
        <v>1</v>
      </c>
      <c r="L4" s="3">
        <f t="shared" si="0"/>
        <v>1</v>
      </c>
      <c r="M4" s="3">
        <f t="shared" si="0"/>
        <v>1</v>
      </c>
      <c r="N4" s="3">
        <f t="shared" si="0"/>
        <v>1</v>
      </c>
      <c r="O4" s="3">
        <f t="shared" si="0"/>
        <v>2</v>
      </c>
      <c r="P4" s="3">
        <f t="shared" si="0"/>
        <v>2</v>
      </c>
      <c r="Q4" s="3">
        <f t="shared" si="0"/>
        <v>2</v>
      </c>
      <c r="R4" s="3">
        <f t="shared" si="0"/>
        <v>2</v>
      </c>
      <c r="S4" s="3">
        <f t="shared" si="0"/>
        <v>2</v>
      </c>
      <c r="T4" s="3">
        <f t="shared" si="0"/>
        <v>2</v>
      </c>
      <c r="U4" s="3">
        <f t="shared" si="0"/>
        <v>2</v>
      </c>
      <c r="V4" s="3">
        <f t="shared" si="0"/>
        <v>2</v>
      </c>
      <c r="W4" s="3">
        <f t="shared" si="0"/>
        <v>2</v>
      </c>
      <c r="X4" s="3">
        <f t="shared" si="0"/>
        <v>2</v>
      </c>
      <c r="Y4" s="3">
        <f t="shared" si="0"/>
        <v>2</v>
      </c>
      <c r="Z4" s="3">
        <f t="shared" si="0"/>
        <v>2</v>
      </c>
      <c r="AA4" s="3">
        <f t="shared" si="0"/>
        <v>3</v>
      </c>
      <c r="AB4" s="3">
        <f t="shared" si="0"/>
        <v>3</v>
      </c>
      <c r="AC4" s="3">
        <f t="shared" si="0"/>
        <v>3</v>
      </c>
      <c r="AD4" s="3">
        <f t="shared" si="0"/>
        <v>3</v>
      </c>
      <c r="AE4" s="3">
        <f t="shared" si="0"/>
        <v>3</v>
      </c>
      <c r="AF4" s="3">
        <f t="shared" si="0"/>
        <v>3</v>
      </c>
      <c r="AG4" s="3">
        <f t="shared" si="0"/>
        <v>3</v>
      </c>
      <c r="AH4" s="3">
        <f t="shared" si="0"/>
        <v>3</v>
      </c>
      <c r="AI4" s="3">
        <f t="shared" si="0"/>
        <v>3</v>
      </c>
      <c r="AJ4" s="3">
        <f t="shared" si="0"/>
        <v>3</v>
      </c>
      <c r="AK4" s="3">
        <f t="shared" si="0"/>
        <v>3</v>
      </c>
      <c r="AL4" s="3">
        <f t="shared" si="0"/>
        <v>3</v>
      </c>
      <c r="AM4" s="3">
        <f t="shared" si="0"/>
        <v>4</v>
      </c>
      <c r="AN4" s="3">
        <f t="shared" si="0"/>
        <v>4</v>
      </c>
      <c r="AO4" s="3">
        <f t="shared" si="0"/>
        <v>4</v>
      </c>
      <c r="AP4" s="3">
        <f t="shared" si="0"/>
        <v>4</v>
      </c>
      <c r="AQ4" s="3">
        <f t="shared" si="0"/>
        <v>4</v>
      </c>
      <c r="AR4" s="3">
        <f t="shared" si="0"/>
        <v>4</v>
      </c>
      <c r="AS4" s="3">
        <f t="shared" si="0"/>
        <v>4</v>
      </c>
      <c r="AT4" s="3">
        <f t="shared" si="0"/>
        <v>4</v>
      </c>
      <c r="AU4" s="3">
        <f t="shared" si="0"/>
        <v>4</v>
      </c>
      <c r="AV4" s="3">
        <f t="shared" si="0"/>
        <v>4</v>
      </c>
      <c r="AW4" s="3">
        <f t="shared" si="0"/>
        <v>4</v>
      </c>
      <c r="AX4" s="3">
        <f t="shared" si="0"/>
        <v>4</v>
      </c>
      <c r="AY4" s="3">
        <f t="shared" si="0"/>
        <v>5</v>
      </c>
      <c r="AZ4" s="3">
        <f t="shared" si="0"/>
        <v>5</v>
      </c>
      <c r="BA4" s="3">
        <f t="shared" si="0"/>
        <v>5</v>
      </c>
      <c r="BB4" s="3">
        <f t="shared" si="0"/>
        <v>5</v>
      </c>
      <c r="BC4" s="3">
        <f t="shared" si="0"/>
        <v>5</v>
      </c>
      <c r="BD4" s="3">
        <f t="shared" si="0"/>
        <v>5</v>
      </c>
      <c r="BE4" s="3">
        <f t="shared" si="0"/>
        <v>5</v>
      </c>
      <c r="BF4" s="3">
        <f t="shared" si="0"/>
        <v>5</v>
      </c>
      <c r="BG4" s="3">
        <f t="shared" si="0"/>
        <v>5</v>
      </c>
      <c r="BH4" s="3">
        <f t="shared" si="0"/>
        <v>5</v>
      </c>
      <c r="BI4" s="3">
        <f t="shared" si="0"/>
        <v>5</v>
      </c>
      <c r="BJ4" s="3">
        <f t="shared" si="0"/>
        <v>5</v>
      </c>
      <c r="BK4" s="3">
        <f t="shared" si="0"/>
        <v>6</v>
      </c>
      <c r="BL4" s="3">
        <f t="shared" si="0"/>
        <v>6</v>
      </c>
      <c r="BM4" s="3">
        <f t="shared" si="0"/>
        <v>6</v>
      </c>
      <c r="BN4" s="3">
        <f t="shared" si="0"/>
        <v>6</v>
      </c>
      <c r="BO4" s="3">
        <f t="shared" si="0"/>
        <v>6</v>
      </c>
      <c r="BP4" s="3">
        <f t="shared" ref="BP4:DR4" si="1">IF(BP6=$C6,1,BP6+1-$C6)</f>
        <v>6</v>
      </c>
      <c r="BQ4" s="3">
        <f t="shared" si="1"/>
        <v>6</v>
      </c>
      <c r="BR4" s="3">
        <f t="shared" si="1"/>
        <v>6</v>
      </c>
      <c r="BS4" s="3">
        <f t="shared" si="1"/>
        <v>6</v>
      </c>
      <c r="BT4" s="3">
        <f t="shared" si="1"/>
        <v>6</v>
      </c>
      <c r="BU4" s="3">
        <f t="shared" si="1"/>
        <v>6</v>
      </c>
      <c r="BV4" s="3">
        <f t="shared" si="1"/>
        <v>6</v>
      </c>
      <c r="BW4" s="3">
        <f t="shared" si="1"/>
        <v>7</v>
      </c>
      <c r="BX4" s="3">
        <f t="shared" si="1"/>
        <v>7</v>
      </c>
      <c r="BY4" s="3">
        <f t="shared" si="1"/>
        <v>7</v>
      </c>
      <c r="BZ4" s="3">
        <f t="shared" si="1"/>
        <v>7</v>
      </c>
      <c r="CA4" s="3">
        <f t="shared" si="1"/>
        <v>7</v>
      </c>
      <c r="CB4" s="3">
        <f t="shared" si="1"/>
        <v>7</v>
      </c>
      <c r="CC4" s="3">
        <f t="shared" si="1"/>
        <v>7</v>
      </c>
      <c r="CD4" s="3">
        <f t="shared" si="1"/>
        <v>7</v>
      </c>
      <c r="CE4" s="3">
        <f t="shared" si="1"/>
        <v>7</v>
      </c>
      <c r="CF4" s="3">
        <f t="shared" si="1"/>
        <v>7</v>
      </c>
      <c r="CG4" s="3">
        <f t="shared" si="1"/>
        <v>7</v>
      </c>
      <c r="CH4" s="3">
        <f t="shared" si="1"/>
        <v>7</v>
      </c>
      <c r="CI4" s="3">
        <f t="shared" si="1"/>
        <v>8</v>
      </c>
      <c r="CJ4" s="3">
        <f t="shared" si="1"/>
        <v>8</v>
      </c>
      <c r="CK4" s="3">
        <f t="shared" si="1"/>
        <v>8</v>
      </c>
      <c r="CL4" s="3">
        <f t="shared" si="1"/>
        <v>8</v>
      </c>
      <c r="CM4" s="3">
        <f t="shared" si="1"/>
        <v>8</v>
      </c>
      <c r="CN4" s="3">
        <f t="shared" si="1"/>
        <v>8</v>
      </c>
      <c r="CO4" s="3">
        <f t="shared" si="1"/>
        <v>8</v>
      </c>
      <c r="CP4" s="3">
        <f t="shared" si="1"/>
        <v>8</v>
      </c>
      <c r="CQ4" s="3">
        <f t="shared" si="1"/>
        <v>8</v>
      </c>
      <c r="CR4" s="3">
        <f t="shared" si="1"/>
        <v>8</v>
      </c>
      <c r="CS4" s="3">
        <f t="shared" si="1"/>
        <v>8</v>
      </c>
      <c r="CT4" s="3">
        <f t="shared" si="1"/>
        <v>8</v>
      </c>
      <c r="CU4" s="3">
        <f t="shared" si="1"/>
        <v>9</v>
      </c>
      <c r="CV4" s="3">
        <f t="shared" si="1"/>
        <v>9</v>
      </c>
      <c r="CW4" s="3">
        <f t="shared" si="1"/>
        <v>9</v>
      </c>
      <c r="CX4" s="3">
        <f t="shared" si="1"/>
        <v>9</v>
      </c>
      <c r="CY4" s="3">
        <f t="shared" si="1"/>
        <v>9</v>
      </c>
      <c r="CZ4" s="3">
        <f t="shared" si="1"/>
        <v>9</v>
      </c>
      <c r="DA4" s="3">
        <f t="shared" si="1"/>
        <v>9</v>
      </c>
      <c r="DB4" s="3">
        <f t="shared" si="1"/>
        <v>9</v>
      </c>
      <c r="DC4" s="3">
        <f t="shared" si="1"/>
        <v>9</v>
      </c>
      <c r="DD4" s="3">
        <f t="shared" si="1"/>
        <v>9</v>
      </c>
      <c r="DE4" s="3">
        <f t="shared" si="1"/>
        <v>9</v>
      </c>
      <c r="DF4" s="3">
        <f t="shared" si="1"/>
        <v>9</v>
      </c>
      <c r="DG4" s="3">
        <f t="shared" si="1"/>
        <v>10</v>
      </c>
      <c r="DH4" s="3">
        <f t="shared" si="1"/>
        <v>10</v>
      </c>
      <c r="DI4" s="3">
        <f t="shared" si="1"/>
        <v>10</v>
      </c>
      <c r="DJ4" s="3">
        <f t="shared" si="1"/>
        <v>10</v>
      </c>
      <c r="DK4" s="3">
        <f t="shared" si="1"/>
        <v>10</v>
      </c>
      <c r="DL4" s="3">
        <f t="shared" si="1"/>
        <v>10</v>
      </c>
      <c r="DM4" s="3">
        <f t="shared" si="1"/>
        <v>10</v>
      </c>
      <c r="DN4" s="3">
        <f t="shared" si="1"/>
        <v>10</v>
      </c>
      <c r="DO4" s="3">
        <f t="shared" si="1"/>
        <v>10</v>
      </c>
      <c r="DP4" s="3">
        <f t="shared" si="1"/>
        <v>10</v>
      </c>
      <c r="DQ4" s="3">
        <f t="shared" si="1"/>
        <v>10</v>
      </c>
      <c r="DR4" s="3">
        <f t="shared" si="1"/>
        <v>10</v>
      </c>
      <c r="DS4" s="3">
        <f t="shared" ref="DS4:DZ4" si="2">IF(DS6=$C6,1,DS6+1-$C6)</f>
        <v>11</v>
      </c>
      <c r="DT4" s="3">
        <f t="shared" si="2"/>
        <v>11</v>
      </c>
      <c r="DU4" s="3">
        <f t="shared" si="2"/>
        <v>11</v>
      </c>
      <c r="DV4" s="3">
        <f t="shared" si="2"/>
        <v>11</v>
      </c>
      <c r="DW4" s="3">
        <f t="shared" si="2"/>
        <v>11</v>
      </c>
      <c r="DX4" s="3">
        <f t="shared" si="2"/>
        <v>11</v>
      </c>
      <c r="DY4" s="3">
        <f t="shared" si="2"/>
        <v>11</v>
      </c>
      <c r="DZ4" s="3">
        <f t="shared" si="2"/>
        <v>11</v>
      </c>
      <c r="EA4" s="3">
        <f t="shared" ref="EA4:EE4" si="3">IF(EA6=$C6,1,EA6+1-$C6)</f>
        <v>11</v>
      </c>
      <c r="EB4" s="3">
        <f t="shared" si="3"/>
        <v>11</v>
      </c>
      <c r="EC4" s="3">
        <f t="shared" si="3"/>
        <v>11</v>
      </c>
      <c r="ED4" s="3">
        <f t="shared" si="3"/>
        <v>11</v>
      </c>
      <c r="EE4" s="3">
        <f t="shared" si="3"/>
        <v>12</v>
      </c>
      <c r="EF4" s="3">
        <f t="shared" ref="EF4" si="4">IF(EF6=$C6,1,EF6+1-$C6)</f>
        <v>12</v>
      </c>
      <c r="EG4" s="3">
        <f t="shared" ref="EG4:EX4" si="5">IF(EG6=$C6,1,EG6+1-$C6)</f>
        <v>12</v>
      </c>
      <c r="EH4" s="3">
        <f t="shared" si="5"/>
        <v>12</v>
      </c>
      <c r="EI4" s="3">
        <f t="shared" si="5"/>
        <v>12</v>
      </c>
      <c r="EJ4" s="3">
        <f t="shared" si="5"/>
        <v>12</v>
      </c>
      <c r="EK4" s="3">
        <f t="shared" si="5"/>
        <v>12</v>
      </c>
      <c r="EL4" s="3">
        <f t="shared" si="5"/>
        <v>12</v>
      </c>
      <c r="EM4" s="3">
        <f t="shared" si="5"/>
        <v>12</v>
      </c>
      <c r="EN4" s="3">
        <f t="shared" si="5"/>
        <v>12</v>
      </c>
      <c r="EO4" s="3">
        <f t="shared" si="5"/>
        <v>12</v>
      </c>
      <c r="EP4" s="3">
        <f t="shared" si="5"/>
        <v>12</v>
      </c>
      <c r="EQ4" s="3">
        <f t="shared" si="5"/>
        <v>13</v>
      </c>
      <c r="ER4" s="3">
        <f t="shared" si="5"/>
        <v>13</v>
      </c>
      <c r="ES4" s="3">
        <f t="shared" si="5"/>
        <v>13</v>
      </c>
      <c r="ET4" s="3">
        <f t="shared" si="5"/>
        <v>13</v>
      </c>
      <c r="EU4" s="3">
        <f t="shared" si="5"/>
        <v>13</v>
      </c>
      <c r="EV4" s="3">
        <f t="shared" si="5"/>
        <v>13</v>
      </c>
      <c r="EW4" s="3">
        <f t="shared" si="5"/>
        <v>13</v>
      </c>
      <c r="EX4" s="3">
        <f t="shared" si="5"/>
        <v>13</v>
      </c>
      <c r="EY4" s="3">
        <f t="shared" ref="EY4:FZ4" si="6">IF(EY6=$C6,1,EY6+1-$C6)</f>
        <v>13</v>
      </c>
      <c r="EZ4" s="3">
        <f t="shared" si="6"/>
        <v>13</v>
      </c>
      <c r="FA4" s="3">
        <f t="shared" si="6"/>
        <v>13</v>
      </c>
      <c r="FB4" s="3">
        <f t="shared" si="6"/>
        <v>13</v>
      </c>
      <c r="FC4" s="3">
        <f t="shared" si="6"/>
        <v>14</v>
      </c>
      <c r="FD4" s="3">
        <f t="shared" si="6"/>
        <v>14</v>
      </c>
      <c r="FE4" s="3">
        <f t="shared" si="6"/>
        <v>14</v>
      </c>
      <c r="FF4" s="3">
        <f t="shared" si="6"/>
        <v>14</v>
      </c>
      <c r="FG4" s="3">
        <f t="shared" si="6"/>
        <v>14</v>
      </c>
      <c r="FH4" s="3">
        <f t="shared" si="6"/>
        <v>14</v>
      </c>
      <c r="FI4" s="3">
        <f t="shared" si="6"/>
        <v>14</v>
      </c>
      <c r="FJ4" s="3">
        <f t="shared" si="6"/>
        <v>14</v>
      </c>
      <c r="FK4" s="3">
        <f t="shared" si="6"/>
        <v>14</v>
      </c>
      <c r="FL4" s="3">
        <f t="shared" si="6"/>
        <v>14</v>
      </c>
      <c r="FM4" s="3">
        <f t="shared" si="6"/>
        <v>14</v>
      </c>
      <c r="FN4" s="3">
        <f t="shared" si="6"/>
        <v>14</v>
      </c>
      <c r="FO4" s="3">
        <f t="shared" si="6"/>
        <v>15</v>
      </c>
      <c r="FP4" s="3">
        <f t="shared" si="6"/>
        <v>15</v>
      </c>
      <c r="FQ4" s="3">
        <f t="shared" si="6"/>
        <v>15</v>
      </c>
      <c r="FR4" s="3">
        <f t="shared" si="6"/>
        <v>15</v>
      </c>
      <c r="FS4" s="3">
        <f t="shared" si="6"/>
        <v>15</v>
      </c>
      <c r="FT4" s="3">
        <f t="shared" si="6"/>
        <v>15</v>
      </c>
      <c r="FU4" s="3">
        <f t="shared" si="6"/>
        <v>15</v>
      </c>
      <c r="FV4" s="3">
        <f t="shared" si="6"/>
        <v>15</v>
      </c>
      <c r="FW4" s="3">
        <f t="shared" si="6"/>
        <v>15</v>
      </c>
      <c r="FX4" s="3">
        <f t="shared" si="6"/>
        <v>15</v>
      </c>
      <c r="FY4" s="3">
        <f t="shared" si="6"/>
        <v>15</v>
      </c>
      <c r="FZ4" s="3">
        <f t="shared" si="6"/>
        <v>15</v>
      </c>
      <c r="GA4" s="3">
        <f t="shared" ref="GA4:GK4" si="7">IF(GA6=$C6,1,GA6+1-$C6)</f>
        <v>16</v>
      </c>
      <c r="GB4" s="3">
        <f t="shared" si="7"/>
        <v>16</v>
      </c>
      <c r="GC4" s="3">
        <f t="shared" si="7"/>
        <v>16</v>
      </c>
      <c r="GD4" s="3">
        <f t="shared" si="7"/>
        <v>16</v>
      </c>
      <c r="GE4" s="3">
        <f t="shared" si="7"/>
        <v>16</v>
      </c>
      <c r="GF4" s="3">
        <f t="shared" si="7"/>
        <v>16</v>
      </c>
      <c r="GG4" s="3">
        <f t="shared" si="7"/>
        <v>16</v>
      </c>
      <c r="GH4" s="3">
        <f t="shared" si="7"/>
        <v>16</v>
      </c>
      <c r="GI4" s="3">
        <f t="shared" si="7"/>
        <v>16</v>
      </c>
      <c r="GJ4" s="3">
        <f t="shared" si="7"/>
        <v>16</v>
      </c>
      <c r="GK4" s="3">
        <f t="shared" si="7"/>
        <v>16</v>
      </c>
      <c r="GL4" s="3">
        <f t="shared" ref="GL4" si="8">IF(GL6=$C6,1,GL6+1-$C6)</f>
        <v>16</v>
      </c>
    </row>
    <row r="5" spans="1:200">
      <c r="A5" s="5" t="s">
        <v>0</v>
      </c>
      <c r="C5" s="3">
        <v>1</v>
      </c>
      <c r="D5" s="3">
        <f>IF(C5=12,1,C5+1)</f>
        <v>2</v>
      </c>
      <c r="E5" s="3">
        <f t="shared" ref="E5:R5" si="9">IF(D5=12,1,D5+1)</f>
        <v>3</v>
      </c>
      <c r="F5" s="3">
        <f t="shared" si="9"/>
        <v>4</v>
      </c>
      <c r="G5" s="3">
        <f t="shared" si="9"/>
        <v>5</v>
      </c>
      <c r="H5" s="3">
        <f t="shared" si="9"/>
        <v>6</v>
      </c>
      <c r="I5" s="3">
        <f t="shared" si="9"/>
        <v>7</v>
      </c>
      <c r="J5" s="3">
        <f t="shared" si="9"/>
        <v>8</v>
      </c>
      <c r="K5" s="3">
        <f t="shared" si="9"/>
        <v>9</v>
      </c>
      <c r="L5" s="3">
        <f t="shared" si="9"/>
        <v>10</v>
      </c>
      <c r="M5" s="3">
        <f t="shared" si="9"/>
        <v>11</v>
      </c>
      <c r="N5" s="3">
        <f t="shared" si="9"/>
        <v>12</v>
      </c>
      <c r="O5" s="3">
        <f t="shared" si="9"/>
        <v>1</v>
      </c>
      <c r="P5" s="3">
        <f t="shared" si="9"/>
        <v>2</v>
      </c>
      <c r="Q5" s="3">
        <f t="shared" si="9"/>
        <v>3</v>
      </c>
      <c r="R5" s="3">
        <f t="shared" si="9"/>
        <v>4</v>
      </c>
      <c r="S5" s="3">
        <f t="shared" ref="S5:AU5" si="10">IF(R5=12,1,R5+1)</f>
        <v>5</v>
      </c>
      <c r="T5" s="3">
        <f t="shared" si="10"/>
        <v>6</v>
      </c>
      <c r="U5" s="3">
        <f t="shared" si="10"/>
        <v>7</v>
      </c>
      <c r="V5" s="3">
        <f t="shared" si="10"/>
        <v>8</v>
      </c>
      <c r="W5" s="3">
        <f t="shared" si="10"/>
        <v>9</v>
      </c>
      <c r="X5" s="3">
        <f t="shared" si="10"/>
        <v>10</v>
      </c>
      <c r="Y5" s="3">
        <f t="shared" si="10"/>
        <v>11</v>
      </c>
      <c r="Z5" s="3">
        <f t="shared" si="10"/>
        <v>12</v>
      </c>
      <c r="AA5" s="3">
        <f t="shared" si="10"/>
        <v>1</v>
      </c>
      <c r="AB5" s="3">
        <f t="shared" si="10"/>
        <v>2</v>
      </c>
      <c r="AC5" s="3">
        <f t="shared" si="10"/>
        <v>3</v>
      </c>
      <c r="AD5" s="3">
        <f t="shared" si="10"/>
        <v>4</v>
      </c>
      <c r="AE5" s="3">
        <f t="shared" si="10"/>
        <v>5</v>
      </c>
      <c r="AF5" s="3">
        <f t="shared" si="10"/>
        <v>6</v>
      </c>
      <c r="AG5" s="3">
        <f t="shared" si="10"/>
        <v>7</v>
      </c>
      <c r="AH5" s="3">
        <f t="shared" si="10"/>
        <v>8</v>
      </c>
      <c r="AI5" s="3">
        <f t="shared" si="10"/>
        <v>9</v>
      </c>
      <c r="AJ5" s="3">
        <f t="shared" si="10"/>
        <v>10</v>
      </c>
      <c r="AK5" s="3">
        <f t="shared" si="10"/>
        <v>11</v>
      </c>
      <c r="AL5" s="3">
        <f t="shared" si="10"/>
        <v>12</v>
      </c>
      <c r="AM5" s="3">
        <f t="shared" si="10"/>
        <v>1</v>
      </c>
      <c r="AN5" s="3">
        <f t="shared" si="10"/>
        <v>2</v>
      </c>
      <c r="AO5" s="3">
        <f t="shared" si="10"/>
        <v>3</v>
      </c>
      <c r="AP5" s="3">
        <f t="shared" si="10"/>
        <v>4</v>
      </c>
      <c r="AQ5" s="3">
        <f t="shared" si="10"/>
        <v>5</v>
      </c>
      <c r="AR5" s="3">
        <f t="shared" si="10"/>
        <v>6</v>
      </c>
      <c r="AS5" s="3">
        <f t="shared" si="10"/>
        <v>7</v>
      </c>
      <c r="AT5" s="3">
        <f t="shared" si="10"/>
        <v>8</v>
      </c>
      <c r="AU5" s="3">
        <f t="shared" si="10"/>
        <v>9</v>
      </c>
      <c r="AV5" s="3">
        <f t="shared" ref="AV5:DA5" si="11">IF(AU5=12,1,AU5+1)</f>
        <v>10</v>
      </c>
      <c r="AW5" s="3">
        <f t="shared" si="11"/>
        <v>11</v>
      </c>
      <c r="AX5" s="3">
        <f t="shared" si="11"/>
        <v>12</v>
      </c>
      <c r="AY5" s="3">
        <f t="shared" si="11"/>
        <v>1</v>
      </c>
      <c r="AZ5" s="3">
        <f t="shared" si="11"/>
        <v>2</v>
      </c>
      <c r="BA5" s="3">
        <f t="shared" si="11"/>
        <v>3</v>
      </c>
      <c r="BB5" s="3">
        <f t="shared" si="11"/>
        <v>4</v>
      </c>
      <c r="BC5" s="3">
        <f t="shared" si="11"/>
        <v>5</v>
      </c>
      <c r="BD5" s="3">
        <f t="shared" si="11"/>
        <v>6</v>
      </c>
      <c r="BE5" s="3">
        <f t="shared" si="11"/>
        <v>7</v>
      </c>
      <c r="BF5" s="3">
        <f t="shared" si="11"/>
        <v>8</v>
      </c>
      <c r="BG5" s="3">
        <f t="shared" si="11"/>
        <v>9</v>
      </c>
      <c r="BH5" s="3">
        <f t="shared" si="11"/>
        <v>10</v>
      </c>
      <c r="BI5" s="3">
        <f t="shared" si="11"/>
        <v>11</v>
      </c>
      <c r="BJ5" s="3">
        <f t="shared" si="11"/>
        <v>12</v>
      </c>
      <c r="BK5" s="3">
        <f t="shared" si="11"/>
        <v>1</v>
      </c>
      <c r="BL5" s="3">
        <f t="shared" si="11"/>
        <v>2</v>
      </c>
      <c r="BM5" s="3">
        <f t="shared" si="11"/>
        <v>3</v>
      </c>
      <c r="BN5" s="3">
        <f t="shared" si="11"/>
        <v>4</v>
      </c>
      <c r="BO5" s="3">
        <f t="shared" si="11"/>
        <v>5</v>
      </c>
      <c r="BP5" s="3">
        <f t="shared" si="11"/>
        <v>6</v>
      </c>
      <c r="BQ5" s="3">
        <f t="shared" si="11"/>
        <v>7</v>
      </c>
      <c r="BR5" s="3">
        <f t="shared" si="11"/>
        <v>8</v>
      </c>
      <c r="BS5" s="3">
        <f t="shared" si="11"/>
        <v>9</v>
      </c>
      <c r="BT5" s="3">
        <f t="shared" si="11"/>
        <v>10</v>
      </c>
      <c r="BU5" s="3">
        <f t="shared" si="11"/>
        <v>11</v>
      </c>
      <c r="BV5" s="3">
        <f t="shared" si="11"/>
        <v>12</v>
      </c>
      <c r="BW5" s="3">
        <f t="shared" si="11"/>
        <v>1</v>
      </c>
      <c r="BX5" s="3">
        <f t="shared" si="11"/>
        <v>2</v>
      </c>
      <c r="BY5" s="3">
        <f t="shared" si="11"/>
        <v>3</v>
      </c>
      <c r="BZ5" s="3">
        <f t="shared" si="11"/>
        <v>4</v>
      </c>
      <c r="CA5" s="3">
        <f t="shared" si="11"/>
        <v>5</v>
      </c>
      <c r="CB5" s="3">
        <f t="shared" si="11"/>
        <v>6</v>
      </c>
      <c r="CC5" s="3">
        <f t="shared" si="11"/>
        <v>7</v>
      </c>
      <c r="CD5" s="3">
        <f t="shared" si="11"/>
        <v>8</v>
      </c>
      <c r="CE5" s="3">
        <f t="shared" si="11"/>
        <v>9</v>
      </c>
      <c r="CF5" s="3">
        <f t="shared" si="11"/>
        <v>10</v>
      </c>
      <c r="CG5" s="3">
        <f t="shared" si="11"/>
        <v>11</v>
      </c>
      <c r="CH5" s="3">
        <f t="shared" si="11"/>
        <v>12</v>
      </c>
      <c r="CI5" s="3">
        <f t="shared" si="11"/>
        <v>1</v>
      </c>
      <c r="CJ5" s="3">
        <f t="shared" si="11"/>
        <v>2</v>
      </c>
      <c r="CK5" s="3">
        <f t="shared" si="11"/>
        <v>3</v>
      </c>
      <c r="CL5" s="3">
        <f t="shared" si="11"/>
        <v>4</v>
      </c>
      <c r="CM5" s="3">
        <f t="shared" si="11"/>
        <v>5</v>
      </c>
      <c r="CN5" s="3">
        <f t="shared" si="11"/>
        <v>6</v>
      </c>
      <c r="CO5" s="3">
        <f t="shared" si="11"/>
        <v>7</v>
      </c>
      <c r="CP5" s="3">
        <f t="shared" si="11"/>
        <v>8</v>
      </c>
      <c r="CQ5" s="3">
        <f t="shared" si="11"/>
        <v>9</v>
      </c>
      <c r="CR5" s="3">
        <f t="shared" si="11"/>
        <v>10</v>
      </c>
      <c r="CS5" s="3">
        <f t="shared" si="11"/>
        <v>11</v>
      </c>
      <c r="CT5" s="3">
        <f t="shared" si="11"/>
        <v>12</v>
      </c>
      <c r="CU5" s="3">
        <f t="shared" si="11"/>
        <v>1</v>
      </c>
      <c r="CV5" s="3">
        <f t="shared" si="11"/>
        <v>2</v>
      </c>
      <c r="CW5" s="3">
        <f t="shared" si="11"/>
        <v>3</v>
      </c>
      <c r="CX5" s="3">
        <f t="shared" si="11"/>
        <v>4</v>
      </c>
      <c r="CY5" s="3">
        <f t="shared" si="11"/>
        <v>5</v>
      </c>
      <c r="CZ5" s="3">
        <f t="shared" si="11"/>
        <v>6</v>
      </c>
      <c r="DA5" s="3">
        <f t="shared" si="11"/>
        <v>7</v>
      </c>
      <c r="DB5" s="3">
        <f t="shared" ref="DB5:DR5" si="12">IF(DA5=12,1,DA5+1)</f>
        <v>8</v>
      </c>
      <c r="DC5" s="3">
        <f t="shared" si="12"/>
        <v>9</v>
      </c>
      <c r="DD5" s="3">
        <f t="shared" si="12"/>
        <v>10</v>
      </c>
      <c r="DE5" s="3">
        <f t="shared" si="12"/>
        <v>11</v>
      </c>
      <c r="DF5" s="3">
        <f t="shared" si="12"/>
        <v>12</v>
      </c>
      <c r="DG5" s="3">
        <f t="shared" si="12"/>
        <v>1</v>
      </c>
      <c r="DH5" s="3">
        <f t="shared" si="12"/>
        <v>2</v>
      </c>
      <c r="DI5" s="3">
        <f t="shared" si="12"/>
        <v>3</v>
      </c>
      <c r="DJ5" s="3">
        <f t="shared" si="12"/>
        <v>4</v>
      </c>
      <c r="DK5" s="3">
        <f t="shared" si="12"/>
        <v>5</v>
      </c>
      <c r="DL5" s="3">
        <f t="shared" si="12"/>
        <v>6</v>
      </c>
      <c r="DM5" s="3">
        <f t="shared" si="12"/>
        <v>7</v>
      </c>
      <c r="DN5" s="3">
        <f t="shared" si="12"/>
        <v>8</v>
      </c>
      <c r="DO5" s="3">
        <f t="shared" si="12"/>
        <v>9</v>
      </c>
      <c r="DP5" s="3">
        <f t="shared" si="12"/>
        <v>10</v>
      </c>
      <c r="DQ5" s="3">
        <f t="shared" si="12"/>
        <v>11</v>
      </c>
      <c r="DR5" s="3">
        <f t="shared" si="12"/>
        <v>12</v>
      </c>
      <c r="DS5" s="3">
        <f t="shared" ref="DS5:DZ5" si="13">IF(DR5=12,1,DR5+1)</f>
        <v>1</v>
      </c>
      <c r="DT5" s="3">
        <f t="shared" si="13"/>
        <v>2</v>
      </c>
      <c r="DU5" s="3">
        <f t="shared" si="13"/>
        <v>3</v>
      </c>
      <c r="DV5" s="3">
        <f t="shared" si="13"/>
        <v>4</v>
      </c>
      <c r="DW5" s="3">
        <f t="shared" si="13"/>
        <v>5</v>
      </c>
      <c r="DX5" s="3">
        <f t="shared" si="13"/>
        <v>6</v>
      </c>
      <c r="DY5" s="3">
        <f t="shared" si="13"/>
        <v>7</v>
      </c>
      <c r="DZ5" s="3">
        <f t="shared" si="13"/>
        <v>8</v>
      </c>
      <c r="EA5" s="3">
        <f t="shared" ref="EA5:EE5" si="14">IF(DZ5=12,1,DZ5+1)</f>
        <v>9</v>
      </c>
      <c r="EB5" s="3">
        <f t="shared" si="14"/>
        <v>10</v>
      </c>
      <c r="EC5" s="3">
        <f t="shared" si="14"/>
        <v>11</v>
      </c>
      <c r="ED5" s="3">
        <f t="shared" si="14"/>
        <v>12</v>
      </c>
      <c r="EE5" s="3">
        <f t="shared" si="14"/>
        <v>1</v>
      </c>
      <c r="EF5" s="3">
        <f t="shared" ref="EF5" si="15">IF(EE5=12,1,EE5+1)</f>
        <v>2</v>
      </c>
      <c r="EG5" s="3">
        <f t="shared" ref="EG5" si="16">IF(EF5=12,1,EF5+1)</f>
        <v>3</v>
      </c>
      <c r="EH5" s="3">
        <f t="shared" ref="EH5" si="17">IF(EG5=12,1,EG5+1)</f>
        <v>4</v>
      </c>
      <c r="EI5" s="3">
        <f t="shared" ref="EI5" si="18">IF(EH5=12,1,EH5+1)</f>
        <v>5</v>
      </c>
      <c r="EJ5" s="3">
        <f t="shared" ref="EJ5" si="19">IF(EI5=12,1,EI5+1)</f>
        <v>6</v>
      </c>
      <c r="EK5" s="3">
        <f t="shared" ref="EK5" si="20">IF(EJ5=12,1,EJ5+1)</f>
        <v>7</v>
      </c>
      <c r="EL5" s="3">
        <f t="shared" ref="EL5" si="21">IF(EK5=12,1,EK5+1)</f>
        <v>8</v>
      </c>
      <c r="EM5" s="3">
        <f t="shared" ref="EM5" si="22">IF(EL5=12,1,EL5+1)</f>
        <v>9</v>
      </c>
      <c r="EN5" s="3">
        <f t="shared" ref="EN5" si="23">IF(EM5=12,1,EM5+1)</f>
        <v>10</v>
      </c>
      <c r="EO5" s="3">
        <f t="shared" ref="EO5" si="24">IF(EN5=12,1,EN5+1)</f>
        <v>11</v>
      </c>
      <c r="EP5" s="3">
        <f t="shared" ref="EP5" si="25">IF(EO5=12,1,EO5+1)</f>
        <v>12</v>
      </c>
      <c r="EQ5" s="3">
        <f t="shared" ref="EQ5" si="26">IF(EP5=12,1,EP5+1)</f>
        <v>1</v>
      </c>
      <c r="ER5" s="3">
        <f t="shared" ref="ER5" si="27">IF(EQ5=12,1,EQ5+1)</f>
        <v>2</v>
      </c>
      <c r="ES5" s="3">
        <f t="shared" ref="ES5" si="28">IF(ER5=12,1,ER5+1)</f>
        <v>3</v>
      </c>
      <c r="ET5" s="3">
        <f t="shared" ref="ET5" si="29">IF(ES5=12,1,ES5+1)</f>
        <v>4</v>
      </c>
      <c r="EU5" s="3">
        <f t="shared" ref="EU5" si="30">IF(ET5=12,1,ET5+1)</f>
        <v>5</v>
      </c>
      <c r="EV5" s="3">
        <f t="shared" ref="EV5" si="31">IF(EU5=12,1,EU5+1)</f>
        <v>6</v>
      </c>
      <c r="EW5" s="3">
        <f t="shared" ref="EW5" si="32">IF(EV5=12,1,EV5+1)</f>
        <v>7</v>
      </c>
      <c r="EX5" s="3">
        <f t="shared" ref="EX5" si="33">IF(EW5=12,1,EW5+1)</f>
        <v>8</v>
      </c>
      <c r="EY5" s="3">
        <f t="shared" ref="EY5" si="34">IF(EX5=12,1,EX5+1)</f>
        <v>9</v>
      </c>
      <c r="EZ5" s="3">
        <f t="shared" ref="EZ5" si="35">IF(EY5=12,1,EY5+1)</f>
        <v>10</v>
      </c>
      <c r="FA5" s="3">
        <f t="shared" ref="FA5" si="36">IF(EZ5=12,1,EZ5+1)</f>
        <v>11</v>
      </c>
      <c r="FB5" s="3">
        <f t="shared" ref="FB5" si="37">IF(FA5=12,1,FA5+1)</f>
        <v>12</v>
      </c>
      <c r="FC5" s="3">
        <f t="shared" ref="FC5" si="38">IF(FB5=12,1,FB5+1)</f>
        <v>1</v>
      </c>
      <c r="FD5" s="3">
        <f t="shared" ref="FD5" si="39">IF(FC5=12,1,FC5+1)</f>
        <v>2</v>
      </c>
      <c r="FE5" s="3">
        <f t="shared" ref="FE5" si="40">IF(FD5=12,1,FD5+1)</f>
        <v>3</v>
      </c>
      <c r="FF5" s="3">
        <f t="shared" ref="FF5" si="41">IF(FE5=12,1,FE5+1)</f>
        <v>4</v>
      </c>
      <c r="FG5" s="3">
        <f t="shared" ref="FG5" si="42">IF(FF5=12,1,FF5+1)</f>
        <v>5</v>
      </c>
      <c r="FH5" s="3">
        <f t="shared" ref="FH5" si="43">IF(FG5=12,1,FG5+1)</f>
        <v>6</v>
      </c>
      <c r="FI5" s="3">
        <f t="shared" ref="FI5" si="44">IF(FH5=12,1,FH5+1)</f>
        <v>7</v>
      </c>
      <c r="FJ5" s="3">
        <f t="shared" ref="FJ5" si="45">IF(FI5=12,1,FI5+1)</f>
        <v>8</v>
      </c>
      <c r="FK5" s="3">
        <f t="shared" ref="FK5" si="46">IF(FJ5=12,1,FJ5+1)</f>
        <v>9</v>
      </c>
      <c r="FL5" s="3">
        <f t="shared" ref="FL5" si="47">IF(FK5=12,1,FK5+1)</f>
        <v>10</v>
      </c>
      <c r="FM5" s="3">
        <f t="shared" ref="FM5" si="48">IF(FL5=12,1,FL5+1)</f>
        <v>11</v>
      </c>
      <c r="FN5" s="3">
        <f t="shared" ref="FN5" si="49">IF(FM5=12,1,FM5+1)</f>
        <v>12</v>
      </c>
      <c r="FO5" s="3">
        <f t="shared" ref="FO5" si="50">IF(FN5=12,1,FN5+1)</f>
        <v>1</v>
      </c>
      <c r="FP5" s="3">
        <f t="shared" ref="FP5" si="51">IF(FO5=12,1,FO5+1)</f>
        <v>2</v>
      </c>
      <c r="FQ5" s="3">
        <f t="shared" ref="FQ5" si="52">IF(FP5=12,1,FP5+1)</f>
        <v>3</v>
      </c>
      <c r="FR5" s="3">
        <f t="shared" ref="FR5" si="53">IF(FQ5=12,1,FQ5+1)</f>
        <v>4</v>
      </c>
      <c r="FS5" s="3">
        <f t="shared" ref="FS5" si="54">IF(FR5=12,1,FR5+1)</f>
        <v>5</v>
      </c>
      <c r="FT5" s="3">
        <f t="shared" ref="FT5" si="55">IF(FS5=12,1,FS5+1)</f>
        <v>6</v>
      </c>
      <c r="FU5" s="3">
        <f t="shared" ref="FU5" si="56">IF(FT5=12,1,FT5+1)</f>
        <v>7</v>
      </c>
      <c r="FV5" s="3">
        <f t="shared" ref="FV5" si="57">IF(FU5=12,1,FU5+1)</f>
        <v>8</v>
      </c>
      <c r="FW5" s="3">
        <f t="shared" ref="FW5" si="58">IF(FV5=12,1,FV5+1)</f>
        <v>9</v>
      </c>
      <c r="FX5" s="3">
        <f t="shared" ref="FX5" si="59">IF(FW5=12,1,FW5+1)</f>
        <v>10</v>
      </c>
      <c r="FY5" s="3">
        <f t="shared" ref="FY5" si="60">IF(FX5=12,1,FX5+1)</f>
        <v>11</v>
      </c>
      <c r="FZ5" s="3">
        <f t="shared" ref="FZ5" si="61">IF(FY5=12,1,FY5+1)</f>
        <v>12</v>
      </c>
      <c r="GA5" s="3">
        <v>1</v>
      </c>
      <c r="GB5" s="3">
        <v>2</v>
      </c>
      <c r="GC5" s="3">
        <v>3</v>
      </c>
      <c r="GD5" s="3">
        <v>4</v>
      </c>
      <c r="GE5" s="3">
        <v>5</v>
      </c>
      <c r="GF5" s="3">
        <v>6</v>
      </c>
      <c r="GG5" s="3">
        <v>7</v>
      </c>
      <c r="GH5" s="3">
        <v>8</v>
      </c>
      <c r="GI5" s="3">
        <v>9</v>
      </c>
      <c r="GJ5" s="3">
        <v>10</v>
      </c>
      <c r="GK5" s="3">
        <v>11</v>
      </c>
      <c r="GL5" s="3">
        <v>12</v>
      </c>
    </row>
    <row r="6" spans="1:200">
      <c r="A6" s="5" t="s">
        <v>2</v>
      </c>
      <c r="C6" s="163">
        <v>2023</v>
      </c>
      <c r="D6" s="4">
        <f>IF(C5=12,C6+1,C6)</f>
        <v>2023</v>
      </c>
      <c r="E6" s="4">
        <f t="shared" ref="E6:R6" si="62">IF(D5=12,D6+1,D6)</f>
        <v>2023</v>
      </c>
      <c r="F6" s="4">
        <f t="shared" si="62"/>
        <v>2023</v>
      </c>
      <c r="G6" s="4">
        <f t="shared" si="62"/>
        <v>2023</v>
      </c>
      <c r="H6" s="4">
        <f t="shared" si="62"/>
        <v>2023</v>
      </c>
      <c r="I6" s="4">
        <f t="shared" si="62"/>
        <v>2023</v>
      </c>
      <c r="J6" s="4">
        <f t="shared" si="62"/>
        <v>2023</v>
      </c>
      <c r="K6" s="4">
        <f t="shared" si="62"/>
        <v>2023</v>
      </c>
      <c r="L6" s="4">
        <f t="shared" si="62"/>
        <v>2023</v>
      </c>
      <c r="M6" s="4">
        <f t="shared" si="62"/>
        <v>2023</v>
      </c>
      <c r="N6" s="4">
        <f t="shared" si="62"/>
        <v>2023</v>
      </c>
      <c r="O6" s="4">
        <f t="shared" si="62"/>
        <v>2024</v>
      </c>
      <c r="P6" s="4">
        <f t="shared" si="62"/>
        <v>2024</v>
      </c>
      <c r="Q6" s="4">
        <f t="shared" si="62"/>
        <v>2024</v>
      </c>
      <c r="R6" s="4">
        <f t="shared" si="62"/>
        <v>2024</v>
      </c>
      <c r="S6" s="4">
        <f t="shared" ref="S6:AU6" si="63">IF(R5=12,R6+1,R6)</f>
        <v>2024</v>
      </c>
      <c r="T6" s="4">
        <f t="shared" si="63"/>
        <v>2024</v>
      </c>
      <c r="U6" s="4">
        <f t="shared" si="63"/>
        <v>2024</v>
      </c>
      <c r="V6" s="4">
        <f t="shared" si="63"/>
        <v>2024</v>
      </c>
      <c r="W6" s="4">
        <f t="shared" si="63"/>
        <v>2024</v>
      </c>
      <c r="X6" s="4">
        <f t="shared" si="63"/>
        <v>2024</v>
      </c>
      <c r="Y6" s="4">
        <f t="shared" si="63"/>
        <v>2024</v>
      </c>
      <c r="Z6" s="4">
        <f t="shared" si="63"/>
        <v>2024</v>
      </c>
      <c r="AA6" s="4">
        <f t="shared" si="63"/>
        <v>2025</v>
      </c>
      <c r="AB6" s="4">
        <f t="shared" si="63"/>
        <v>2025</v>
      </c>
      <c r="AC6" s="4">
        <f t="shared" si="63"/>
        <v>2025</v>
      </c>
      <c r="AD6" s="4">
        <f t="shared" si="63"/>
        <v>2025</v>
      </c>
      <c r="AE6" s="4">
        <f t="shared" si="63"/>
        <v>2025</v>
      </c>
      <c r="AF6" s="4">
        <f t="shared" si="63"/>
        <v>2025</v>
      </c>
      <c r="AG6" s="4">
        <f t="shared" si="63"/>
        <v>2025</v>
      </c>
      <c r="AH6" s="4">
        <f t="shared" si="63"/>
        <v>2025</v>
      </c>
      <c r="AI6" s="4">
        <f t="shared" si="63"/>
        <v>2025</v>
      </c>
      <c r="AJ6" s="4">
        <f t="shared" si="63"/>
        <v>2025</v>
      </c>
      <c r="AK6" s="4">
        <f t="shared" si="63"/>
        <v>2025</v>
      </c>
      <c r="AL6" s="4">
        <f t="shared" si="63"/>
        <v>2025</v>
      </c>
      <c r="AM6" s="4">
        <f t="shared" si="63"/>
        <v>2026</v>
      </c>
      <c r="AN6" s="4">
        <f t="shared" si="63"/>
        <v>2026</v>
      </c>
      <c r="AO6" s="4">
        <f t="shared" si="63"/>
        <v>2026</v>
      </c>
      <c r="AP6" s="4">
        <f t="shared" si="63"/>
        <v>2026</v>
      </c>
      <c r="AQ6" s="4">
        <f t="shared" si="63"/>
        <v>2026</v>
      </c>
      <c r="AR6" s="4">
        <f t="shared" si="63"/>
        <v>2026</v>
      </c>
      <c r="AS6" s="4">
        <f t="shared" si="63"/>
        <v>2026</v>
      </c>
      <c r="AT6" s="4">
        <f t="shared" si="63"/>
        <v>2026</v>
      </c>
      <c r="AU6" s="4">
        <f t="shared" si="63"/>
        <v>2026</v>
      </c>
      <c r="AV6" s="4">
        <f t="shared" ref="AV6:DA6" si="64">IF(AU5=12,AU6+1,AU6)</f>
        <v>2026</v>
      </c>
      <c r="AW6" s="4">
        <f t="shared" si="64"/>
        <v>2026</v>
      </c>
      <c r="AX6" s="4">
        <f t="shared" si="64"/>
        <v>2026</v>
      </c>
      <c r="AY6" s="4">
        <f t="shared" si="64"/>
        <v>2027</v>
      </c>
      <c r="AZ6" s="4">
        <f t="shared" si="64"/>
        <v>2027</v>
      </c>
      <c r="BA6" s="4">
        <f t="shared" si="64"/>
        <v>2027</v>
      </c>
      <c r="BB6" s="4">
        <f t="shared" si="64"/>
        <v>2027</v>
      </c>
      <c r="BC6" s="4">
        <f t="shared" si="64"/>
        <v>2027</v>
      </c>
      <c r="BD6" s="4">
        <f t="shared" si="64"/>
        <v>2027</v>
      </c>
      <c r="BE6" s="4">
        <f t="shared" si="64"/>
        <v>2027</v>
      </c>
      <c r="BF6" s="4">
        <f t="shared" si="64"/>
        <v>2027</v>
      </c>
      <c r="BG6" s="4">
        <f t="shared" si="64"/>
        <v>2027</v>
      </c>
      <c r="BH6" s="4">
        <f t="shared" si="64"/>
        <v>2027</v>
      </c>
      <c r="BI6" s="4">
        <f t="shared" si="64"/>
        <v>2027</v>
      </c>
      <c r="BJ6" s="4">
        <f t="shared" si="64"/>
        <v>2027</v>
      </c>
      <c r="BK6" s="4">
        <f t="shared" si="64"/>
        <v>2028</v>
      </c>
      <c r="BL6" s="4">
        <f t="shared" si="64"/>
        <v>2028</v>
      </c>
      <c r="BM6" s="4">
        <f t="shared" si="64"/>
        <v>2028</v>
      </c>
      <c r="BN6" s="4">
        <f t="shared" si="64"/>
        <v>2028</v>
      </c>
      <c r="BO6" s="4">
        <f t="shared" si="64"/>
        <v>2028</v>
      </c>
      <c r="BP6" s="4">
        <f t="shared" si="64"/>
        <v>2028</v>
      </c>
      <c r="BQ6" s="4">
        <f t="shared" si="64"/>
        <v>2028</v>
      </c>
      <c r="BR6" s="4">
        <f t="shared" si="64"/>
        <v>2028</v>
      </c>
      <c r="BS6" s="4">
        <f t="shared" si="64"/>
        <v>2028</v>
      </c>
      <c r="BT6" s="4">
        <f t="shared" si="64"/>
        <v>2028</v>
      </c>
      <c r="BU6" s="4">
        <f t="shared" si="64"/>
        <v>2028</v>
      </c>
      <c r="BV6" s="4">
        <f t="shared" si="64"/>
        <v>2028</v>
      </c>
      <c r="BW6" s="4">
        <f t="shared" si="64"/>
        <v>2029</v>
      </c>
      <c r="BX6" s="4">
        <f t="shared" si="64"/>
        <v>2029</v>
      </c>
      <c r="BY6" s="4">
        <f t="shared" si="64"/>
        <v>2029</v>
      </c>
      <c r="BZ6" s="4">
        <f t="shared" si="64"/>
        <v>2029</v>
      </c>
      <c r="CA6" s="4">
        <f t="shared" si="64"/>
        <v>2029</v>
      </c>
      <c r="CB6" s="4">
        <f t="shared" si="64"/>
        <v>2029</v>
      </c>
      <c r="CC6" s="4">
        <f t="shared" si="64"/>
        <v>2029</v>
      </c>
      <c r="CD6" s="4">
        <f t="shared" si="64"/>
        <v>2029</v>
      </c>
      <c r="CE6" s="4">
        <f t="shared" si="64"/>
        <v>2029</v>
      </c>
      <c r="CF6" s="4">
        <f t="shared" si="64"/>
        <v>2029</v>
      </c>
      <c r="CG6" s="4">
        <f t="shared" si="64"/>
        <v>2029</v>
      </c>
      <c r="CH6" s="4">
        <f t="shared" si="64"/>
        <v>2029</v>
      </c>
      <c r="CI6" s="4">
        <f t="shared" si="64"/>
        <v>2030</v>
      </c>
      <c r="CJ6" s="4">
        <f t="shared" si="64"/>
        <v>2030</v>
      </c>
      <c r="CK6" s="4">
        <f t="shared" si="64"/>
        <v>2030</v>
      </c>
      <c r="CL6" s="4">
        <f t="shared" si="64"/>
        <v>2030</v>
      </c>
      <c r="CM6" s="4">
        <f t="shared" si="64"/>
        <v>2030</v>
      </c>
      <c r="CN6" s="4">
        <f t="shared" si="64"/>
        <v>2030</v>
      </c>
      <c r="CO6" s="4">
        <f t="shared" si="64"/>
        <v>2030</v>
      </c>
      <c r="CP6" s="4">
        <f t="shared" si="64"/>
        <v>2030</v>
      </c>
      <c r="CQ6" s="4">
        <f t="shared" si="64"/>
        <v>2030</v>
      </c>
      <c r="CR6" s="4">
        <f t="shared" si="64"/>
        <v>2030</v>
      </c>
      <c r="CS6" s="4">
        <f t="shared" si="64"/>
        <v>2030</v>
      </c>
      <c r="CT6" s="4">
        <f t="shared" si="64"/>
        <v>2030</v>
      </c>
      <c r="CU6" s="4">
        <f t="shared" si="64"/>
        <v>2031</v>
      </c>
      <c r="CV6" s="4">
        <f t="shared" si="64"/>
        <v>2031</v>
      </c>
      <c r="CW6" s="4">
        <f t="shared" si="64"/>
        <v>2031</v>
      </c>
      <c r="CX6" s="4">
        <f t="shared" si="64"/>
        <v>2031</v>
      </c>
      <c r="CY6" s="4">
        <f t="shared" si="64"/>
        <v>2031</v>
      </c>
      <c r="CZ6" s="4">
        <f t="shared" si="64"/>
        <v>2031</v>
      </c>
      <c r="DA6" s="4">
        <f t="shared" si="64"/>
        <v>2031</v>
      </c>
      <c r="DB6" s="4">
        <f t="shared" ref="DB6:DR6" si="65">IF(DA5=12,DA6+1,DA6)</f>
        <v>2031</v>
      </c>
      <c r="DC6" s="4">
        <f t="shared" si="65"/>
        <v>2031</v>
      </c>
      <c r="DD6" s="4">
        <f t="shared" si="65"/>
        <v>2031</v>
      </c>
      <c r="DE6" s="4">
        <f t="shared" si="65"/>
        <v>2031</v>
      </c>
      <c r="DF6" s="4">
        <f t="shared" si="65"/>
        <v>2031</v>
      </c>
      <c r="DG6" s="4">
        <f t="shared" si="65"/>
        <v>2032</v>
      </c>
      <c r="DH6" s="4">
        <f t="shared" si="65"/>
        <v>2032</v>
      </c>
      <c r="DI6" s="4">
        <f t="shared" si="65"/>
        <v>2032</v>
      </c>
      <c r="DJ6" s="4">
        <f t="shared" si="65"/>
        <v>2032</v>
      </c>
      <c r="DK6" s="4">
        <f t="shared" si="65"/>
        <v>2032</v>
      </c>
      <c r="DL6" s="4">
        <f t="shared" si="65"/>
        <v>2032</v>
      </c>
      <c r="DM6" s="4">
        <f t="shared" si="65"/>
        <v>2032</v>
      </c>
      <c r="DN6" s="4">
        <f t="shared" si="65"/>
        <v>2032</v>
      </c>
      <c r="DO6" s="4">
        <f t="shared" si="65"/>
        <v>2032</v>
      </c>
      <c r="DP6" s="4">
        <f t="shared" si="65"/>
        <v>2032</v>
      </c>
      <c r="DQ6" s="4">
        <f t="shared" si="65"/>
        <v>2032</v>
      </c>
      <c r="DR6" s="4">
        <f t="shared" si="65"/>
        <v>2032</v>
      </c>
      <c r="DS6" s="4">
        <f t="shared" ref="DS6:DZ6" si="66">IF(DR5=12,DR6+1,DR6)</f>
        <v>2033</v>
      </c>
      <c r="DT6" s="4">
        <f t="shared" si="66"/>
        <v>2033</v>
      </c>
      <c r="DU6" s="4">
        <f t="shared" si="66"/>
        <v>2033</v>
      </c>
      <c r="DV6" s="4">
        <f t="shared" si="66"/>
        <v>2033</v>
      </c>
      <c r="DW6" s="4">
        <f t="shared" si="66"/>
        <v>2033</v>
      </c>
      <c r="DX6" s="4">
        <f t="shared" si="66"/>
        <v>2033</v>
      </c>
      <c r="DY6" s="4">
        <f t="shared" si="66"/>
        <v>2033</v>
      </c>
      <c r="DZ6" s="4">
        <f t="shared" si="66"/>
        <v>2033</v>
      </c>
      <c r="EA6" s="4">
        <f t="shared" ref="EA6:EE6" si="67">IF(DZ5=12,DZ6+1,DZ6)</f>
        <v>2033</v>
      </c>
      <c r="EB6" s="4">
        <f t="shared" si="67"/>
        <v>2033</v>
      </c>
      <c r="EC6" s="4">
        <f t="shared" si="67"/>
        <v>2033</v>
      </c>
      <c r="ED6" s="4">
        <f t="shared" si="67"/>
        <v>2033</v>
      </c>
      <c r="EE6" s="4">
        <f t="shared" si="67"/>
        <v>2034</v>
      </c>
      <c r="EF6" s="4">
        <f t="shared" ref="EF6" si="68">IF(EE5=12,EE6+1,EE6)</f>
        <v>2034</v>
      </c>
      <c r="EG6" s="4">
        <f t="shared" ref="EG6" si="69">IF(EF5=12,EF6+1,EF6)</f>
        <v>2034</v>
      </c>
      <c r="EH6" s="4">
        <f t="shared" ref="EH6" si="70">IF(EG5=12,EG6+1,EG6)</f>
        <v>2034</v>
      </c>
      <c r="EI6" s="4">
        <f t="shared" ref="EI6" si="71">IF(EH5=12,EH6+1,EH6)</f>
        <v>2034</v>
      </c>
      <c r="EJ6" s="4">
        <f t="shared" ref="EJ6" si="72">IF(EI5=12,EI6+1,EI6)</f>
        <v>2034</v>
      </c>
      <c r="EK6" s="4">
        <f t="shared" ref="EK6" si="73">IF(EJ5=12,EJ6+1,EJ6)</f>
        <v>2034</v>
      </c>
      <c r="EL6" s="4">
        <f t="shared" ref="EL6" si="74">IF(EK5=12,EK6+1,EK6)</f>
        <v>2034</v>
      </c>
      <c r="EM6" s="4">
        <f t="shared" ref="EM6" si="75">IF(EL5=12,EL6+1,EL6)</f>
        <v>2034</v>
      </c>
      <c r="EN6" s="4">
        <f t="shared" ref="EN6" si="76">IF(EM5=12,EM6+1,EM6)</f>
        <v>2034</v>
      </c>
      <c r="EO6" s="4">
        <f t="shared" ref="EO6" si="77">IF(EN5=12,EN6+1,EN6)</f>
        <v>2034</v>
      </c>
      <c r="EP6" s="4">
        <f t="shared" ref="EP6" si="78">IF(EO5=12,EO6+1,EO6)</f>
        <v>2034</v>
      </c>
      <c r="EQ6" s="4">
        <f t="shared" ref="EQ6" si="79">IF(EP5=12,EP6+1,EP6)</f>
        <v>2035</v>
      </c>
      <c r="ER6" s="4">
        <f t="shared" ref="ER6" si="80">IF(EQ5=12,EQ6+1,EQ6)</f>
        <v>2035</v>
      </c>
      <c r="ES6" s="4">
        <f t="shared" ref="ES6" si="81">IF(ER5=12,ER6+1,ER6)</f>
        <v>2035</v>
      </c>
      <c r="ET6" s="4">
        <f t="shared" ref="ET6" si="82">IF(ES5=12,ES6+1,ES6)</f>
        <v>2035</v>
      </c>
      <c r="EU6" s="4">
        <f t="shared" ref="EU6" si="83">IF(ET5=12,ET6+1,ET6)</f>
        <v>2035</v>
      </c>
      <c r="EV6" s="4">
        <f t="shared" ref="EV6" si="84">IF(EU5=12,EU6+1,EU6)</f>
        <v>2035</v>
      </c>
      <c r="EW6" s="4">
        <f t="shared" ref="EW6" si="85">IF(EV5=12,EV6+1,EV6)</f>
        <v>2035</v>
      </c>
      <c r="EX6" s="4">
        <f t="shared" ref="EX6" si="86">IF(EW5=12,EW6+1,EW6)</f>
        <v>2035</v>
      </c>
      <c r="EY6" s="4">
        <f t="shared" ref="EY6" si="87">IF(EX5=12,EX6+1,EX6)</f>
        <v>2035</v>
      </c>
      <c r="EZ6" s="4">
        <f t="shared" ref="EZ6" si="88">IF(EY5=12,EY6+1,EY6)</f>
        <v>2035</v>
      </c>
      <c r="FA6" s="4">
        <f t="shared" ref="FA6" si="89">IF(EZ5=12,EZ6+1,EZ6)</f>
        <v>2035</v>
      </c>
      <c r="FB6" s="4">
        <f t="shared" ref="FB6" si="90">IF(FA5=12,FA6+1,FA6)</f>
        <v>2035</v>
      </c>
      <c r="FC6" s="4">
        <f t="shared" ref="FC6" si="91">IF(FB5=12,FB6+1,FB6)</f>
        <v>2036</v>
      </c>
      <c r="FD6" s="4">
        <f t="shared" ref="FD6" si="92">IF(FC5=12,FC6+1,FC6)</f>
        <v>2036</v>
      </c>
      <c r="FE6" s="4">
        <f t="shared" ref="FE6" si="93">IF(FD5=12,FD6+1,FD6)</f>
        <v>2036</v>
      </c>
      <c r="FF6" s="4">
        <f t="shared" ref="FF6" si="94">IF(FE5=12,FE6+1,FE6)</f>
        <v>2036</v>
      </c>
      <c r="FG6" s="4">
        <f t="shared" ref="FG6" si="95">IF(FF5=12,FF6+1,FF6)</f>
        <v>2036</v>
      </c>
      <c r="FH6" s="4">
        <f t="shared" ref="FH6" si="96">IF(FG5=12,FG6+1,FG6)</f>
        <v>2036</v>
      </c>
      <c r="FI6" s="4">
        <f t="shared" ref="FI6" si="97">IF(FH5=12,FH6+1,FH6)</f>
        <v>2036</v>
      </c>
      <c r="FJ6" s="4">
        <f t="shared" ref="FJ6" si="98">IF(FI5=12,FI6+1,FI6)</f>
        <v>2036</v>
      </c>
      <c r="FK6" s="4">
        <f t="shared" ref="FK6" si="99">IF(FJ5=12,FJ6+1,FJ6)</f>
        <v>2036</v>
      </c>
      <c r="FL6" s="4">
        <f t="shared" ref="FL6" si="100">IF(FK5=12,FK6+1,FK6)</f>
        <v>2036</v>
      </c>
      <c r="FM6" s="4">
        <f t="shared" ref="FM6" si="101">IF(FL5=12,FL6+1,FL6)</f>
        <v>2036</v>
      </c>
      <c r="FN6" s="4">
        <f t="shared" ref="FN6" si="102">IF(FM5=12,FM6+1,FM6)</f>
        <v>2036</v>
      </c>
      <c r="FO6" s="4">
        <f t="shared" ref="FO6" si="103">IF(FN5=12,FN6+1,FN6)</f>
        <v>2037</v>
      </c>
      <c r="FP6" s="4">
        <f t="shared" ref="FP6" si="104">IF(FO5=12,FO6+1,FO6)</f>
        <v>2037</v>
      </c>
      <c r="FQ6" s="4">
        <f t="shared" ref="FQ6" si="105">IF(FP5=12,FP6+1,FP6)</f>
        <v>2037</v>
      </c>
      <c r="FR6" s="4">
        <f t="shared" ref="FR6" si="106">IF(FQ5=12,FQ6+1,FQ6)</f>
        <v>2037</v>
      </c>
      <c r="FS6" s="4">
        <f t="shared" ref="FS6" si="107">IF(FR5=12,FR6+1,FR6)</f>
        <v>2037</v>
      </c>
      <c r="FT6" s="4">
        <f t="shared" ref="FT6" si="108">IF(FS5=12,FS6+1,FS6)</f>
        <v>2037</v>
      </c>
      <c r="FU6" s="4">
        <f t="shared" ref="FU6" si="109">IF(FT5=12,FT6+1,FT6)</f>
        <v>2037</v>
      </c>
      <c r="FV6" s="4">
        <f t="shared" ref="FV6" si="110">IF(FU5=12,FU6+1,FU6)</f>
        <v>2037</v>
      </c>
      <c r="FW6" s="4">
        <f t="shared" ref="FW6" si="111">IF(FV5=12,FV6+1,FV6)</f>
        <v>2037</v>
      </c>
      <c r="FX6" s="4">
        <f t="shared" ref="FX6" si="112">IF(FW5=12,FW6+1,FW6)</f>
        <v>2037</v>
      </c>
      <c r="FY6" s="4">
        <f t="shared" ref="FY6" si="113">IF(FX5=12,FX6+1,FX6)</f>
        <v>2037</v>
      </c>
      <c r="FZ6" s="4">
        <f t="shared" ref="FZ6:GA6" si="114">IF(FY5=12,FY6+1,FY6)</f>
        <v>2037</v>
      </c>
      <c r="GA6" s="4">
        <f t="shared" si="114"/>
        <v>2038</v>
      </c>
      <c r="GB6" s="4">
        <f t="shared" ref="GB6" si="115">IF(GA5=12,GA6+1,GA6)</f>
        <v>2038</v>
      </c>
      <c r="GC6" s="4">
        <f t="shared" ref="GC6" si="116">IF(GB5=12,GB6+1,GB6)</f>
        <v>2038</v>
      </c>
      <c r="GD6" s="4">
        <f t="shared" ref="GD6" si="117">IF(GC5=12,GC6+1,GC6)</f>
        <v>2038</v>
      </c>
      <c r="GE6" s="4">
        <f t="shared" ref="GE6" si="118">IF(GD5=12,GD6+1,GD6)</f>
        <v>2038</v>
      </c>
      <c r="GF6" s="4">
        <f t="shared" ref="GF6" si="119">IF(GE5=12,GE6+1,GE6)</f>
        <v>2038</v>
      </c>
      <c r="GG6" s="4">
        <f t="shared" ref="GG6" si="120">IF(GF5=12,GF6+1,GF6)</f>
        <v>2038</v>
      </c>
      <c r="GH6" s="4">
        <f t="shared" ref="GH6" si="121">IF(GG5=12,GG6+1,GG6)</f>
        <v>2038</v>
      </c>
      <c r="GI6" s="4">
        <f t="shared" ref="GI6" si="122">IF(GH5=12,GH6+1,GH6)</f>
        <v>2038</v>
      </c>
      <c r="GJ6" s="4">
        <f t="shared" ref="GJ6" si="123">IF(GI5=12,GI6+1,GI6)</f>
        <v>2038</v>
      </c>
      <c r="GK6" s="4">
        <f t="shared" ref="GK6:GL6" si="124">IF(GJ5=12,GJ6+1,GJ6)</f>
        <v>2038</v>
      </c>
      <c r="GL6" s="4">
        <f t="shared" si="124"/>
        <v>2038</v>
      </c>
    </row>
    <row r="7" spans="1:200">
      <c r="GN7" s="6" t="s">
        <v>1</v>
      </c>
      <c r="GO7" s="8"/>
    </row>
    <row r="8" spans="1:200">
      <c r="A8" s="24" t="s">
        <v>91</v>
      </c>
      <c r="C8">
        <f>10*(1-VLOOKUP(C4,Assumptions!$B$47:$D$61,3))</f>
        <v>10</v>
      </c>
      <c r="D8">
        <f>10*(1-VLOOKUP(D4,Assumptions!$B$47:$D$61,3))</f>
        <v>10</v>
      </c>
      <c r="E8">
        <f>10*(1-VLOOKUP(E4,Assumptions!$B$47:$D$61,3))</f>
        <v>10</v>
      </c>
      <c r="F8">
        <f>10*(1-VLOOKUP(F4,Assumptions!$B$47:$D$61,3))</f>
        <v>10</v>
      </c>
      <c r="G8">
        <f>10*(1-VLOOKUP(G4,Assumptions!$B$47:$D$61,3))</f>
        <v>10</v>
      </c>
      <c r="H8">
        <f>10*(1-VLOOKUP(H4,Assumptions!$B$47:$D$61,3))</f>
        <v>10</v>
      </c>
      <c r="I8">
        <f>10*(1-VLOOKUP(I4,Assumptions!$B$47:$D$61,3))</f>
        <v>10</v>
      </c>
      <c r="J8">
        <f>10*(1-VLOOKUP(J4,Assumptions!$B$47:$D$61,3))</f>
        <v>10</v>
      </c>
      <c r="K8">
        <f>10*(1-VLOOKUP(K4,Assumptions!$B$47:$D$61,3))</f>
        <v>10</v>
      </c>
      <c r="L8">
        <f>10*(1-VLOOKUP(L4,Assumptions!$B$47:$D$61,3))</f>
        <v>10</v>
      </c>
      <c r="M8">
        <f>10*(1-VLOOKUP(M4,Assumptions!$B$47:$D$61,3))</f>
        <v>10</v>
      </c>
      <c r="N8">
        <f>10*(1-VLOOKUP(N4,Assumptions!$B$47:$D$61,3))</f>
        <v>10</v>
      </c>
      <c r="O8">
        <f>10*(1-AVERAGE(VLOOKUP(O4,Assumptions!$B$47:$D$61,3),VLOOKUP(O4-1,Assumptions!$B$47:$D$61,3)))</f>
        <v>10</v>
      </c>
      <c r="P8">
        <f>10*(1-AVERAGE(VLOOKUP(P4,Assumptions!$B$47:$D$61,3),VLOOKUP(P4-1,Assumptions!$B$47:$D$61,3)))</f>
        <v>10</v>
      </c>
      <c r="Q8">
        <f>10*(1-AVERAGE(VLOOKUP(Q4,Assumptions!$B$47:$D$61,3),VLOOKUP(Q4-1,Assumptions!$B$47:$D$61,3)))</f>
        <v>10</v>
      </c>
      <c r="R8">
        <f>10*(1-AVERAGE(VLOOKUP(R4,Assumptions!$B$47:$D$61,3),VLOOKUP(R4-1,Assumptions!$B$47:$D$61,3)))</f>
        <v>10</v>
      </c>
      <c r="S8">
        <f>10*(1-AVERAGE(VLOOKUP(S4,Assumptions!$B$47:$D$61,3),VLOOKUP(S4-1,Assumptions!$B$47:$D$61,3)))</f>
        <v>10</v>
      </c>
      <c r="T8">
        <f>10*(1-AVERAGE(VLOOKUP(T4,Assumptions!$B$47:$D$61,3),VLOOKUP(T4-1,Assumptions!$B$47:$D$61,3)))</f>
        <v>10</v>
      </c>
      <c r="U8">
        <f>10*(1-AVERAGE(VLOOKUP(U4,Assumptions!$B$47:$D$61,3),VLOOKUP(U4-1,Assumptions!$B$47:$D$61,3)))</f>
        <v>10</v>
      </c>
      <c r="V8">
        <f>10*(1-AVERAGE(VLOOKUP(V4,Assumptions!$B$47:$D$61,3),VLOOKUP(V4-1,Assumptions!$B$47:$D$61,3)))</f>
        <v>10</v>
      </c>
      <c r="W8">
        <f>10*(1-AVERAGE(VLOOKUP(W4,Assumptions!$B$47:$D$61,3),VLOOKUP(W4-1,Assumptions!$B$47:$D$61,3)))</f>
        <v>10</v>
      </c>
      <c r="X8">
        <f>10*(1-AVERAGE(VLOOKUP(X4,Assumptions!$B$47:$D$61,3),VLOOKUP(X4-1,Assumptions!$B$47:$D$61,3)))</f>
        <v>10</v>
      </c>
      <c r="Y8">
        <f>10*(1-AVERAGE(VLOOKUP(Y4,Assumptions!$B$47:$D$61,3),VLOOKUP(Y4-1,Assumptions!$B$47:$D$61,3)))</f>
        <v>10</v>
      </c>
      <c r="Z8">
        <f>10*(1-AVERAGE(VLOOKUP(Z4,Assumptions!$B$47:$D$61,3),VLOOKUP(Z4-1,Assumptions!$B$47:$D$61,3)))</f>
        <v>10</v>
      </c>
      <c r="AA8">
        <f>10*(1-AVERAGE(VLOOKUP(AA4,Assumptions!$B$47:$D$61,3),VLOOKUP(AA4-1,Assumptions!$B$47:$D$61,3)))</f>
        <v>10</v>
      </c>
      <c r="AB8">
        <f>10*(1-AVERAGE(VLOOKUP(AB4,Assumptions!$B$47:$D$61,3),VLOOKUP(AB4-1,Assumptions!$B$47:$D$61,3)))</f>
        <v>10</v>
      </c>
      <c r="AC8">
        <f>10*(1-AVERAGE(VLOOKUP(AC4,Assumptions!$B$47:$D$61,3),VLOOKUP(AC4-1,Assumptions!$B$47:$D$61,3)))</f>
        <v>10</v>
      </c>
      <c r="AD8">
        <f>10*(1-AVERAGE(VLOOKUP(AD4,Assumptions!$B$47:$D$61,3),VLOOKUP(AD4-1,Assumptions!$B$47:$D$61,3)))</f>
        <v>10</v>
      </c>
      <c r="AE8">
        <f>10*(1-AVERAGE(VLOOKUP(AE4,Assumptions!$B$47:$D$61,3),VLOOKUP(AE4-1,Assumptions!$B$47:$D$61,3)))</f>
        <v>10</v>
      </c>
      <c r="AF8">
        <f>10*(1-AVERAGE(VLOOKUP(AF4,Assumptions!$B$47:$D$61,3),VLOOKUP(AF4-1,Assumptions!$B$47:$D$61,3)))</f>
        <v>10</v>
      </c>
      <c r="AG8">
        <f>10*(1-AVERAGE(VLOOKUP(AG4,Assumptions!$B$47:$D$61,3),VLOOKUP(AG4-1,Assumptions!$B$47:$D$61,3)))</f>
        <v>10</v>
      </c>
      <c r="AH8">
        <f>10*(1-AVERAGE(VLOOKUP(AH4,Assumptions!$B$47:$D$61,3),VLOOKUP(AH4-1,Assumptions!$B$47:$D$61,3)))</f>
        <v>10</v>
      </c>
      <c r="AI8">
        <f>10*(1-AVERAGE(VLOOKUP(AI4,Assumptions!$B$47:$D$61,3),VLOOKUP(AI4-1,Assumptions!$B$47:$D$61,3)))</f>
        <v>10</v>
      </c>
      <c r="AJ8">
        <f>10*(1-AVERAGE(VLOOKUP(AJ4,Assumptions!$B$47:$D$61,3),VLOOKUP(AJ4-1,Assumptions!$B$47:$D$61,3)))</f>
        <v>10</v>
      </c>
      <c r="AK8">
        <f>10*(1-AVERAGE(VLOOKUP(AK4,Assumptions!$B$47:$D$61,3),VLOOKUP(AK4-1,Assumptions!$B$47:$D$61,3)))</f>
        <v>10</v>
      </c>
      <c r="AL8">
        <f>10*(1-AVERAGE(VLOOKUP(AL4,Assumptions!$B$47:$D$61,3),VLOOKUP(AL4-1,Assumptions!$B$47:$D$61,3)))</f>
        <v>10</v>
      </c>
      <c r="AM8">
        <f>10*(1-AVERAGE(VLOOKUP(AM4,Assumptions!$B$47:$D$61,3),VLOOKUP(AM4-1,Assumptions!$B$47:$D$61,3)))</f>
        <v>10</v>
      </c>
      <c r="AN8">
        <f>10*(1-AVERAGE(VLOOKUP(AN4,Assumptions!$B$47:$D$61,3),VLOOKUP(AN4-1,Assumptions!$B$47:$D$61,3)))</f>
        <v>10</v>
      </c>
      <c r="AO8">
        <f>10*(1-AVERAGE(VLOOKUP(AO4,Assumptions!$B$47:$D$61,3),VLOOKUP(AO4-1,Assumptions!$B$47:$D$61,3)))</f>
        <v>10</v>
      </c>
      <c r="AP8">
        <f>10*(1-AVERAGE(VLOOKUP(AP4,Assumptions!$B$47:$D$61,3),VLOOKUP(AP4-1,Assumptions!$B$47:$D$61,3)))</f>
        <v>10</v>
      </c>
      <c r="AQ8">
        <f>10*(1-AVERAGE(VLOOKUP(AQ4,Assumptions!$B$47:$D$61,3),VLOOKUP(AQ4-1,Assumptions!$B$47:$D$61,3)))</f>
        <v>10</v>
      </c>
      <c r="AR8">
        <f>10*(1-AVERAGE(VLOOKUP(AR4,Assumptions!$B$47:$D$61,3),VLOOKUP(AR4-1,Assumptions!$B$47:$D$61,3)))</f>
        <v>10</v>
      </c>
      <c r="AS8">
        <f>10*(1-AVERAGE(VLOOKUP(AS4,Assumptions!$B$47:$D$61,3),VLOOKUP(AS4-1,Assumptions!$B$47:$D$61,3)))</f>
        <v>10</v>
      </c>
      <c r="AT8">
        <f>10*(1-AVERAGE(VLOOKUP(AT4,Assumptions!$B$47:$D$61,3),VLOOKUP(AT4-1,Assumptions!$B$47:$D$61,3)))</f>
        <v>10</v>
      </c>
      <c r="AU8">
        <f>10*(1-AVERAGE(VLOOKUP(AU4,Assumptions!$B$47:$D$61,3),VLOOKUP(AU4-1,Assumptions!$B$47:$D$61,3)))</f>
        <v>10</v>
      </c>
      <c r="AV8">
        <f>10*(1-AVERAGE(VLOOKUP(AV4,Assumptions!$B$47:$D$61,3),VLOOKUP(AV4-1,Assumptions!$B$47:$D$61,3)))</f>
        <v>10</v>
      </c>
      <c r="AW8">
        <f>10*(1-AVERAGE(VLOOKUP(AW4,Assumptions!$B$47:$D$61,3),VLOOKUP(AW4-1,Assumptions!$B$47:$D$61,3)))</f>
        <v>10</v>
      </c>
      <c r="AX8">
        <f>10*(1-AVERAGE(VLOOKUP(AX4,Assumptions!$B$47:$D$61,3),VLOOKUP(AX4-1,Assumptions!$B$47:$D$61,3)))</f>
        <v>10</v>
      </c>
      <c r="AY8">
        <f>10*(1-AVERAGE(VLOOKUP(AY4,Assumptions!$B$47:$D$61,3),VLOOKUP(AY4-1,Assumptions!$B$47:$D$61,3)))</f>
        <v>10</v>
      </c>
      <c r="AZ8">
        <f>10*(1-AVERAGE(VLOOKUP(AZ4,Assumptions!$B$47:$D$61,3),VLOOKUP(AZ4-1,Assumptions!$B$47:$D$61,3)))</f>
        <v>10</v>
      </c>
      <c r="BA8">
        <f>10*(1-AVERAGE(VLOOKUP(BA4,Assumptions!$B$47:$D$61,3),VLOOKUP(BA4-1,Assumptions!$B$47:$D$61,3)))</f>
        <v>10</v>
      </c>
      <c r="BB8">
        <f>10*(1-AVERAGE(VLOOKUP(BB4,Assumptions!$B$47:$D$61,3),VLOOKUP(BB4-1,Assumptions!$B$47:$D$61,3)))</f>
        <v>10</v>
      </c>
      <c r="BC8">
        <f>10*(1-AVERAGE(VLOOKUP(BC4,Assumptions!$B$47:$D$61,3),VLOOKUP(BC4-1,Assumptions!$B$47:$D$61,3)))</f>
        <v>10</v>
      </c>
      <c r="BD8">
        <f>10*(1-AVERAGE(VLOOKUP(BD4,Assumptions!$B$47:$D$61,3),VLOOKUP(BD4-1,Assumptions!$B$47:$D$61,3)))</f>
        <v>10</v>
      </c>
      <c r="BE8">
        <f>10*(1-AVERAGE(VLOOKUP(BE4,Assumptions!$B$47:$D$61,3),VLOOKUP(BE4-1,Assumptions!$B$47:$D$61,3)))</f>
        <v>10</v>
      </c>
      <c r="BF8">
        <f>10*(1-AVERAGE(VLOOKUP(BF4,Assumptions!$B$47:$D$61,3),VLOOKUP(BF4-1,Assumptions!$B$47:$D$61,3)))</f>
        <v>10</v>
      </c>
      <c r="BG8">
        <f>10*(1-AVERAGE(VLOOKUP(BG4,Assumptions!$B$47:$D$61,3),VLOOKUP(BG4-1,Assumptions!$B$47:$D$61,3)))</f>
        <v>10</v>
      </c>
      <c r="BH8">
        <f>10*(1-AVERAGE(VLOOKUP(BH4,Assumptions!$B$47:$D$61,3),VLOOKUP(BH4-1,Assumptions!$B$47:$D$61,3)))</f>
        <v>10</v>
      </c>
      <c r="BI8">
        <f>10*(1-AVERAGE(VLOOKUP(BI4,Assumptions!$B$47:$D$61,3),VLOOKUP(BI4-1,Assumptions!$B$47:$D$61,3)))</f>
        <v>10</v>
      </c>
      <c r="BJ8">
        <f>10*(1-AVERAGE(VLOOKUP(BJ4,Assumptions!$B$47:$D$61,3),VLOOKUP(BJ4-1,Assumptions!$B$47:$D$61,3)))</f>
        <v>10</v>
      </c>
      <c r="BK8">
        <f>10*(1-AVERAGE(VLOOKUP(BK4,Assumptions!$B$47:$D$61,3),VLOOKUP(BK4-1,Assumptions!$B$47:$D$61,3)))</f>
        <v>10</v>
      </c>
      <c r="BL8">
        <f>10*(1-AVERAGE(VLOOKUP(BL4,Assumptions!$B$47:$D$61,3),VLOOKUP(BL4-1,Assumptions!$B$47:$D$61,3)))</f>
        <v>10</v>
      </c>
      <c r="BM8">
        <f>10*(1-AVERAGE(VLOOKUP(BM4,Assumptions!$B$47:$D$61,3),VLOOKUP(BM4-1,Assumptions!$B$47:$D$61,3)))</f>
        <v>10</v>
      </c>
      <c r="BN8">
        <f>10*(1-AVERAGE(VLOOKUP(BN4,Assumptions!$B$47:$D$61,3),VLOOKUP(BN4-1,Assumptions!$B$47:$D$61,3)))</f>
        <v>10</v>
      </c>
      <c r="BO8">
        <f>10*(1-AVERAGE(VLOOKUP(BO4,Assumptions!$B$47:$D$61,3),VLOOKUP(BO4-1,Assumptions!$B$47:$D$61,3)))</f>
        <v>10</v>
      </c>
      <c r="BP8">
        <f>10*(1-AVERAGE(VLOOKUP(BP4,Assumptions!$B$47:$D$61,3),VLOOKUP(BP4-1,Assumptions!$B$47:$D$61,3)))</f>
        <v>10</v>
      </c>
      <c r="BQ8">
        <f>10*(1-AVERAGE(VLOOKUP(BQ4,Assumptions!$B$47:$D$61,3),VLOOKUP(BQ4-1,Assumptions!$B$47:$D$61,3)))</f>
        <v>10</v>
      </c>
      <c r="BR8">
        <f>10*(1-AVERAGE(VLOOKUP(BR4,Assumptions!$B$47:$D$61,3),VLOOKUP(BR4-1,Assumptions!$B$47:$D$61,3)))</f>
        <v>10</v>
      </c>
      <c r="BS8">
        <f>10*(1-AVERAGE(VLOOKUP(BS4,Assumptions!$B$47:$D$61,3),VLOOKUP(BS4-1,Assumptions!$B$47:$D$61,3)))</f>
        <v>10</v>
      </c>
      <c r="BT8">
        <f>10*(1-AVERAGE(VLOOKUP(BT4,Assumptions!$B$47:$D$61,3),VLOOKUP(BT4-1,Assumptions!$B$47:$D$61,3)))</f>
        <v>10</v>
      </c>
      <c r="BU8">
        <f>10*(1-AVERAGE(VLOOKUP(BU4,Assumptions!$B$47:$D$61,3),VLOOKUP(BU4-1,Assumptions!$B$47:$D$61,3)))</f>
        <v>10</v>
      </c>
      <c r="BV8">
        <f>10*(1-AVERAGE(VLOOKUP(BV4,Assumptions!$B$47:$D$61,3),VLOOKUP(BV4-1,Assumptions!$B$47:$D$61,3)))</f>
        <v>10</v>
      </c>
      <c r="BW8">
        <f>10*(1-AVERAGE(VLOOKUP(BW4,Assumptions!$B$47:$D$61,3),VLOOKUP(BW4-1,Assumptions!$B$47:$D$61,3)))</f>
        <v>10</v>
      </c>
      <c r="BX8">
        <f>10*(1-AVERAGE(VLOOKUP(BX4,Assumptions!$B$47:$D$61,3),VLOOKUP(BX4-1,Assumptions!$B$47:$D$61,3)))</f>
        <v>10</v>
      </c>
      <c r="BY8">
        <f>10*(1-AVERAGE(VLOOKUP(BY4,Assumptions!$B$47:$D$61,3),VLOOKUP(BY4-1,Assumptions!$B$47:$D$61,3)))</f>
        <v>10</v>
      </c>
      <c r="BZ8">
        <f>10*(1-AVERAGE(VLOOKUP(BZ4,Assumptions!$B$47:$D$61,3),VLOOKUP(BZ4-1,Assumptions!$B$47:$D$61,3)))</f>
        <v>10</v>
      </c>
      <c r="CA8">
        <f>10*(1-AVERAGE(VLOOKUP(CA4,Assumptions!$B$47:$D$61,3),VLOOKUP(CA4-1,Assumptions!$B$47:$D$61,3)))</f>
        <v>10</v>
      </c>
      <c r="CB8">
        <f>10*(1-AVERAGE(VLOOKUP(CB4,Assumptions!$B$47:$D$61,3),VLOOKUP(CB4-1,Assumptions!$B$47:$D$61,3)))</f>
        <v>10</v>
      </c>
      <c r="CC8">
        <f>10*(1-AVERAGE(VLOOKUP(CC4,Assumptions!$B$47:$D$61,3),VLOOKUP(CC4-1,Assumptions!$B$47:$D$61,3)))</f>
        <v>10</v>
      </c>
      <c r="CD8">
        <f>10*(1-AVERAGE(VLOOKUP(CD4,Assumptions!$B$47:$D$61,3),VLOOKUP(CD4-1,Assumptions!$B$47:$D$61,3)))</f>
        <v>10</v>
      </c>
      <c r="CE8">
        <f>10*(1-AVERAGE(VLOOKUP(CE4,Assumptions!$B$47:$D$61,3),VLOOKUP(CE4-1,Assumptions!$B$47:$D$61,3)))</f>
        <v>10</v>
      </c>
      <c r="CF8">
        <f>10*(1-AVERAGE(VLOOKUP(CF4,Assumptions!$B$47:$D$61,3),VLOOKUP(CF4-1,Assumptions!$B$47:$D$61,3)))</f>
        <v>10</v>
      </c>
      <c r="CG8">
        <f>10*(1-AVERAGE(VLOOKUP(CG4,Assumptions!$B$47:$D$61,3),VLOOKUP(CG4-1,Assumptions!$B$47:$D$61,3)))</f>
        <v>10</v>
      </c>
      <c r="CH8">
        <f>10*(1-AVERAGE(VLOOKUP(CH4,Assumptions!$B$47:$D$61,3),VLOOKUP(CH4-1,Assumptions!$B$47:$D$61,3)))</f>
        <v>10</v>
      </c>
      <c r="CI8">
        <f>10*(1-AVERAGE(VLOOKUP(CI4,Assumptions!$B$47:$D$61,3),VLOOKUP(CI4-1,Assumptions!$B$47:$D$61,3)))</f>
        <v>10</v>
      </c>
      <c r="CJ8">
        <f>10*(1-AVERAGE(VLOOKUP(CJ4,Assumptions!$B$47:$D$61,3),VLOOKUP(CJ4-1,Assumptions!$B$47:$D$61,3)))</f>
        <v>10</v>
      </c>
      <c r="CK8">
        <f>10*(1-AVERAGE(VLOOKUP(CK4,Assumptions!$B$47:$D$61,3),VLOOKUP(CK4-1,Assumptions!$B$47:$D$61,3)))</f>
        <v>10</v>
      </c>
      <c r="CL8">
        <f>10*(1-AVERAGE(VLOOKUP(CL4,Assumptions!$B$47:$D$61,3),VLOOKUP(CL4-1,Assumptions!$B$47:$D$61,3)))</f>
        <v>10</v>
      </c>
      <c r="CM8">
        <f>10*(1-AVERAGE(VLOOKUP(CM4,Assumptions!$B$47:$D$61,3),VLOOKUP(CM4-1,Assumptions!$B$47:$D$61,3)))</f>
        <v>10</v>
      </c>
      <c r="CN8">
        <f>10*(1-AVERAGE(VLOOKUP(CN4,Assumptions!$B$47:$D$61,3),VLOOKUP(CN4-1,Assumptions!$B$47:$D$61,3)))</f>
        <v>10</v>
      </c>
      <c r="CO8">
        <f>10*(1-AVERAGE(VLOOKUP(CO4,Assumptions!$B$47:$D$61,3),VLOOKUP(CO4-1,Assumptions!$B$47:$D$61,3)))</f>
        <v>10</v>
      </c>
      <c r="CP8">
        <f>10*(1-AVERAGE(VLOOKUP(CP4,Assumptions!$B$47:$D$61,3),VLOOKUP(CP4-1,Assumptions!$B$47:$D$61,3)))</f>
        <v>10</v>
      </c>
      <c r="CQ8">
        <f>10*(1-AVERAGE(VLOOKUP(CQ4,Assumptions!$B$47:$D$61,3),VLOOKUP(CQ4-1,Assumptions!$B$47:$D$61,3)))</f>
        <v>10</v>
      </c>
      <c r="CR8">
        <f>10*(1-AVERAGE(VLOOKUP(CR4,Assumptions!$B$47:$D$61,3),VLOOKUP(CR4-1,Assumptions!$B$47:$D$61,3)))</f>
        <v>10</v>
      </c>
      <c r="CS8">
        <f>10*(1-AVERAGE(VLOOKUP(CS4,Assumptions!$B$47:$D$61,3),VLOOKUP(CS4-1,Assumptions!$B$47:$D$61,3)))</f>
        <v>10</v>
      </c>
      <c r="CT8">
        <f>10*(1-AVERAGE(VLOOKUP(CT4,Assumptions!$B$47:$D$61,3),VLOOKUP(CT4-1,Assumptions!$B$47:$D$61,3)))</f>
        <v>10</v>
      </c>
      <c r="CU8">
        <f>10*(1-AVERAGE(VLOOKUP(CU4,Assumptions!$B$47:$D$61,3),VLOOKUP(CU4-1,Assumptions!$B$47:$D$61,3)))</f>
        <v>10</v>
      </c>
      <c r="CV8">
        <f>10*(1-AVERAGE(VLOOKUP(CV4,Assumptions!$B$47:$D$61,3),VLOOKUP(CV4-1,Assumptions!$B$47:$D$61,3)))</f>
        <v>10</v>
      </c>
      <c r="CW8">
        <f>10*(1-AVERAGE(VLOOKUP(CW4,Assumptions!$B$47:$D$61,3),VLOOKUP(CW4-1,Assumptions!$B$47:$D$61,3)))</f>
        <v>10</v>
      </c>
      <c r="CX8">
        <f>10*(1-AVERAGE(VLOOKUP(CX4,Assumptions!$B$47:$D$61,3),VLOOKUP(CX4-1,Assumptions!$B$47:$D$61,3)))</f>
        <v>10</v>
      </c>
      <c r="CY8">
        <f>10*(1-AVERAGE(VLOOKUP(CY4,Assumptions!$B$47:$D$61,3),VLOOKUP(CY4-1,Assumptions!$B$47:$D$61,3)))</f>
        <v>10</v>
      </c>
      <c r="CZ8">
        <f>10*(1-AVERAGE(VLOOKUP(CZ4,Assumptions!$B$47:$D$61,3),VLOOKUP(CZ4-1,Assumptions!$B$47:$D$61,3)))</f>
        <v>10</v>
      </c>
      <c r="DA8">
        <f>10*(1-AVERAGE(VLOOKUP(DA4,Assumptions!$B$47:$D$61,3),VLOOKUP(DA4-1,Assumptions!$B$47:$D$61,3)))</f>
        <v>10</v>
      </c>
      <c r="DB8">
        <f>10*(1-AVERAGE(VLOOKUP(DB4,Assumptions!$B$47:$D$61,3),VLOOKUP(DB4-1,Assumptions!$B$47:$D$61,3)))</f>
        <v>10</v>
      </c>
      <c r="DC8">
        <f>10*(1-AVERAGE(VLOOKUP(DC4,Assumptions!$B$47:$D$61,3),VLOOKUP(DC4-1,Assumptions!$B$47:$D$61,3)))</f>
        <v>10</v>
      </c>
      <c r="DD8">
        <f>10*(1-AVERAGE(VLOOKUP(DD4,Assumptions!$B$47:$D$61,3),VLOOKUP(DD4-1,Assumptions!$B$47:$D$61,3)))</f>
        <v>10</v>
      </c>
      <c r="DE8">
        <f>10*(1-AVERAGE(VLOOKUP(DE4,Assumptions!$B$47:$D$61,3),VLOOKUP(DE4-1,Assumptions!$B$47:$D$61,3)))</f>
        <v>10</v>
      </c>
      <c r="DF8">
        <f>10*(1-AVERAGE(VLOOKUP(DF4,Assumptions!$B$47:$D$61,3),VLOOKUP(DF4-1,Assumptions!$B$47:$D$61,3)))</f>
        <v>10</v>
      </c>
      <c r="DG8">
        <f>10*(1-AVERAGE(VLOOKUP(DG4,Assumptions!$B$47:$D$61,3),VLOOKUP(DG4-1,Assumptions!$B$47:$D$61,3)))</f>
        <v>10</v>
      </c>
      <c r="DH8">
        <f>10*(1-AVERAGE(VLOOKUP(DH4,Assumptions!$B$47:$D$61,3),VLOOKUP(DH4-1,Assumptions!$B$47:$D$61,3)))</f>
        <v>10</v>
      </c>
      <c r="DI8">
        <f>10*(1-AVERAGE(VLOOKUP(DI4,Assumptions!$B$47:$D$61,3),VLOOKUP(DI4-1,Assumptions!$B$47:$D$61,3)))</f>
        <v>10</v>
      </c>
      <c r="DJ8">
        <f>10*(1-AVERAGE(VLOOKUP(DJ4,Assumptions!$B$47:$D$61,3),VLOOKUP(DJ4-1,Assumptions!$B$47:$D$61,3)))</f>
        <v>10</v>
      </c>
      <c r="DK8">
        <f>10*(1-AVERAGE(VLOOKUP(DK4,Assumptions!$B$47:$D$61,3),VLOOKUP(DK4-1,Assumptions!$B$47:$D$61,3)))</f>
        <v>10</v>
      </c>
      <c r="DL8">
        <f>10*(1-AVERAGE(VLOOKUP(DL4,Assumptions!$B$47:$D$61,3),VLOOKUP(DL4-1,Assumptions!$B$47:$D$61,3)))</f>
        <v>10</v>
      </c>
      <c r="DM8">
        <f>10*(1-AVERAGE(VLOOKUP(DM4,Assumptions!$B$47:$D$61,3),VLOOKUP(DM4-1,Assumptions!$B$47:$D$61,3)))</f>
        <v>10</v>
      </c>
      <c r="DN8">
        <f>10*(1-AVERAGE(VLOOKUP(DN4,Assumptions!$B$47:$D$61,3),VLOOKUP(DN4-1,Assumptions!$B$47:$D$61,3)))</f>
        <v>10</v>
      </c>
      <c r="DO8">
        <f>10*(1-AVERAGE(VLOOKUP(DO4,Assumptions!$B$47:$D$61,3),VLOOKUP(DO4-1,Assumptions!$B$47:$D$61,3)))</f>
        <v>10</v>
      </c>
      <c r="DP8">
        <f>10*(1-AVERAGE(VLOOKUP(DP4,Assumptions!$B$47:$D$61,3),VLOOKUP(DP4-1,Assumptions!$B$47:$D$61,3)))</f>
        <v>10</v>
      </c>
      <c r="DQ8">
        <f>10*(1-AVERAGE(VLOOKUP(DQ4,Assumptions!$B$47:$D$61,3),VLOOKUP(DQ4-1,Assumptions!$B$47:$D$61,3)))</f>
        <v>10</v>
      </c>
      <c r="DR8">
        <f>10*(1-AVERAGE(VLOOKUP(DR4,Assumptions!$B$47:$D$61,3),VLOOKUP(DR4-1,Assumptions!$B$47:$D$61,3)))</f>
        <v>10</v>
      </c>
      <c r="DS8">
        <f>10*(1-AVERAGE(VLOOKUP(DS4,Assumptions!$B$47:$D$61,3),VLOOKUP(DS4-1,Assumptions!$B$47:$D$61,3)))</f>
        <v>9.5</v>
      </c>
      <c r="DT8">
        <f>10*(1-AVERAGE(VLOOKUP(DT4,Assumptions!$B$47:$D$61,3),VLOOKUP(DT4-1,Assumptions!$B$47:$D$61,3)))</f>
        <v>9.5</v>
      </c>
      <c r="DU8">
        <f>10*(1-AVERAGE(VLOOKUP(DU4,Assumptions!$B$47:$D$61,3),VLOOKUP(DU4-1,Assumptions!$B$47:$D$61,3)))</f>
        <v>9.5</v>
      </c>
      <c r="DV8">
        <f>10*(1-AVERAGE(VLOOKUP(DV4,Assumptions!$B$47:$D$61,3),VLOOKUP(DV4-1,Assumptions!$B$47:$D$61,3)))</f>
        <v>9.5</v>
      </c>
      <c r="DW8">
        <f>10*(1-AVERAGE(VLOOKUP(DW4,Assumptions!$B$47:$D$61,3),VLOOKUP(DW4-1,Assumptions!$B$47:$D$61,3)))</f>
        <v>9.5</v>
      </c>
      <c r="DX8">
        <f>10*(1-AVERAGE(VLOOKUP(DX4,Assumptions!$B$47:$D$61,3),VLOOKUP(DX4-1,Assumptions!$B$47:$D$61,3)))</f>
        <v>9.5</v>
      </c>
      <c r="DY8">
        <f>10*(1-AVERAGE(VLOOKUP(DY4,Assumptions!$B$47:$D$61,3),VLOOKUP(DY4-1,Assumptions!$B$47:$D$61,3)))</f>
        <v>9.5</v>
      </c>
      <c r="DZ8">
        <f>10*(1-AVERAGE(VLOOKUP(DZ4,Assumptions!$B$47:$D$61,3),VLOOKUP(DZ4-1,Assumptions!$B$47:$D$61,3)))</f>
        <v>9.5</v>
      </c>
      <c r="EA8">
        <f>10*(1-AVERAGE(VLOOKUP(EA4,Assumptions!$B$47:$D$61,3),VLOOKUP(EA4-1,Assumptions!$B$47:$D$61,3)))</f>
        <v>9.5</v>
      </c>
      <c r="EB8">
        <f>10*(1-AVERAGE(VLOOKUP(EB4,Assumptions!$B$47:$D$61,3),VLOOKUP(EB4-1,Assumptions!$B$47:$D$61,3)))</f>
        <v>9.5</v>
      </c>
      <c r="EC8">
        <f>10*(1-AVERAGE(VLOOKUP(EC4,Assumptions!$B$47:$D$61,3),VLOOKUP(EC4-1,Assumptions!$B$47:$D$61,3)))</f>
        <v>9.5</v>
      </c>
      <c r="ED8">
        <f>10*(1-AVERAGE(VLOOKUP(ED4,Assumptions!$B$47:$D$61,3),VLOOKUP(ED4-1,Assumptions!$B$47:$D$61,3)))</f>
        <v>9.5</v>
      </c>
      <c r="EE8">
        <f>10*(1-AVERAGE(VLOOKUP(EE4,Assumptions!$B$47:$D$61,3),VLOOKUP(EE4-1,Assumptions!$B$47:$D$61,3)))</f>
        <v>8.25</v>
      </c>
      <c r="EF8">
        <f>10*(1-AVERAGE(VLOOKUP(EF4,Assumptions!$B$47:$D$61,3),VLOOKUP(EF4-1,Assumptions!$B$47:$D$61,3)))</f>
        <v>8.25</v>
      </c>
      <c r="EG8">
        <f>10*(1-AVERAGE(VLOOKUP(EG4,Assumptions!$B$47:$D$61,3),VLOOKUP(EG4-1,Assumptions!$B$47:$D$61,3)))</f>
        <v>8.25</v>
      </c>
      <c r="EH8">
        <f>10*(1-AVERAGE(VLOOKUP(EH4,Assumptions!$B$47:$D$61,3),VLOOKUP(EH4-1,Assumptions!$B$47:$D$61,3)))</f>
        <v>8.25</v>
      </c>
      <c r="EI8">
        <f>10*(1-AVERAGE(VLOOKUP(EI4,Assumptions!$B$47:$D$61,3),VLOOKUP(EI4-1,Assumptions!$B$47:$D$61,3)))</f>
        <v>8.25</v>
      </c>
      <c r="EJ8">
        <f>10*(1-AVERAGE(VLOOKUP(EJ4,Assumptions!$B$47:$D$61,3),VLOOKUP(EJ4-1,Assumptions!$B$47:$D$61,3)))</f>
        <v>8.25</v>
      </c>
      <c r="EK8">
        <f>10*(1-AVERAGE(VLOOKUP(EK4,Assumptions!$B$47:$D$61,3),VLOOKUP(EK4-1,Assumptions!$B$47:$D$61,3)))</f>
        <v>8.25</v>
      </c>
      <c r="EL8">
        <f>10*(1-AVERAGE(VLOOKUP(EL4,Assumptions!$B$47:$D$61,3),VLOOKUP(EL4-1,Assumptions!$B$47:$D$61,3)))</f>
        <v>8.25</v>
      </c>
      <c r="EM8">
        <f>10*(1-AVERAGE(VLOOKUP(EM4,Assumptions!$B$47:$D$61,3),VLOOKUP(EM4-1,Assumptions!$B$47:$D$61,3)))</f>
        <v>8.25</v>
      </c>
      <c r="EN8">
        <f>10*(1-AVERAGE(VLOOKUP(EN4,Assumptions!$B$47:$D$61,3),VLOOKUP(EN4-1,Assumptions!$B$47:$D$61,3)))</f>
        <v>8.25</v>
      </c>
      <c r="EO8">
        <f>10*(1-AVERAGE(VLOOKUP(EO4,Assumptions!$B$47:$D$61,3),VLOOKUP(EO4-1,Assumptions!$B$47:$D$61,3)))</f>
        <v>8.25</v>
      </c>
      <c r="EP8">
        <f>10*(1-AVERAGE(VLOOKUP(EP4,Assumptions!$B$47:$D$61,3),VLOOKUP(EP4-1,Assumptions!$B$47:$D$61,3)))</f>
        <v>8.25</v>
      </c>
      <c r="EQ8">
        <f>10*(1-AVERAGE(VLOOKUP(EQ4,Assumptions!$B$47:$D$61,3),VLOOKUP(EQ4-1,Assumptions!$B$47:$D$61,3)))</f>
        <v>6.5</v>
      </c>
      <c r="ER8">
        <f>10*(1-AVERAGE(VLOOKUP(ER4,Assumptions!$B$47:$D$61,3),VLOOKUP(ER4-1,Assumptions!$B$47:$D$61,3)))</f>
        <v>6.5</v>
      </c>
      <c r="ES8">
        <f>10*(1-AVERAGE(VLOOKUP(ES4,Assumptions!$B$47:$D$61,3),VLOOKUP(ES4-1,Assumptions!$B$47:$D$61,3)))</f>
        <v>6.5</v>
      </c>
      <c r="ET8">
        <f>10*(1-AVERAGE(VLOOKUP(ET4,Assumptions!$B$47:$D$61,3),VLOOKUP(ET4-1,Assumptions!$B$47:$D$61,3)))</f>
        <v>6.5</v>
      </c>
      <c r="EU8">
        <f>10*(1-AVERAGE(VLOOKUP(EU4,Assumptions!$B$47:$D$61,3),VLOOKUP(EU4-1,Assumptions!$B$47:$D$61,3)))</f>
        <v>6.5</v>
      </c>
      <c r="EV8">
        <f>10*(1-AVERAGE(VLOOKUP(EV4,Assumptions!$B$47:$D$61,3),VLOOKUP(EV4-1,Assumptions!$B$47:$D$61,3)))</f>
        <v>6.5</v>
      </c>
      <c r="EW8">
        <f>10*(1-AVERAGE(VLOOKUP(EW4,Assumptions!$B$47:$D$61,3),VLOOKUP(EW4-1,Assumptions!$B$47:$D$61,3)))</f>
        <v>6.5</v>
      </c>
      <c r="EX8">
        <f>10*(1-AVERAGE(VLOOKUP(EX4,Assumptions!$B$47:$D$61,3),VLOOKUP(EX4-1,Assumptions!$B$47:$D$61,3)))</f>
        <v>6.5</v>
      </c>
      <c r="EY8">
        <f>10*(1-AVERAGE(VLOOKUP(EY4,Assumptions!$B$47:$D$61,3),VLOOKUP(EY4-1,Assumptions!$B$47:$D$61,3)))</f>
        <v>6.5</v>
      </c>
      <c r="EZ8">
        <f>10*(1-AVERAGE(VLOOKUP(EZ4,Assumptions!$B$47:$D$61,3),VLOOKUP(EZ4-1,Assumptions!$B$47:$D$61,3)))</f>
        <v>6.5</v>
      </c>
      <c r="FA8">
        <f>10*(1-AVERAGE(VLOOKUP(FA4,Assumptions!$B$47:$D$61,3),VLOOKUP(FA4-1,Assumptions!$B$47:$D$61,3)))</f>
        <v>6.5</v>
      </c>
      <c r="FB8">
        <f>10*(1-AVERAGE(VLOOKUP(FB4,Assumptions!$B$47:$D$61,3),VLOOKUP(FB4-1,Assumptions!$B$47:$D$61,3)))</f>
        <v>6.5</v>
      </c>
      <c r="FC8">
        <f>10*(1-AVERAGE(VLOOKUP(FC4,Assumptions!$B$47:$D$61,3),VLOOKUP(FC4-1,Assumptions!$B$47:$D$61,3)))</f>
        <v>4.25</v>
      </c>
      <c r="FD8">
        <f>10*(1-AVERAGE(VLOOKUP(FD4,Assumptions!$B$47:$D$61,3),VLOOKUP(FD4-1,Assumptions!$B$47:$D$61,3)))</f>
        <v>4.25</v>
      </c>
      <c r="FE8">
        <f>10*(1-AVERAGE(VLOOKUP(FE4,Assumptions!$B$47:$D$61,3),VLOOKUP(FE4-1,Assumptions!$B$47:$D$61,3)))</f>
        <v>4.25</v>
      </c>
      <c r="FF8">
        <f>10*(1-AVERAGE(VLOOKUP(FF4,Assumptions!$B$47:$D$61,3),VLOOKUP(FF4-1,Assumptions!$B$47:$D$61,3)))</f>
        <v>4.25</v>
      </c>
      <c r="FG8">
        <f>10*(1-AVERAGE(VLOOKUP(FG4,Assumptions!$B$47:$D$61,3),VLOOKUP(FG4-1,Assumptions!$B$47:$D$61,3)))</f>
        <v>4.25</v>
      </c>
      <c r="FH8">
        <f>10*(1-AVERAGE(VLOOKUP(FH4,Assumptions!$B$47:$D$61,3),VLOOKUP(FH4-1,Assumptions!$B$47:$D$61,3)))</f>
        <v>4.25</v>
      </c>
      <c r="FI8">
        <f>10*(1-AVERAGE(VLOOKUP(FI4,Assumptions!$B$47:$D$61,3),VLOOKUP(FI4-1,Assumptions!$B$47:$D$61,3)))</f>
        <v>4.25</v>
      </c>
      <c r="FJ8">
        <f>10*(1-AVERAGE(VLOOKUP(FJ4,Assumptions!$B$47:$D$61,3),VLOOKUP(FJ4-1,Assumptions!$B$47:$D$61,3)))</f>
        <v>4.25</v>
      </c>
      <c r="FK8">
        <f>10*(1-AVERAGE(VLOOKUP(FK4,Assumptions!$B$47:$D$61,3),VLOOKUP(FK4-1,Assumptions!$B$47:$D$61,3)))</f>
        <v>4.25</v>
      </c>
      <c r="FL8">
        <f>10*(1-AVERAGE(VLOOKUP(FL4,Assumptions!$B$47:$D$61,3),VLOOKUP(FL4-1,Assumptions!$B$47:$D$61,3)))</f>
        <v>4.25</v>
      </c>
      <c r="FM8">
        <f>10*(1-AVERAGE(VLOOKUP(FM4,Assumptions!$B$47:$D$61,3),VLOOKUP(FM4-1,Assumptions!$B$47:$D$61,3)))</f>
        <v>4.25</v>
      </c>
      <c r="FN8">
        <f>10*(1-AVERAGE(VLOOKUP(FN4,Assumptions!$B$47:$D$61,3),VLOOKUP(FN4-1,Assumptions!$B$47:$D$61,3)))</f>
        <v>4.25</v>
      </c>
      <c r="FO8">
        <f>10*(1-AVERAGE(VLOOKUP(FO4,Assumptions!$B$47:$D$61,3),VLOOKUP(FO4-1,Assumptions!$B$47:$D$61,3)))</f>
        <v>1.5000000000000002</v>
      </c>
      <c r="FP8">
        <f>10*(1-AVERAGE(VLOOKUP(FP4,Assumptions!$B$47:$D$61,3),VLOOKUP(FP4-1,Assumptions!$B$47:$D$61,3)))</f>
        <v>1.5000000000000002</v>
      </c>
      <c r="FQ8">
        <f>10*(1-AVERAGE(VLOOKUP(FQ4,Assumptions!$B$47:$D$61,3),VLOOKUP(FQ4-1,Assumptions!$B$47:$D$61,3)))</f>
        <v>1.5000000000000002</v>
      </c>
      <c r="FR8">
        <f>10*(1-AVERAGE(VLOOKUP(FR4,Assumptions!$B$47:$D$61,3),VLOOKUP(FR4-1,Assumptions!$B$47:$D$61,3)))</f>
        <v>1.5000000000000002</v>
      </c>
      <c r="FS8">
        <f>10*(1-AVERAGE(VLOOKUP(FS4,Assumptions!$B$47:$D$61,3),VLOOKUP(FS4-1,Assumptions!$B$47:$D$61,3)))</f>
        <v>1.5000000000000002</v>
      </c>
      <c r="FT8">
        <f>10*(1-AVERAGE(VLOOKUP(FT4,Assumptions!$B$47:$D$61,3),VLOOKUP(FT4-1,Assumptions!$B$47:$D$61,3)))</f>
        <v>1.5000000000000002</v>
      </c>
      <c r="FU8">
        <f>10*(1-AVERAGE(VLOOKUP(FU4,Assumptions!$B$47:$D$61,3),VLOOKUP(FU4-1,Assumptions!$B$47:$D$61,3)))</f>
        <v>1.5000000000000002</v>
      </c>
      <c r="FV8">
        <f>10*(1-AVERAGE(VLOOKUP(FV4,Assumptions!$B$47:$D$61,3),VLOOKUP(FV4-1,Assumptions!$B$47:$D$61,3)))</f>
        <v>1.5000000000000002</v>
      </c>
      <c r="FW8">
        <f>10*(1-AVERAGE(VLOOKUP(FW4,Assumptions!$B$47:$D$61,3),VLOOKUP(FW4-1,Assumptions!$B$47:$D$61,3)))</f>
        <v>1.5000000000000002</v>
      </c>
      <c r="FX8">
        <f>10*(1-AVERAGE(VLOOKUP(FX4,Assumptions!$B$47:$D$61,3),VLOOKUP(FX4-1,Assumptions!$B$47:$D$61,3)))</f>
        <v>1.5000000000000002</v>
      </c>
      <c r="FY8">
        <f>10*(1-AVERAGE(VLOOKUP(FY4,Assumptions!$B$47:$D$61,3),VLOOKUP(FY4-1,Assumptions!$B$47:$D$61,3)))</f>
        <v>1.5000000000000002</v>
      </c>
      <c r="FZ8">
        <f>10*(1-AVERAGE(VLOOKUP(FZ4,Assumptions!$B$47:$D$61,3),VLOOKUP(FZ4-1,Assumptions!$B$47:$D$61,3)))</f>
        <v>1.5000000000000002</v>
      </c>
      <c r="GA8">
        <v>1.5</v>
      </c>
      <c r="GB8">
        <v>1.5</v>
      </c>
      <c r="GC8">
        <v>1.5</v>
      </c>
      <c r="GD8">
        <v>1.5</v>
      </c>
      <c r="GE8">
        <v>1.5</v>
      </c>
      <c r="GF8">
        <v>1.5</v>
      </c>
      <c r="GG8">
        <v>1.5</v>
      </c>
      <c r="GH8">
        <v>1.5</v>
      </c>
      <c r="GI8">
        <v>1.5</v>
      </c>
      <c r="GJ8">
        <v>1.5</v>
      </c>
      <c r="GK8">
        <v>1.5</v>
      </c>
      <c r="GL8">
        <v>1.5</v>
      </c>
      <c r="GN8" s="6"/>
      <c r="GO8" s="8"/>
    </row>
    <row r="9" spans="1:200">
      <c r="A9" s="24"/>
      <c r="GN9" s="6"/>
      <c r="GO9" s="8"/>
    </row>
    <row r="10" spans="1:200">
      <c r="A10" t="s">
        <v>74</v>
      </c>
      <c r="B10" s="22"/>
      <c r="C10">
        <f>IF(C5=8,ROUND(C8*VLOOKUP(C4,Assumptions!$B$29:$D$43,3)*Availability,3),0)</f>
        <v>0</v>
      </c>
      <c r="D10">
        <f>IF(D5=8,ROUND(D8*VLOOKUP(D4,Assumptions!$B$29:$D$43,3)*Availability,3),0)</f>
        <v>0</v>
      </c>
      <c r="E10">
        <f>IF(E5=8,ROUND(E8*VLOOKUP(E4,Assumptions!$B$29:$D$43,3)*Availability,3),0)</f>
        <v>0</v>
      </c>
      <c r="F10">
        <f>IF(F5=8,ROUND(F8*VLOOKUP(F4,Assumptions!$B$29:$D$43,3)*Availability,3),0)</f>
        <v>0</v>
      </c>
      <c r="G10">
        <f>IF(G5=8,ROUND(G8*VLOOKUP(G4,Assumptions!$B$29:$D$43,3)*Availability,3),0)</f>
        <v>0</v>
      </c>
      <c r="H10">
        <f>IF(H5=8,ROUND(H8*VLOOKUP(H4,Assumptions!$B$29:$D$43,3)*Availability,3),0)</f>
        <v>0</v>
      </c>
      <c r="I10">
        <f>IF(I5=8,ROUND(I8*VLOOKUP(I4,Assumptions!$B$29:$D$43,3)*Availability,3),0)</f>
        <v>0</v>
      </c>
      <c r="J10">
        <f>IF(J5=8,ROUND(J8*VLOOKUP(J4,Assumptions!$B$29:$D$43,3)*Availability,3),0)</f>
        <v>9</v>
      </c>
      <c r="K10">
        <f>IF(K5=8,ROUND(K8*VLOOKUP(K4,Assumptions!$B$29:$D$43,3)*Availability,3),0)</f>
        <v>0</v>
      </c>
      <c r="L10">
        <f>IF(L5=8,ROUND(L8*VLOOKUP(L4,Assumptions!$B$29:$D$43,3)*Availability,3),0)</f>
        <v>0</v>
      </c>
      <c r="M10">
        <f>IF(M5=8,ROUND(M8*VLOOKUP(M4,Assumptions!$B$29:$D$43,3)*Availability,3),0)</f>
        <v>0</v>
      </c>
      <c r="N10">
        <f>IF(N5=8,ROUND(N8*VLOOKUP(N4,Assumptions!$B$29:$D$43,3)*Availability,3),0)</f>
        <v>0</v>
      </c>
      <c r="O10">
        <f>IF(O5=8,ROUND(O8*VLOOKUP(O4,Assumptions!$B$29:$D$43,3)*Availability,3),0)</f>
        <v>0</v>
      </c>
      <c r="P10">
        <f>IF(P5=8,ROUND(P8*VLOOKUP(P4,Assumptions!$B$29:$D$43,3)*Availability,3),0)</f>
        <v>0</v>
      </c>
      <c r="Q10">
        <f>IF(Q5=8,ROUND(Q8*VLOOKUP(Q4,Assumptions!$B$29:$D$43,3)*Availability,3),0)</f>
        <v>0</v>
      </c>
      <c r="R10">
        <f>IF(R5=8,ROUND(R8*VLOOKUP(R4,Assumptions!$B$29:$D$43,3)*Availability,3),0)</f>
        <v>0</v>
      </c>
      <c r="S10">
        <f>IF(S5=8,ROUND(S8*VLOOKUP(S4,Assumptions!$B$29:$D$43,3)*Availability,3),0)</f>
        <v>0</v>
      </c>
      <c r="T10">
        <f>IF(T5=8,ROUND(T8*VLOOKUP(T4,Assumptions!$B$29:$D$43,3)*Availability,3),0)</f>
        <v>0</v>
      </c>
      <c r="U10">
        <f>IF(U5=8,ROUND(U8*VLOOKUP(U4,Assumptions!$B$29:$D$43,3)*Availability,3),0)</f>
        <v>0</v>
      </c>
      <c r="V10">
        <f>IF(V5=8,ROUND(V8*VLOOKUP(V4,Assumptions!$B$29:$D$43,3)*Availability,3),0)</f>
        <v>9</v>
      </c>
      <c r="W10">
        <f>IF(W5=8,ROUND(W8*VLOOKUP(W4,Assumptions!$B$29:$D$43,3)*Availability,3),0)</f>
        <v>0</v>
      </c>
      <c r="X10">
        <f>IF(X5=8,ROUND(X8*VLOOKUP(X4,Assumptions!$B$29:$D$43,3)*Availability,3),0)</f>
        <v>0</v>
      </c>
      <c r="Y10">
        <f>IF(Y5=8,ROUND(Y8*VLOOKUP(Y4,Assumptions!$B$29:$D$43,3)*Availability,3),0)</f>
        <v>0</v>
      </c>
      <c r="Z10">
        <f>IF(Z5=8,ROUND(Z8*VLOOKUP(Z4,Assumptions!$B$29:$D$43,3)*Availability,3),0)</f>
        <v>0</v>
      </c>
      <c r="AA10">
        <f>IF(AA5=8,ROUND(AA8*VLOOKUP(AA4,Assumptions!$B$29:$D$43,3)*Availability,3),0)</f>
        <v>0</v>
      </c>
      <c r="AB10">
        <f>IF(AB5=8,ROUND(AB8*VLOOKUP(AB4,Assumptions!$B$29:$D$43,3)*Availability,3),0)</f>
        <v>0</v>
      </c>
      <c r="AC10">
        <f>IF(AC5=8,ROUND(AC8*VLOOKUP(AC4,Assumptions!$B$29:$D$43,3)*Availability,3),0)</f>
        <v>0</v>
      </c>
      <c r="AD10">
        <f>IF(AD5=8,ROUND(AD8*VLOOKUP(AD4,Assumptions!$B$29:$D$43,3)*Availability,3),0)</f>
        <v>0</v>
      </c>
      <c r="AE10">
        <f>IF(AE5=8,ROUND(AE8*VLOOKUP(AE4,Assumptions!$B$29:$D$43,3)*Availability,3),0)</f>
        <v>0</v>
      </c>
      <c r="AF10">
        <f>IF(AF5=8,ROUND(AF8*VLOOKUP(AF4,Assumptions!$B$29:$D$43,3)*Availability,3),0)</f>
        <v>0</v>
      </c>
      <c r="AG10">
        <f>IF(AG5=8,ROUND(AG8*VLOOKUP(AG4,Assumptions!$B$29:$D$43,3)*Availability,3),0)</f>
        <v>0</v>
      </c>
      <c r="AH10">
        <f>IF(AH5=8,ROUND(AH8*VLOOKUP(AH4,Assumptions!$B$29:$D$43,3)*Availability,3),0)</f>
        <v>9</v>
      </c>
      <c r="AI10">
        <f>IF(AI5=8,ROUND(AI8*VLOOKUP(AI4,Assumptions!$B$29:$D$43,3)*Availability,3),0)</f>
        <v>0</v>
      </c>
      <c r="AJ10">
        <f>IF(AJ5=8,ROUND(AJ8*VLOOKUP(AJ4,Assumptions!$B$29:$D$43,3)*Availability,3),0)</f>
        <v>0</v>
      </c>
      <c r="AK10">
        <f>IF(AK5=8,ROUND(AK8*VLOOKUP(AK4,Assumptions!$B$29:$D$43,3)*Availability,3),0)</f>
        <v>0</v>
      </c>
      <c r="AL10">
        <f>IF(AL5=8,ROUND(AL8*VLOOKUP(AL4,Assumptions!$B$29:$D$43,3)*Availability,3),0)</f>
        <v>0</v>
      </c>
      <c r="AM10">
        <f>IF(AM5=8,ROUND(AM8*VLOOKUP(AM4,Assumptions!$B$29:$D$43,3)*Availability,3),0)</f>
        <v>0</v>
      </c>
      <c r="AN10">
        <f>IF(AN5=8,ROUND(AN8*VLOOKUP(AN4,Assumptions!$B$29:$D$43,3)*Availability,3),0)</f>
        <v>0</v>
      </c>
      <c r="AO10">
        <f>IF(AO5=8,ROUND(AO8*VLOOKUP(AO4,Assumptions!$B$29:$D$43,3)*Availability,3),0)</f>
        <v>0</v>
      </c>
      <c r="AP10">
        <f>IF(AP5=8,ROUND(AP8*VLOOKUP(AP4,Assumptions!$B$29:$D$43,3)*Availability,3),0)</f>
        <v>0</v>
      </c>
      <c r="AQ10">
        <f>IF(AQ5=8,ROUND(AQ8*VLOOKUP(AQ4,Assumptions!$B$29:$D$43,3)*Availability,3),0)</f>
        <v>0</v>
      </c>
      <c r="AR10">
        <f>IF(AR5=8,ROUND(AR8*VLOOKUP(AR4,Assumptions!$B$29:$D$43,3)*Availability,3),0)</f>
        <v>0</v>
      </c>
      <c r="AS10">
        <f>IF(AS5=8,ROUND(AS8*VLOOKUP(AS4,Assumptions!$B$29:$D$43,3)*Availability,3),0)</f>
        <v>0</v>
      </c>
      <c r="AT10">
        <f>IF(AT5=8,ROUND(AT8*VLOOKUP(AT4,Assumptions!$B$29:$D$43,3)*Availability,3),0)</f>
        <v>9</v>
      </c>
      <c r="AU10">
        <f>IF(AU5=8,ROUND(AU8*VLOOKUP(AU4,Assumptions!$B$29:$D$43,3)*Availability,3),0)</f>
        <v>0</v>
      </c>
      <c r="AV10">
        <f>IF(AV5=8,ROUND(AV8*VLOOKUP(AV4,Assumptions!$B$29:$D$43,3)*Availability,3),0)</f>
        <v>0</v>
      </c>
      <c r="AW10">
        <f>IF(AW5=8,ROUND(AW8*VLOOKUP(AW4,Assumptions!$B$29:$D$43,3)*Availability,3),0)</f>
        <v>0</v>
      </c>
      <c r="AX10">
        <f>IF(AX5=8,ROUND(AX8*VLOOKUP(AX4,Assumptions!$B$29:$D$43,3)*Availability,3),0)</f>
        <v>0</v>
      </c>
      <c r="AY10">
        <f>IF(AY5=8,ROUND(AY8*VLOOKUP(AY4,Assumptions!$B$29:$D$43,3)*Availability,3),0)</f>
        <v>0</v>
      </c>
      <c r="AZ10">
        <f>IF(AZ5=8,ROUND(AZ8*VLOOKUP(AZ4,Assumptions!$B$29:$D$43,3)*Availability,3),0)</f>
        <v>0</v>
      </c>
      <c r="BA10">
        <f>IF(BA5=8,ROUND(BA8*VLOOKUP(BA4,Assumptions!$B$29:$D$43,3)*Availability,3),0)</f>
        <v>0</v>
      </c>
      <c r="BB10">
        <f>IF(BB5=8,ROUND(BB8*VLOOKUP(BB4,Assumptions!$B$29:$D$43,3)*Availability,3),0)</f>
        <v>0</v>
      </c>
      <c r="BC10">
        <f>IF(BC5=8,ROUND(BC8*VLOOKUP(BC4,Assumptions!$B$29:$D$43,3)*Availability,3),0)</f>
        <v>0</v>
      </c>
      <c r="BD10">
        <f>IF(BD5=8,ROUND(BD8*VLOOKUP(BD4,Assumptions!$B$29:$D$43,3)*Availability,3),0)</f>
        <v>0</v>
      </c>
      <c r="BE10">
        <f>IF(BE5=8,ROUND(BE8*VLOOKUP(BE4,Assumptions!$B$29:$D$43,3)*Availability,3),0)</f>
        <v>0</v>
      </c>
      <c r="BF10">
        <f>IF(BF5=8,ROUND(BF8*VLOOKUP(BF4,Assumptions!$B$29:$D$43,3)*Availability,3),0)</f>
        <v>9</v>
      </c>
      <c r="BG10">
        <f>IF(BG5=8,ROUND(BG8*VLOOKUP(BG4,Assumptions!$B$29:$D$43,3)*Availability,3),0)</f>
        <v>0</v>
      </c>
      <c r="BH10">
        <f>IF(BH5=8,ROUND(BH8*VLOOKUP(BH4,Assumptions!$B$29:$D$43,3)*Availability,3),0)</f>
        <v>0</v>
      </c>
      <c r="BI10">
        <f>IF(BI5=8,ROUND(BI8*VLOOKUP(BI4,Assumptions!$B$29:$D$43,3)*Availability,3),0)</f>
        <v>0</v>
      </c>
      <c r="BJ10">
        <f>IF(BJ5=8,ROUND(BJ8*VLOOKUP(BJ4,Assumptions!$B$29:$D$43,3)*Availability,3),0)</f>
        <v>0</v>
      </c>
      <c r="BK10">
        <f>IF(BK5=8,ROUND(BK8*VLOOKUP(BK4,Assumptions!$B$29:$D$43,3)*Availability,3),0)</f>
        <v>0</v>
      </c>
      <c r="BL10">
        <f>IF(BL5=8,ROUND(BL8*VLOOKUP(BL4,Assumptions!$B$29:$D$43,3)*Availability,3),0)</f>
        <v>0</v>
      </c>
      <c r="BM10">
        <f>IF(BM5=8,ROUND(BM8*VLOOKUP(BM4,Assumptions!$B$29:$D$43,3)*Availability,3),0)</f>
        <v>0</v>
      </c>
      <c r="BN10">
        <f>IF(BN5=8,ROUND(BN8*VLOOKUP(BN4,Assumptions!$B$29:$D$43,3)*Availability,3),0)</f>
        <v>0</v>
      </c>
      <c r="BO10">
        <f>IF(BO5=8,ROUND(BO8*VLOOKUP(BO4,Assumptions!$B$29:$D$43,3)*Availability,3),0)</f>
        <v>0</v>
      </c>
      <c r="BP10">
        <f>IF(BP5=8,ROUND(BP8*VLOOKUP(BP4,Assumptions!$B$29:$D$43,3)*Availability,3),0)</f>
        <v>0</v>
      </c>
      <c r="BQ10">
        <f>IF(BQ5=8,ROUND(BQ8*VLOOKUP(BQ4,Assumptions!$B$29:$D$43,3)*Availability,3),0)</f>
        <v>0</v>
      </c>
      <c r="BR10">
        <f>IF(BR5=8,ROUND(BR8*VLOOKUP(BR4,Assumptions!$B$29:$D$43,3)*Availability,3),0)</f>
        <v>9</v>
      </c>
      <c r="BS10">
        <f>IF(BS5=8,ROUND(BS8*VLOOKUP(BS4,Assumptions!$B$29:$D$43,3)*Availability,3),0)</f>
        <v>0</v>
      </c>
      <c r="BT10">
        <f>IF(BT5=8,ROUND(BT8*VLOOKUP(BT4,Assumptions!$B$29:$D$43,3)*Availability,3),0)</f>
        <v>0</v>
      </c>
      <c r="BU10">
        <f>IF(BU5=8,ROUND(BU8*VLOOKUP(BU4,Assumptions!$B$29:$D$43,3)*Availability,3),0)</f>
        <v>0</v>
      </c>
      <c r="BV10">
        <f>IF(BV5=8,ROUND(BV8*VLOOKUP(BV4,Assumptions!$B$29:$D$43,3)*Availability,3),0)</f>
        <v>0</v>
      </c>
      <c r="BW10">
        <f>IF(BW5=8,ROUND(BW8*VLOOKUP(BW4,Assumptions!$B$29:$D$43,3)*Availability,3),0)</f>
        <v>0</v>
      </c>
      <c r="BX10">
        <f>IF(BX5=8,ROUND(BX8*VLOOKUP(BX4,Assumptions!$B$29:$D$43,3)*Availability,3),0)</f>
        <v>0</v>
      </c>
      <c r="BY10">
        <f>IF(BY5=8,ROUND(BY8*VLOOKUP(BY4,Assumptions!$B$29:$D$43,3)*Availability,3),0)</f>
        <v>0</v>
      </c>
      <c r="BZ10">
        <f>IF(BZ5=8,ROUND(BZ8*VLOOKUP(BZ4,Assumptions!$B$29:$D$43,3)*Availability,3),0)</f>
        <v>0</v>
      </c>
      <c r="CA10">
        <f>IF(CA5=8,ROUND(CA8*VLOOKUP(CA4,Assumptions!$B$29:$D$43,3)*Availability,3),0)</f>
        <v>0</v>
      </c>
      <c r="CB10">
        <f>IF(CB5=8,ROUND(CB8*VLOOKUP(CB4,Assumptions!$B$29:$D$43,3)*Availability,3),0)</f>
        <v>0</v>
      </c>
      <c r="CC10">
        <f>IF(CC5=8,ROUND(CC8*VLOOKUP(CC4,Assumptions!$B$29:$D$43,3)*Availability,3),0)</f>
        <v>0</v>
      </c>
      <c r="CD10">
        <f>IF(CD5=8,ROUND(CD8*VLOOKUP(CD4,Assumptions!$B$29:$D$43,3)*Availability,3),0)</f>
        <v>9</v>
      </c>
      <c r="CE10">
        <f>IF(CE5=8,ROUND(CE8*VLOOKUP(CE4,Assumptions!$B$29:$D$43,3)*Availability,3),0)</f>
        <v>0</v>
      </c>
      <c r="CF10">
        <f>IF(CF5=8,ROUND(CF8*VLOOKUP(CF4,Assumptions!$B$29:$D$43,3)*Availability,3),0)</f>
        <v>0</v>
      </c>
      <c r="CG10">
        <f>IF(CG5=8,ROUND(CG8*VLOOKUP(CG4,Assumptions!$B$29:$D$43,3)*Availability,3),0)</f>
        <v>0</v>
      </c>
      <c r="CH10">
        <f>IF(CH5=8,ROUND(CH8*VLOOKUP(CH4,Assumptions!$B$29:$D$43,3)*Availability,3),0)</f>
        <v>0</v>
      </c>
      <c r="CI10">
        <f>IF(CI5=8,ROUND(CI8*VLOOKUP(CI4,Assumptions!$B$29:$D$43,3)*Availability,3),0)</f>
        <v>0</v>
      </c>
      <c r="CJ10">
        <f>IF(CJ5=8,ROUND(CJ8*VLOOKUP(CJ4,Assumptions!$B$29:$D$43,3)*Availability,3),0)</f>
        <v>0</v>
      </c>
      <c r="CK10">
        <f>IF(CK5=8,ROUND(CK8*VLOOKUP(CK4,Assumptions!$B$29:$D$43,3)*Availability,3),0)</f>
        <v>0</v>
      </c>
      <c r="CL10">
        <f>IF(CL5=8,ROUND(CL8*VLOOKUP(CL4,Assumptions!$B$29:$D$43,3)*Availability,3),0)</f>
        <v>0</v>
      </c>
      <c r="CM10">
        <f>IF(CM5=8,ROUND(CM8*VLOOKUP(CM4,Assumptions!$B$29:$D$43,3)*Availability,3),0)</f>
        <v>0</v>
      </c>
      <c r="CN10">
        <f>IF(CN5=8,ROUND(CN8*VLOOKUP(CN4,Assumptions!$B$29:$D$43,3)*Availability,3),0)</f>
        <v>0</v>
      </c>
      <c r="CO10">
        <f>IF(CO5=8,ROUND(CO8*VLOOKUP(CO4,Assumptions!$B$29:$D$43,3)*Availability,3),0)</f>
        <v>0</v>
      </c>
      <c r="CP10">
        <f>IF(CP5=8,ROUND(CP8*VLOOKUP(CP4,Assumptions!$B$29:$D$43,3)*Availability,3),0)</f>
        <v>9</v>
      </c>
      <c r="CQ10">
        <f>IF(CQ5=8,ROUND(CQ8*VLOOKUP(CQ4,Assumptions!$B$29:$D$43,3)*Availability,3),0)</f>
        <v>0</v>
      </c>
      <c r="CR10">
        <f>IF(CR5=8,ROUND(CR8*VLOOKUP(CR4,Assumptions!$B$29:$D$43,3)*Availability,3),0)</f>
        <v>0</v>
      </c>
      <c r="CS10">
        <f>IF(CS5=8,ROUND(CS8*VLOOKUP(CS4,Assumptions!$B$29:$D$43,3)*Availability,3),0)</f>
        <v>0</v>
      </c>
      <c r="CT10">
        <f>IF(CT5=8,ROUND(CT8*VLOOKUP(CT4,Assumptions!$B$29:$D$43,3)*Availability,3),0)</f>
        <v>0</v>
      </c>
      <c r="CU10">
        <f>IF(CU5=8,ROUND(CU8*VLOOKUP(CU4,Assumptions!$B$29:$D$43,3)*Availability,3),0)</f>
        <v>0</v>
      </c>
      <c r="CV10">
        <f>IF(CV5=8,ROUND(CV8*VLOOKUP(CV4,Assumptions!$B$29:$D$43,3)*Availability,3),0)</f>
        <v>0</v>
      </c>
      <c r="CW10">
        <f>IF(CW5=8,ROUND(CW8*VLOOKUP(CW4,Assumptions!$B$29:$D$43,3)*Availability,3),0)</f>
        <v>0</v>
      </c>
      <c r="CX10">
        <f>IF(CX5=8,ROUND(CX8*VLOOKUP(CX4,Assumptions!$B$29:$D$43,3)*Availability,3),0)</f>
        <v>0</v>
      </c>
      <c r="CY10">
        <f>IF(CY5=8,ROUND(CY8*VLOOKUP(CY4,Assumptions!$B$29:$D$43,3)*Availability,3),0)</f>
        <v>0</v>
      </c>
      <c r="CZ10">
        <f>IF(CZ5=8,ROUND(CZ8*VLOOKUP(CZ4,Assumptions!$B$29:$D$43,3)*Availability,3),0)</f>
        <v>0</v>
      </c>
      <c r="DA10">
        <f>IF(DA5=8,ROUND(DA8*VLOOKUP(DA4,Assumptions!$B$29:$D$43,3)*Availability,3),0)</f>
        <v>0</v>
      </c>
      <c r="DB10">
        <f>IF(DB5=8,ROUND(DB8*VLOOKUP(DB4,Assumptions!$B$29:$D$43,3)*Availability,3),0)</f>
        <v>9</v>
      </c>
      <c r="DC10">
        <f>IF(DC5=8,ROUND(DC8*VLOOKUP(DC4,Assumptions!$B$29:$D$43,3)*Availability,3),0)</f>
        <v>0</v>
      </c>
      <c r="DD10">
        <f>IF(DD5=8,ROUND(DD8*VLOOKUP(DD4,Assumptions!$B$29:$D$43,3)*Availability,3),0)</f>
        <v>0</v>
      </c>
      <c r="DE10">
        <f>IF(DE5=8,ROUND(DE8*VLOOKUP(DE4,Assumptions!$B$29:$D$43,3)*Availability,3),0)</f>
        <v>0</v>
      </c>
      <c r="DF10">
        <f>IF(DF5=8,ROUND(DF8*VLOOKUP(DF4,Assumptions!$B$29:$D$43,3)*Availability,3),0)</f>
        <v>0</v>
      </c>
      <c r="DG10">
        <f>IF(DG5=8,ROUND(DG8*VLOOKUP(DG4,Assumptions!$B$29:$D$43,3)*Availability,3),0)</f>
        <v>0</v>
      </c>
      <c r="DH10">
        <f>IF(DH5=8,ROUND(DH8*VLOOKUP(DH4,Assumptions!$B$29:$D$43,3)*Availability,3),0)</f>
        <v>0</v>
      </c>
      <c r="DI10">
        <f>IF(DI5=8,ROUND(DI8*VLOOKUP(DI4,Assumptions!$B$29:$D$43,3)*Availability,3),0)</f>
        <v>0</v>
      </c>
      <c r="DJ10">
        <f>IF(DJ5=8,ROUND(DJ8*VLOOKUP(DJ4,Assumptions!$B$29:$D$43,3)*Availability,3),0)</f>
        <v>0</v>
      </c>
      <c r="DK10">
        <f>IF(DK5=8,ROUND(DK8*VLOOKUP(DK4,Assumptions!$B$29:$D$43,3)*Availability,3),0)</f>
        <v>0</v>
      </c>
      <c r="DL10">
        <f>IF(DL5=8,ROUND(DL8*VLOOKUP(DL4,Assumptions!$B$29:$D$43,3)*Availability,3),0)</f>
        <v>0</v>
      </c>
      <c r="DM10">
        <f>IF(DM5=8,ROUND(DM8*VLOOKUP(DM4,Assumptions!$B$29:$D$43,3)*Availability,3),0)</f>
        <v>0</v>
      </c>
      <c r="DN10">
        <f>IF(DN5=8,ROUND(DN8*VLOOKUP(DN4,Assumptions!$B$29:$D$43,3)*Availability,3),0)</f>
        <v>9</v>
      </c>
      <c r="DO10">
        <f>IF(DO5=8,ROUND(DO8*VLOOKUP(DO4,Assumptions!$B$29:$D$43,3)*Availability,3),0)</f>
        <v>0</v>
      </c>
      <c r="DP10">
        <f>IF(DP5=8,ROUND(DP8*VLOOKUP(DP4,Assumptions!$B$29:$D$43,3)*Availability,3),0)</f>
        <v>0</v>
      </c>
      <c r="DQ10">
        <f>IF(DQ5=8,ROUND(DQ8*VLOOKUP(DQ4,Assumptions!$B$29:$D$43,3)*Availability,3),0)</f>
        <v>0</v>
      </c>
      <c r="DR10">
        <f>IF(DR5=8,ROUND(DR8*VLOOKUP(DR4,Assumptions!$B$29:$D$43,3)*Availability,3),0)</f>
        <v>0</v>
      </c>
      <c r="DS10">
        <f>IF(DS5=8,ROUND(DS8*VLOOKUP(DS4,Assumptions!$B$29:$D$43,3)*Availability,3),0)</f>
        <v>0</v>
      </c>
      <c r="DT10">
        <f>IF(DT5=8,ROUND(DT8*VLOOKUP(DT4,Assumptions!$B$29:$D$43,3)*Availability,3),0)</f>
        <v>0</v>
      </c>
      <c r="DU10">
        <f>IF(DU5=8,ROUND(DU8*VLOOKUP(DU4,Assumptions!$B$29:$D$43,3)*Availability,3),0)</f>
        <v>0</v>
      </c>
      <c r="DV10">
        <f>IF(DV5=8,ROUND(DV8*VLOOKUP(DV4,Assumptions!$B$29:$D$43,3)*Availability,3),0)</f>
        <v>0</v>
      </c>
      <c r="DW10">
        <f>IF(DW5=8,ROUND(DW8*VLOOKUP(DW4,Assumptions!$B$29:$D$43,3)*Availability,3),0)</f>
        <v>0</v>
      </c>
      <c r="DX10">
        <f>IF(DX5=8,ROUND(DX8*VLOOKUP(DX4,Assumptions!$B$29:$D$43,3)*Availability,3),0)</f>
        <v>0</v>
      </c>
      <c r="DY10">
        <f>IF(DY5=8,ROUND(DY8*VLOOKUP(DY4,Assumptions!$B$29:$D$43,3)*Availability,3),0)</f>
        <v>0</v>
      </c>
      <c r="DZ10">
        <f>IF(DZ5=8,ROUND(DZ8*VLOOKUP(DZ4,Assumptions!$B$29:$D$43,3)*Availability,3),0)</f>
        <v>8.5500000000000007</v>
      </c>
      <c r="EA10">
        <f>IF(EA5=8,ROUND(EA8*VLOOKUP(EA4,Assumptions!$B$29:$D$43,3)*Availability,3),0)</f>
        <v>0</v>
      </c>
      <c r="EB10">
        <f>IF(EB5=8,ROUND(EB8*VLOOKUP(EB4,Assumptions!$B$29:$D$43,3)*Availability,3),0)</f>
        <v>0</v>
      </c>
      <c r="EC10">
        <f>IF(EC5=8,ROUND(EC8*VLOOKUP(EC4,Assumptions!$B$29:$D$43,3)*Availability,3),0)</f>
        <v>0</v>
      </c>
      <c r="ED10">
        <f>IF(ED5=8,ROUND(ED8*VLOOKUP(ED4,Assumptions!$B$29:$D$43,3)*Availability,3),0)</f>
        <v>0</v>
      </c>
      <c r="EE10">
        <f>IF(EE5=8,ROUND(EE8*VLOOKUP(EE4,Assumptions!$B$29:$D$43,3)*Availability,3),0)</f>
        <v>0</v>
      </c>
      <c r="EF10">
        <f>IF(EF5=8,ROUND(EF8*VLOOKUP(EF4,Assumptions!$B$29:$D$43,3)*Availability,3),0)</f>
        <v>0</v>
      </c>
      <c r="EG10">
        <f>IF(EG5=8,ROUND(EG8*VLOOKUP(EG4,Assumptions!$B$29:$D$43,3)*Availability,3),0)</f>
        <v>0</v>
      </c>
      <c r="EH10">
        <f>IF(EH5=8,ROUND(EH8*VLOOKUP(EH4,Assumptions!$B$29:$D$43,3)*Availability,3),0)</f>
        <v>0</v>
      </c>
      <c r="EI10">
        <f>IF(EI5=8,ROUND(EI8*VLOOKUP(EI4,Assumptions!$B$29:$D$43,3)*Availability,3),0)</f>
        <v>0</v>
      </c>
      <c r="EJ10">
        <f>IF(EJ5=8,ROUND(EJ8*VLOOKUP(EJ4,Assumptions!$B$29:$D$43,3)*Availability,3),0)</f>
        <v>0</v>
      </c>
      <c r="EK10">
        <f>IF(EK5=8,ROUND(EK8*VLOOKUP(EK4,Assumptions!$B$29:$D$43,3)*Availability,3),0)</f>
        <v>0</v>
      </c>
      <c r="EL10">
        <f>IF(EL5=8,ROUND(EL8*VLOOKUP(EL4,Assumptions!$B$29:$D$43,3)*Availability,3),0)</f>
        <v>7.4249999999999998</v>
      </c>
      <c r="EM10">
        <f>IF(EM5=8,ROUND(EM8*VLOOKUP(EM4,Assumptions!$B$29:$D$43,3)*Availability,3),0)</f>
        <v>0</v>
      </c>
      <c r="EN10">
        <f>IF(EN5=8,ROUND(EN8*VLOOKUP(EN4,Assumptions!$B$29:$D$43,3)*Availability,3),0)</f>
        <v>0</v>
      </c>
      <c r="EO10">
        <f>IF(EO5=8,ROUND(EO8*VLOOKUP(EO4,Assumptions!$B$29:$D$43,3)*Availability,3),0)</f>
        <v>0</v>
      </c>
      <c r="EP10">
        <f>IF(EP5=8,ROUND(EP8*VLOOKUP(EP4,Assumptions!$B$29:$D$43,3)*Availability,3),0)</f>
        <v>0</v>
      </c>
      <c r="EQ10">
        <f>IF(EQ5=8,ROUND(EQ8*VLOOKUP(EQ4,Assumptions!$B$29:$D$43,3)*Availability,3),0)</f>
        <v>0</v>
      </c>
      <c r="ER10">
        <f>IF(ER5=8,ROUND(ER8*VLOOKUP(ER4,Assumptions!$B$29:$D$43,3)*Availability,3),0)</f>
        <v>0</v>
      </c>
      <c r="ES10">
        <f>IF(ES5=8,ROUND(ES8*VLOOKUP(ES4,Assumptions!$B$29:$D$43,3)*Availability,3),0)</f>
        <v>0</v>
      </c>
      <c r="ET10">
        <f>IF(ET5=8,ROUND(ET8*VLOOKUP(ET4,Assumptions!$B$29:$D$43,3)*Availability,3),0)</f>
        <v>0</v>
      </c>
      <c r="EU10">
        <f>IF(EU5=8,ROUND(EU8*VLOOKUP(EU4,Assumptions!$B$29:$D$43,3)*Availability,3),0)</f>
        <v>0</v>
      </c>
      <c r="EV10">
        <f>IF(EV5=8,ROUND(EV8*VLOOKUP(EV4,Assumptions!$B$29:$D$43,3)*Availability,3),0)</f>
        <v>0</v>
      </c>
      <c r="EW10">
        <f>IF(EW5=8,ROUND(EW8*VLOOKUP(EW4,Assumptions!$B$29:$D$43,3)*Availability,3),0)</f>
        <v>0</v>
      </c>
      <c r="EX10">
        <f>IF(EX5=8,ROUND(EX8*VLOOKUP(EX4,Assumptions!$B$29:$D$43,3)*Availability,3),0)</f>
        <v>5.85</v>
      </c>
      <c r="EY10">
        <f>IF(EY5=8,ROUND(EY8*VLOOKUP(EY4,Assumptions!$B$29:$D$43,3)*Availability,3),0)</f>
        <v>0</v>
      </c>
      <c r="EZ10">
        <f>IF(EZ5=8,ROUND(EZ8*VLOOKUP(EZ4,Assumptions!$B$29:$D$43,3)*Availability,3),0)</f>
        <v>0</v>
      </c>
      <c r="FA10">
        <f>IF(FA5=8,ROUND(FA8*VLOOKUP(FA4,Assumptions!$B$29:$D$43,3)*Availability,3),0)</f>
        <v>0</v>
      </c>
      <c r="FB10">
        <f>IF(FB5=8,ROUND(FB8*VLOOKUP(FB4,Assumptions!$B$29:$D$43,3)*Availability,3),0)</f>
        <v>0</v>
      </c>
      <c r="FC10">
        <f>IF(FC5=8,ROUND(FC8*VLOOKUP(FC4,Assumptions!$B$29:$D$43,3)*Availability,3),0)</f>
        <v>0</v>
      </c>
      <c r="FD10">
        <f>IF(FD5=8,ROUND(FD8*VLOOKUP(FD4,Assumptions!$B$29:$D$43,3)*Availability,3),0)</f>
        <v>0</v>
      </c>
      <c r="FE10">
        <f>IF(FE5=8,ROUND(FE8*VLOOKUP(FE4,Assumptions!$B$29:$D$43,3)*Availability,3),0)</f>
        <v>0</v>
      </c>
      <c r="FF10">
        <f>IF(FF5=8,ROUND(FF8*VLOOKUP(FF4,Assumptions!$B$29:$D$43,3)*Availability,3),0)</f>
        <v>0</v>
      </c>
      <c r="FG10">
        <f>IF(FG5=8,ROUND(FG8*VLOOKUP(FG4,Assumptions!$B$29:$D$43,3)*Availability,3),0)</f>
        <v>0</v>
      </c>
      <c r="FH10">
        <f>IF(FH5=8,ROUND(FH8*VLOOKUP(FH4,Assumptions!$B$29:$D$43,3)*Availability,3),0)</f>
        <v>0</v>
      </c>
      <c r="FI10">
        <f>IF(FI5=8,ROUND(FI8*VLOOKUP(FI4,Assumptions!$B$29:$D$43,3)*Availability,3),0)</f>
        <v>0</v>
      </c>
      <c r="FJ10">
        <f>IF(FJ5=8,ROUND(FJ8*VLOOKUP(FJ4,Assumptions!$B$29:$D$43,3)*Availability,3),0)</f>
        <v>3.8250000000000002</v>
      </c>
      <c r="FK10">
        <f>IF(FK5=8,ROUND(FK8*VLOOKUP(FK4,Assumptions!$B$29:$D$43,3)*Availability,3),0)</f>
        <v>0</v>
      </c>
      <c r="FL10">
        <f>IF(FL5=8,ROUND(FL8*VLOOKUP(FL4,Assumptions!$B$29:$D$43,3)*Availability,3),0)</f>
        <v>0</v>
      </c>
      <c r="FM10">
        <f>IF(FM5=8,ROUND(FM8*VLOOKUP(FM4,Assumptions!$B$29:$D$43,3)*Availability,3),0)</f>
        <v>0</v>
      </c>
      <c r="FN10">
        <f>IF(FN5=8,ROUND(FN8*VLOOKUP(FN4,Assumptions!$B$29:$D$43,3)*Availability,3),0)</f>
        <v>0</v>
      </c>
      <c r="FO10">
        <f>IF(FO5=8,ROUND(FO8*VLOOKUP(FO4,Assumptions!$B$29:$D$43,3)*Availability,3),0)</f>
        <v>0</v>
      </c>
      <c r="FP10">
        <f>IF(FP5=8,ROUND(FP8*VLOOKUP(FP4,Assumptions!$B$29:$D$43,3)*Availability,3),0)</f>
        <v>0</v>
      </c>
      <c r="FQ10">
        <f>IF(FQ5=8,ROUND(FQ8*VLOOKUP(FQ4,Assumptions!$B$29:$D$43,3)*Availability,3),0)</f>
        <v>0</v>
      </c>
      <c r="FR10">
        <f>IF(FR5=8,ROUND(FR8*VLOOKUP(FR4,Assumptions!$B$29:$D$43,3)*Availability,3),0)</f>
        <v>0</v>
      </c>
      <c r="FS10">
        <f>IF(FS5=8,ROUND(FS8*VLOOKUP(FS4,Assumptions!$B$29:$D$43,3)*Availability,3),0)</f>
        <v>0</v>
      </c>
      <c r="FT10">
        <f>IF(FT5=8,ROUND(FT8*VLOOKUP(FT4,Assumptions!$B$29:$D$43,3)*Availability,3),0)</f>
        <v>0</v>
      </c>
      <c r="FU10">
        <f>IF(FU5=8,ROUND(FU8*VLOOKUP(FU4,Assumptions!$B$29:$D$43,3)*Availability,3),0)</f>
        <v>0</v>
      </c>
      <c r="FV10">
        <f>IF(FV5=8,ROUND(FV8*VLOOKUP(FV4,Assumptions!$B$29:$D$43,3)*Availability,3),0)</f>
        <v>1.35</v>
      </c>
      <c r="FW10">
        <f>IF(FW5=8,ROUND(FW8*VLOOKUP(FW4,Assumptions!$B$29:$D$43,3)*Availability,3),0)</f>
        <v>0</v>
      </c>
      <c r="FX10">
        <f>IF(FX5=8,ROUND(FX8*VLOOKUP(FX4,Assumptions!$B$29:$D$43,3)*Availability,3),0)</f>
        <v>0</v>
      </c>
      <c r="FY10">
        <f>IF(FY5=8,ROUND(FY8*VLOOKUP(FY4,Assumptions!$B$29:$D$43,3)*Availability,3),0)</f>
        <v>0</v>
      </c>
      <c r="FZ10">
        <f>IF(FZ5=8,ROUND(FZ8*VLOOKUP(FZ4,Assumptions!$B$29:$D$43,3)*Availability,3),0)</f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1.35</v>
      </c>
      <c r="GI10">
        <v>0</v>
      </c>
      <c r="GJ10">
        <v>0</v>
      </c>
      <c r="GK10">
        <v>0</v>
      </c>
      <c r="GL10">
        <v>0</v>
      </c>
      <c r="GN10" s="4" t="s">
        <v>0</v>
      </c>
      <c r="GO10" s="4" t="s">
        <v>2</v>
      </c>
      <c r="GP10" s="4" t="s">
        <v>3</v>
      </c>
      <c r="GQ10" s="4" t="s">
        <v>4</v>
      </c>
      <c r="GR10" s="4" t="s">
        <v>22</v>
      </c>
    </row>
    <row r="11" spans="1:200">
      <c r="A11" t="s">
        <v>75</v>
      </c>
      <c r="B11" s="22"/>
      <c r="C11">
        <f>ROUND(C8*VLOOKUP(C4,Assumptions!$B$29:$D$43,2)*Availability,3)</f>
        <v>8.91</v>
      </c>
      <c r="D11">
        <f>ROUND(D8*VLOOKUP(D4,Assumptions!$B$29:$D$43,2)*Availability,3)</f>
        <v>8.91</v>
      </c>
      <c r="E11">
        <f>ROUND(E8*VLOOKUP(E4,Assumptions!$B$29:$D$43,2)*Availability,3)</f>
        <v>8.91</v>
      </c>
      <c r="F11">
        <f>ROUND(F8*VLOOKUP(F4,Assumptions!$B$29:$D$43,2)*Availability,3)</f>
        <v>8.91</v>
      </c>
      <c r="G11">
        <f>ROUND(G8*VLOOKUP(G4,Assumptions!$B$29:$D$43,2)*Availability,3)</f>
        <v>8.91</v>
      </c>
      <c r="H11">
        <f>ROUND(H8*VLOOKUP(H4,Assumptions!$B$29:$D$43,2)*Availability,3)</f>
        <v>8.91</v>
      </c>
      <c r="I11">
        <f>ROUND(I8*VLOOKUP(I4,Assumptions!$B$29:$D$43,2)*Availability,3)</f>
        <v>8.91</v>
      </c>
      <c r="J11">
        <f>ROUND(J8*VLOOKUP(J4,Assumptions!$B$29:$D$43,2)*Availability,3)</f>
        <v>8.91</v>
      </c>
      <c r="K11">
        <f>ROUND(K8*VLOOKUP(K4,Assumptions!$B$29:$D$43,2)*Availability,3)</f>
        <v>8.91</v>
      </c>
      <c r="L11">
        <f>ROUND(L8*VLOOKUP(L4,Assumptions!$B$29:$D$43,2)*Availability,3)</f>
        <v>8.91</v>
      </c>
      <c r="M11">
        <f>ROUND(M8*VLOOKUP(M4,Assumptions!$B$29:$D$43,2)*Availability,3)</f>
        <v>8.91</v>
      </c>
      <c r="N11">
        <f>ROUND(N8*VLOOKUP(N4,Assumptions!$B$29:$D$43,2)*Availability,3)</f>
        <v>8.91</v>
      </c>
      <c r="O11">
        <f>ROUND(O8*VLOOKUP(O4,Assumptions!$B$29:$D$43,2)*Availability,3)</f>
        <v>8.91</v>
      </c>
      <c r="P11">
        <f>ROUND(P8*VLOOKUP(P4,Assumptions!$B$29:$D$43,2)*Availability,3)</f>
        <v>8.91</v>
      </c>
      <c r="Q11">
        <f>ROUND(Q8*VLOOKUP(Q4,Assumptions!$B$29:$D$43,2)*Availability,3)</f>
        <v>8.91</v>
      </c>
      <c r="R11">
        <f>ROUND(R8*VLOOKUP(R4,Assumptions!$B$29:$D$43,2)*Availability,3)</f>
        <v>8.91</v>
      </c>
      <c r="S11">
        <f>ROUND(S8*VLOOKUP(S4,Assumptions!$B$29:$D$43,2)*Availability,3)</f>
        <v>8.91</v>
      </c>
      <c r="T11">
        <f>ROUND(T8*VLOOKUP(T4,Assumptions!$B$29:$D$43,2)*Availability,3)</f>
        <v>8.91</v>
      </c>
      <c r="U11">
        <f>ROUND(U8*VLOOKUP(U4,Assumptions!$B$29:$D$43,2)*Availability,3)</f>
        <v>8.91</v>
      </c>
      <c r="V11">
        <f>ROUND(V8*VLOOKUP(V4,Assumptions!$B$29:$D$43,2)*Availability,3)</f>
        <v>8.91</v>
      </c>
      <c r="W11">
        <f>ROUND(W8*VLOOKUP(W4,Assumptions!$B$29:$D$43,2)*Availability,3)</f>
        <v>8.91</v>
      </c>
      <c r="X11">
        <f>ROUND(X8*VLOOKUP(X4,Assumptions!$B$29:$D$43,2)*Availability,3)</f>
        <v>8.91</v>
      </c>
      <c r="Y11">
        <f>ROUND(Y8*VLOOKUP(Y4,Assumptions!$B$29:$D$43,2)*Availability,3)</f>
        <v>8.91</v>
      </c>
      <c r="Z11">
        <f>ROUND(Z8*VLOOKUP(Z4,Assumptions!$B$29:$D$43,2)*Availability,3)</f>
        <v>8.91</v>
      </c>
      <c r="AA11">
        <f>ROUND(AA8*VLOOKUP(AA4,Assumptions!$B$29:$D$43,2)*Availability,3)</f>
        <v>8.82</v>
      </c>
      <c r="AB11">
        <f>ROUND(AB8*VLOOKUP(AB4,Assumptions!$B$29:$D$43,2)*Availability,3)</f>
        <v>8.82</v>
      </c>
      <c r="AC11">
        <f>ROUND(AC8*VLOOKUP(AC4,Assumptions!$B$29:$D$43,2)*Availability,3)</f>
        <v>8.82</v>
      </c>
      <c r="AD11">
        <f>ROUND(AD8*VLOOKUP(AD4,Assumptions!$B$29:$D$43,2)*Availability,3)</f>
        <v>8.82</v>
      </c>
      <c r="AE11">
        <f>ROUND(AE8*VLOOKUP(AE4,Assumptions!$B$29:$D$43,2)*Availability,3)</f>
        <v>8.82</v>
      </c>
      <c r="AF11">
        <f>ROUND(AF8*VLOOKUP(AF4,Assumptions!$B$29:$D$43,2)*Availability,3)</f>
        <v>8.82</v>
      </c>
      <c r="AG11">
        <f>ROUND(AG8*VLOOKUP(AG4,Assumptions!$B$29:$D$43,2)*Availability,3)</f>
        <v>8.82</v>
      </c>
      <c r="AH11">
        <f>ROUND(AH8*VLOOKUP(AH4,Assumptions!$B$29:$D$43,2)*Availability,3)</f>
        <v>8.82</v>
      </c>
      <c r="AI11">
        <f>ROUND(AI8*VLOOKUP(AI4,Assumptions!$B$29:$D$43,2)*Availability,3)</f>
        <v>8.82</v>
      </c>
      <c r="AJ11">
        <f>ROUND(AJ8*VLOOKUP(AJ4,Assumptions!$B$29:$D$43,2)*Availability,3)</f>
        <v>8.82</v>
      </c>
      <c r="AK11">
        <f>ROUND(AK8*VLOOKUP(AK4,Assumptions!$B$29:$D$43,2)*Availability,3)</f>
        <v>8.82</v>
      </c>
      <c r="AL11">
        <f>ROUND(AL8*VLOOKUP(AL4,Assumptions!$B$29:$D$43,2)*Availability,3)</f>
        <v>8.82</v>
      </c>
      <c r="AM11">
        <f>ROUND(AM8*VLOOKUP(AM4,Assumptions!$B$29:$D$43,2)*Availability,3)</f>
        <v>8.82</v>
      </c>
      <c r="AN11">
        <f>ROUND(AN8*VLOOKUP(AN4,Assumptions!$B$29:$D$43,2)*Availability,3)</f>
        <v>8.82</v>
      </c>
      <c r="AO11">
        <f>ROUND(AO8*VLOOKUP(AO4,Assumptions!$B$29:$D$43,2)*Availability,3)</f>
        <v>8.82</v>
      </c>
      <c r="AP11">
        <f>ROUND(AP8*VLOOKUP(AP4,Assumptions!$B$29:$D$43,2)*Availability,3)</f>
        <v>8.82</v>
      </c>
      <c r="AQ11">
        <f>ROUND(AQ8*VLOOKUP(AQ4,Assumptions!$B$29:$D$43,2)*Availability,3)</f>
        <v>8.82</v>
      </c>
      <c r="AR11">
        <f>ROUND(AR8*VLOOKUP(AR4,Assumptions!$B$29:$D$43,2)*Availability,3)</f>
        <v>8.82</v>
      </c>
      <c r="AS11">
        <f>ROUND(AS8*VLOOKUP(AS4,Assumptions!$B$29:$D$43,2)*Availability,3)</f>
        <v>8.82</v>
      </c>
      <c r="AT11">
        <f>ROUND(AT8*VLOOKUP(AT4,Assumptions!$B$29:$D$43,2)*Availability,3)</f>
        <v>8.82</v>
      </c>
      <c r="AU11">
        <f>ROUND(AU8*VLOOKUP(AU4,Assumptions!$B$29:$D$43,2)*Availability,3)</f>
        <v>8.82</v>
      </c>
      <c r="AV11">
        <f>ROUND(AV8*VLOOKUP(AV4,Assumptions!$B$29:$D$43,2)*Availability,3)</f>
        <v>8.82</v>
      </c>
      <c r="AW11">
        <f>ROUND(AW8*VLOOKUP(AW4,Assumptions!$B$29:$D$43,2)*Availability,3)</f>
        <v>8.82</v>
      </c>
      <c r="AX11">
        <f>ROUND(AX8*VLOOKUP(AX4,Assumptions!$B$29:$D$43,2)*Availability,3)</f>
        <v>8.82</v>
      </c>
      <c r="AY11">
        <f>ROUND(AY8*VLOOKUP(AY4,Assumptions!$B$29:$D$43,2)*Availability,3)</f>
        <v>8.82</v>
      </c>
      <c r="AZ11">
        <f>ROUND(AZ8*VLOOKUP(AZ4,Assumptions!$B$29:$D$43,2)*Availability,3)</f>
        <v>8.82</v>
      </c>
      <c r="BA11">
        <f>ROUND(BA8*VLOOKUP(BA4,Assumptions!$B$29:$D$43,2)*Availability,3)</f>
        <v>8.82</v>
      </c>
      <c r="BB11">
        <f>ROUND(BB8*VLOOKUP(BB4,Assumptions!$B$29:$D$43,2)*Availability,3)</f>
        <v>8.82</v>
      </c>
      <c r="BC11">
        <f>ROUND(BC8*VLOOKUP(BC4,Assumptions!$B$29:$D$43,2)*Availability,3)</f>
        <v>8.82</v>
      </c>
      <c r="BD11">
        <f>ROUND(BD8*VLOOKUP(BD4,Assumptions!$B$29:$D$43,2)*Availability,3)</f>
        <v>8.82</v>
      </c>
      <c r="BE11">
        <f>ROUND(BE8*VLOOKUP(BE4,Assumptions!$B$29:$D$43,2)*Availability,3)</f>
        <v>8.82</v>
      </c>
      <c r="BF11">
        <f>ROUND(BF8*VLOOKUP(BF4,Assumptions!$B$29:$D$43,2)*Availability,3)</f>
        <v>8.82</v>
      </c>
      <c r="BG11">
        <f>ROUND(BG8*VLOOKUP(BG4,Assumptions!$B$29:$D$43,2)*Availability,3)</f>
        <v>8.82</v>
      </c>
      <c r="BH11">
        <f>ROUND(BH8*VLOOKUP(BH4,Assumptions!$B$29:$D$43,2)*Availability,3)</f>
        <v>8.82</v>
      </c>
      <c r="BI11">
        <f>ROUND(BI8*VLOOKUP(BI4,Assumptions!$B$29:$D$43,2)*Availability,3)</f>
        <v>8.82</v>
      </c>
      <c r="BJ11">
        <f>ROUND(BJ8*VLOOKUP(BJ4,Assumptions!$B$29:$D$43,2)*Availability,3)</f>
        <v>8.82</v>
      </c>
      <c r="BK11">
        <f>ROUND(BK8*VLOOKUP(BK4,Assumptions!$B$29:$D$43,2)*Availability,3)</f>
        <v>8.82</v>
      </c>
      <c r="BL11">
        <f>ROUND(BL8*VLOOKUP(BL4,Assumptions!$B$29:$D$43,2)*Availability,3)</f>
        <v>8.82</v>
      </c>
      <c r="BM11">
        <f>ROUND(BM8*VLOOKUP(BM4,Assumptions!$B$29:$D$43,2)*Availability,3)</f>
        <v>8.82</v>
      </c>
      <c r="BN11">
        <f>ROUND(BN8*VLOOKUP(BN4,Assumptions!$B$29:$D$43,2)*Availability,3)</f>
        <v>8.82</v>
      </c>
      <c r="BO11">
        <f>ROUND(BO8*VLOOKUP(BO4,Assumptions!$B$29:$D$43,2)*Availability,3)</f>
        <v>8.82</v>
      </c>
      <c r="BP11">
        <f>ROUND(BP8*VLOOKUP(BP4,Assumptions!$B$29:$D$43,2)*Availability,3)</f>
        <v>8.82</v>
      </c>
      <c r="BQ11">
        <f>ROUND(BQ8*VLOOKUP(BQ4,Assumptions!$B$29:$D$43,2)*Availability,3)</f>
        <v>8.82</v>
      </c>
      <c r="BR11">
        <f>ROUND(BR8*VLOOKUP(BR4,Assumptions!$B$29:$D$43,2)*Availability,3)</f>
        <v>8.82</v>
      </c>
      <c r="BS11">
        <f>ROUND(BS8*VLOOKUP(BS4,Assumptions!$B$29:$D$43,2)*Availability,3)</f>
        <v>8.82</v>
      </c>
      <c r="BT11">
        <f>ROUND(BT8*VLOOKUP(BT4,Assumptions!$B$29:$D$43,2)*Availability,3)</f>
        <v>8.82</v>
      </c>
      <c r="BU11">
        <f>ROUND(BU8*VLOOKUP(BU4,Assumptions!$B$29:$D$43,2)*Availability,3)</f>
        <v>8.82</v>
      </c>
      <c r="BV11">
        <f>ROUND(BV8*VLOOKUP(BV4,Assumptions!$B$29:$D$43,2)*Availability,3)</f>
        <v>8.82</v>
      </c>
      <c r="BW11">
        <f>ROUND(BW8*VLOOKUP(BW4,Assumptions!$B$29:$D$43,2)*Availability,3)</f>
        <v>8.73</v>
      </c>
      <c r="BX11">
        <f>ROUND(BX8*VLOOKUP(BX4,Assumptions!$B$29:$D$43,2)*Availability,3)</f>
        <v>8.73</v>
      </c>
      <c r="BY11">
        <f>ROUND(BY8*VLOOKUP(BY4,Assumptions!$B$29:$D$43,2)*Availability,3)</f>
        <v>8.73</v>
      </c>
      <c r="BZ11">
        <f>ROUND(BZ8*VLOOKUP(BZ4,Assumptions!$B$29:$D$43,2)*Availability,3)</f>
        <v>8.73</v>
      </c>
      <c r="CA11">
        <f>ROUND(CA8*VLOOKUP(CA4,Assumptions!$B$29:$D$43,2)*Availability,3)</f>
        <v>8.73</v>
      </c>
      <c r="CB11">
        <f>ROUND(CB8*VLOOKUP(CB4,Assumptions!$B$29:$D$43,2)*Availability,3)</f>
        <v>8.73</v>
      </c>
      <c r="CC11">
        <f>ROUND(CC8*VLOOKUP(CC4,Assumptions!$B$29:$D$43,2)*Availability,3)</f>
        <v>8.73</v>
      </c>
      <c r="CD11">
        <f>ROUND(CD8*VLOOKUP(CD4,Assumptions!$B$29:$D$43,2)*Availability,3)</f>
        <v>8.73</v>
      </c>
      <c r="CE11">
        <f>ROUND(CE8*VLOOKUP(CE4,Assumptions!$B$29:$D$43,2)*Availability,3)</f>
        <v>8.73</v>
      </c>
      <c r="CF11">
        <f>ROUND(CF8*VLOOKUP(CF4,Assumptions!$B$29:$D$43,2)*Availability,3)</f>
        <v>8.73</v>
      </c>
      <c r="CG11">
        <f>ROUND(CG8*VLOOKUP(CG4,Assumptions!$B$29:$D$43,2)*Availability,3)</f>
        <v>8.73</v>
      </c>
      <c r="CH11">
        <f>ROUND(CH8*VLOOKUP(CH4,Assumptions!$B$29:$D$43,2)*Availability,3)</f>
        <v>8.73</v>
      </c>
      <c r="CI11">
        <f>ROUND(CI8*VLOOKUP(CI4,Assumptions!$B$29:$D$43,2)*Availability,3)</f>
        <v>8.73</v>
      </c>
      <c r="CJ11">
        <f>ROUND(CJ8*VLOOKUP(CJ4,Assumptions!$B$29:$D$43,2)*Availability,3)</f>
        <v>8.73</v>
      </c>
      <c r="CK11">
        <f>ROUND(CK8*VLOOKUP(CK4,Assumptions!$B$29:$D$43,2)*Availability,3)</f>
        <v>8.73</v>
      </c>
      <c r="CL11">
        <f>ROUND(CL8*VLOOKUP(CL4,Assumptions!$B$29:$D$43,2)*Availability,3)</f>
        <v>8.73</v>
      </c>
      <c r="CM11">
        <f>ROUND(CM8*VLOOKUP(CM4,Assumptions!$B$29:$D$43,2)*Availability,3)</f>
        <v>8.73</v>
      </c>
      <c r="CN11">
        <f>ROUND(CN8*VLOOKUP(CN4,Assumptions!$B$29:$D$43,2)*Availability,3)</f>
        <v>8.73</v>
      </c>
      <c r="CO11">
        <f>ROUND(CO8*VLOOKUP(CO4,Assumptions!$B$29:$D$43,2)*Availability,3)</f>
        <v>8.73</v>
      </c>
      <c r="CP11">
        <f>ROUND(CP8*VLOOKUP(CP4,Assumptions!$B$29:$D$43,2)*Availability,3)</f>
        <v>8.73</v>
      </c>
      <c r="CQ11">
        <f>ROUND(CQ8*VLOOKUP(CQ4,Assumptions!$B$29:$D$43,2)*Availability,3)</f>
        <v>8.73</v>
      </c>
      <c r="CR11">
        <f>ROUND(CR8*VLOOKUP(CR4,Assumptions!$B$29:$D$43,2)*Availability,3)</f>
        <v>8.73</v>
      </c>
      <c r="CS11">
        <f>ROUND(CS8*VLOOKUP(CS4,Assumptions!$B$29:$D$43,2)*Availability,3)</f>
        <v>8.73</v>
      </c>
      <c r="CT11">
        <f>ROUND(CT8*VLOOKUP(CT4,Assumptions!$B$29:$D$43,2)*Availability,3)</f>
        <v>8.73</v>
      </c>
      <c r="CU11">
        <f>ROUND(CU8*VLOOKUP(CU4,Assumptions!$B$29:$D$43,2)*Availability,3)</f>
        <v>8.64</v>
      </c>
      <c r="CV11">
        <f>ROUND(CV8*VLOOKUP(CV4,Assumptions!$B$29:$D$43,2)*Availability,3)</f>
        <v>8.64</v>
      </c>
      <c r="CW11">
        <f>ROUND(CW8*VLOOKUP(CW4,Assumptions!$B$29:$D$43,2)*Availability,3)</f>
        <v>8.64</v>
      </c>
      <c r="CX11">
        <f>ROUND(CX8*VLOOKUP(CX4,Assumptions!$B$29:$D$43,2)*Availability,3)</f>
        <v>8.64</v>
      </c>
      <c r="CY11">
        <f>ROUND(CY8*VLOOKUP(CY4,Assumptions!$B$29:$D$43,2)*Availability,3)</f>
        <v>8.64</v>
      </c>
      <c r="CZ11">
        <f>ROUND(CZ8*VLOOKUP(CZ4,Assumptions!$B$29:$D$43,2)*Availability,3)</f>
        <v>8.64</v>
      </c>
      <c r="DA11">
        <f>ROUND(DA8*VLOOKUP(DA4,Assumptions!$B$29:$D$43,2)*Availability,3)</f>
        <v>8.64</v>
      </c>
      <c r="DB11">
        <f>ROUND(DB8*VLOOKUP(DB4,Assumptions!$B$29:$D$43,2)*Availability,3)</f>
        <v>8.64</v>
      </c>
      <c r="DC11">
        <f>ROUND(DC8*VLOOKUP(DC4,Assumptions!$B$29:$D$43,2)*Availability,3)</f>
        <v>8.64</v>
      </c>
      <c r="DD11">
        <f>ROUND(DD8*VLOOKUP(DD4,Assumptions!$B$29:$D$43,2)*Availability,3)</f>
        <v>8.64</v>
      </c>
      <c r="DE11">
        <f>ROUND(DE8*VLOOKUP(DE4,Assumptions!$B$29:$D$43,2)*Availability,3)</f>
        <v>8.64</v>
      </c>
      <c r="DF11">
        <f>ROUND(DF8*VLOOKUP(DF4,Assumptions!$B$29:$D$43,2)*Availability,3)</f>
        <v>8.64</v>
      </c>
      <c r="DG11">
        <f>ROUND(DG8*VLOOKUP(DG4,Assumptions!$B$29:$D$43,2)*Availability,3)</f>
        <v>8.64</v>
      </c>
      <c r="DH11">
        <f>ROUND(DH8*VLOOKUP(DH4,Assumptions!$B$29:$D$43,2)*Availability,3)</f>
        <v>8.64</v>
      </c>
      <c r="DI11">
        <f>ROUND(DI8*VLOOKUP(DI4,Assumptions!$B$29:$D$43,2)*Availability,3)</f>
        <v>8.64</v>
      </c>
      <c r="DJ11">
        <f>ROUND(DJ8*VLOOKUP(DJ4,Assumptions!$B$29:$D$43,2)*Availability,3)</f>
        <v>8.64</v>
      </c>
      <c r="DK11">
        <f>ROUND(DK8*VLOOKUP(DK4,Assumptions!$B$29:$D$43,2)*Availability,3)</f>
        <v>8.64</v>
      </c>
      <c r="DL11">
        <f>ROUND(DL8*VLOOKUP(DL4,Assumptions!$B$29:$D$43,2)*Availability,3)</f>
        <v>8.64</v>
      </c>
      <c r="DM11">
        <f>ROUND(DM8*VLOOKUP(DM4,Assumptions!$B$29:$D$43,2)*Availability,3)</f>
        <v>8.64</v>
      </c>
      <c r="DN11">
        <f>ROUND(DN8*VLOOKUP(DN4,Assumptions!$B$29:$D$43,2)*Availability,3)</f>
        <v>8.64</v>
      </c>
      <c r="DO11">
        <f>ROUND(DO8*VLOOKUP(DO4,Assumptions!$B$29:$D$43,2)*Availability,3)</f>
        <v>8.64</v>
      </c>
      <c r="DP11">
        <f>ROUND(DP8*VLOOKUP(DP4,Assumptions!$B$29:$D$43,2)*Availability,3)</f>
        <v>8.64</v>
      </c>
      <c r="DQ11">
        <f>ROUND(DQ8*VLOOKUP(DQ4,Assumptions!$B$29:$D$43,2)*Availability,3)</f>
        <v>8.64</v>
      </c>
      <c r="DR11">
        <f>ROUND(DR8*VLOOKUP(DR4,Assumptions!$B$29:$D$43,2)*Availability,3)</f>
        <v>8.64</v>
      </c>
      <c r="DS11">
        <f>ROUND(DS8*VLOOKUP(DS4,Assumptions!$B$29:$D$43,2)*Availability,3)</f>
        <v>8.1229999999999993</v>
      </c>
      <c r="DT11">
        <f>ROUND(DT8*VLOOKUP(DT4,Assumptions!$B$29:$D$43,2)*Availability,3)</f>
        <v>8.1229999999999993</v>
      </c>
      <c r="DU11">
        <f>ROUND(DU8*VLOOKUP(DU4,Assumptions!$B$29:$D$43,2)*Availability,3)</f>
        <v>8.1229999999999993</v>
      </c>
      <c r="DV11">
        <f>ROUND(DV8*VLOOKUP(DV4,Assumptions!$B$29:$D$43,2)*Availability,3)</f>
        <v>8.1229999999999993</v>
      </c>
      <c r="DW11">
        <f>ROUND(DW8*VLOOKUP(DW4,Assumptions!$B$29:$D$43,2)*Availability,3)</f>
        <v>8.1229999999999993</v>
      </c>
      <c r="DX11">
        <f>ROUND(DX8*VLOOKUP(DX4,Assumptions!$B$29:$D$43,2)*Availability,3)</f>
        <v>8.1229999999999993</v>
      </c>
      <c r="DY11">
        <f>ROUND(DY8*VLOOKUP(DY4,Assumptions!$B$29:$D$43,2)*Availability,3)</f>
        <v>8.1229999999999993</v>
      </c>
      <c r="DZ11">
        <f>ROUND(DZ8*VLOOKUP(DZ4,Assumptions!$B$29:$D$43,2)*Availability,3)</f>
        <v>8.1229999999999993</v>
      </c>
      <c r="EA11">
        <f>ROUND(EA8*VLOOKUP(EA4,Assumptions!$B$29:$D$43,2)*Availability,3)</f>
        <v>8.1229999999999993</v>
      </c>
      <c r="EB11">
        <f>ROUND(EB8*VLOOKUP(EB4,Assumptions!$B$29:$D$43,2)*Availability,3)</f>
        <v>8.1229999999999993</v>
      </c>
      <c r="EC11">
        <f>ROUND(EC8*VLOOKUP(EC4,Assumptions!$B$29:$D$43,2)*Availability,3)</f>
        <v>8.1229999999999993</v>
      </c>
      <c r="ED11">
        <f>ROUND(ED8*VLOOKUP(ED4,Assumptions!$B$29:$D$43,2)*Availability,3)</f>
        <v>8.1229999999999993</v>
      </c>
      <c r="EE11">
        <f>ROUND(EE8*VLOOKUP(EE4,Assumptions!$B$29:$D$43,2)*Availability,3)</f>
        <v>7.0540000000000003</v>
      </c>
      <c r="EF11">
        <f>ROUND(EF8*VLOOKUP(EF4,Assumptions!$B$29:$D$43,2)*Availability,3)</f>
        <v>7.0540000000000003</v>
      </c>
      <c r="EG11">
        <f>ROUND(EG8*VLOOKUP(EG4,Assumptions!$B$29:$D$43,2)*Availability,3)</f>
        <v>7.0540000000000003</v>
      </c>
      <c r="EH11">
        <f>ROUND(EH8*VLOOKUP(EH4,Assumptions!$B$29:$D$43,2)*Availability,3)</f>
        <v>7.0540000000000003</v>
      </c>
      <c r="EI11">
        <f>ROUND(EI8*VLOOKUP(EI4,Assumptions!$B$29:$D$43,2)*Availability,3)</f>
        <v>7.0540000000000003</v>
      </c>
      <c r="EJ11">
        <f>ROUND(EJ8*VLOOKUP(EJ4,Assumptions!$B$29:$D$43,2)*Availability,3)</f>
        <v>7.0540000000000003</v>
      </c>
      <c r="EK11">
        <f>ROUND(EK8*VLOOKUP(EK4,Assumptions!$B$29:$D$43,2)*Availability,3)</f>
        <v>7.0540000000000003</v>
      </c>
      <c r="EL11">
        <f>ROUND(EL8*VLOOKUP(EL4,Assumptions!$B$29:$D$43,2)*Availability,3)</f>
        <v>7.0540000000000003</v>
      </c>
      <c r="EM11">
        <f>ROUND(EM8*VLOOKUP(EM4,Assumptions!$B$29:$D$43,2)*Availability,3)</f>
        <v>7.0540000000000003</v>
      </c>
      <c r="EN11">
        <f>ROUND(EN8*VLOOKUP(EN4,Assumptions!$B$29:$D$43,2)*Availability,3)</f>
        <v>7.0540000000000003</v>
      </c>
      <c r="EO11">
        <f>ROUND(EO8*VLOOKUP(EO4,Assumptions!$B$29:$D$43,2)*Availability,3)</f>
        <v>7.0540000000000003</v>
      </c>
      <c r="EP11">
        <f>ROUND(EP8*VLOOKUP(EP4,Assumptions!$B$29:$D$43,2)*Availability,3)</f>
        <v>7.0540000000000003</v>
      </c>
      <c r="EQ11">
        <f>ROUND(EQ8*VLOOKUP(EQ4,Assumptions!$B$29:$D$43,2)*Availability,3)</f>
        <v>5.5579999999999998</v>
      </c>
      <c r="ER11">
        <f>ROUND(ER8*VLOOKUP(ER4,Assumptions!$B$29:$D$43,2)*Availability,3)</f>
        <v>5.5579999999999998</v>
      </c>
      <c r="ES11">
        <f>ROUND(ES8*VLOOKUP(ES4,Assumptions!$B$29:$D$43,2)*Availability,3)</f>
        <v>5.5579999999999998</v>
      </c>
      <c r="ET11">
        <f>ROUND(ET8*VLOOKUP(ET4,Assumptions!$B$29:$D$43,2)*Availability,3)</f>
        <v>5.5579999999999998</v>
      </c>
      <c r="EU11">
        <f>ROUND(EU8*VLOOKUP(EU4,Assumptions!$B$29:$D$43,2)*Availability,3)</f>
        <v>5.5579999999999998</v>
      </c>
      <c r="EV11">
        <f>ROUND(EV8*VLOOKUP(EV4,Assumptions!$B$29:$D$43,2)*Availability,3)</f>
        <v>5.5579999999999998</v>
      </c>
      <c r="EW11">
        <f>ROUND(EW8*VLOOKUP(EW4,Assumptions!$B$29:$D$43,2)*Availability,3)</f>
        <v>5.5579999999999998</v>
      </c>
      <c r="EX11">
        <f>ROUND(EX8*VLOOKUP(EX4,Assumptions!$B$29:$D$43,2)*Availability,3)</f>
        <v>5.5579999999999998</v>
      </c>
      <c r="EY11">
        <f>ROUND(EY8*VLOOKUP(EY4,Assumptions!$B$29:$D$43,2)*Availability,3)</f>
        <v>5.5579999999999998</v>
      </c>
      <c r="EZ11">
        <f>ROUND(EZ8*VLOOKUP(EZ4,Assumptions!$B$29:$D$43,2)*Availability,3)</f>
        <v>5.5579999999999998</v>
      </c>
      <c r="FA11">
        <f>ROUND(FA8*VLOOKUP(FA4,Assumptions!$B$29:$D$43,2)*Availability,3)</f>
        <v>5.5579999999999998</v>
      </c>
      <c r="FB11">
        <f>ROUND(FB8*VLOOKUP(FB4,Assumptions!$B$29:$D$43,2)*Availability,3)</f>
        <v>5.5579999999999998</v>
      </c>
      <c r="FC11">
        <f>ROUND(FC8*VLOOKUP(FC4,Assumptions!$B$29:$D$43,2)*Availability,3)</f>
        <v>3.5960000000000001</v>
      </c>
      <c r="FD11">
        <f>ROUND(FD8*VLOOKUP(FD4,Assumptions!$B$29:$D$43,2)*Availability,3)</f>
        <v>3.5960000000000001</v>
      </c>
      <c r="FE11">
        <f>ROUND(FE8*VLOOKUP(FE4,Assumptions!$B$29:$D$43,2)*Availability,3)</f>
        <v>3.5960000000000001</v>
      </c>
      <c r="FF11">
        <f>ROUND(FF8*VLOOKUP(FF4,Assumptions!$B$29:$D$43,2)*Availability,3)</f>
        <v>3.5960000000000001</v>
      </c>
      <c r="FG11">
        <f>ROUND(FG8*VLOOKUP(FG4,Assumptions!$B$29:$D$43,2)*Availability,3)</f>
        <v>3.5960000000000001</v>
      </c>
      <c r="FH11">
        <f>ROUND(FH8*VLOOKUP(FH4,Assumptions!$B$29:$D$43,2)*Availability,3)</f>
        <v>3.5960000000000001</v>
      </c>
      <c r="FI11">
        <f>ROUND(FI8*VLOOKUP(FI4,Assumptions!$B$29:$D$43,2)*Availability,3)</f>
        <v>3.5960000000000001</v>
      </c>
      <c r="FJ11">
        <f>ROUND(FJ8*VLOOKUP(FJ4,Assumptions!$B$29:$D$43,2)*Availability,3)</f>
        <v>3.5960000000000001</v>
      </c>
      <c r="FK11">
        <f>ROUND(FK8*VLOOKUP(FK4,Assumptions!$B$29:$D$43,2)*Availability,3)</f>
        <v>3.5960000000000001</v>
      </c>
      <c r="FL11">
        <f>ROUND(FL8*VLOOKUP(FL4,Assumptions!$B$29:$D$43,2)*Availability,3)</f>
        <v>3.5960000000000001</v>
      </c>
      <c r="FM11">
        <f>ROUND(FM8*VLOOKUP(FM4,Assumptions!$B$29:$D$43,2)*Availability,3)</f>
        <v>3.5960000000000001</v>
      </c>
      <c r="FN11">
        <f>ROUND(FN8*VLOOKUP(FN4,Assumptions!$B$29:$D$43,2)*Availability,3)</f>
        <v>3.5960000000000001</v>
      </c>
      <c r="FO11">
        <f>ROUND(FO8*VLOOKUP(FO4,Assumptions!$B$29:$D$43,2)*Availability,3)</f>
        <v>1.256</v>
      </c>
      <c r="FP11">
        <f>ROUND(FP8*VLOOKUP(FP4,Assumptions!$B$29:$D$43,2)*Availability,3)</f>
        <v>1.256</v>
      </c>
      <c r="FQ11">
        <f>ROUND(FQ8*VLOOKUP(FQ4,Assumptions!$B$29:$D$43,2)*Availability,3)</f>
        <v>1.256</v>
      </c>
      <c r="FR11">
        <f>ROUND(FR8*VLOOKUP(FR4,Assumptions!$B$29:$D$43,2)*Availability,3)</f>
        <v>1.256</v>
      </c>
      <c r="FS11">
        <f>ROUND(FS8*VLOOKUP(FS4,Assumptions!$B$29:$D$43,2)*Availability,3)</f>
        <v>1.256</v>
      </c>
      <c r="FT11">
        <f>ROUND(FT8*VLOOKUP(FT4,Assumptions!$B$29:$D$43,2)*Availability,3)</f>
        <v>1.256</v>
      </c>
      <c r="FU11">
        <f>ROUND(FU8*VLOOKUP(FU4,Assumptions!$B$29:$D$43,2)*Availability,3)</f>
        <v>1.256</v>
      </c>
      <c r="FV11">
        <f>ROUND(FV8*VLOOKUP(FV4,Assumptions!$B$29:$D$43,2)*Availability,3)</f>
        <v>1.256</v>
      </c>
      <c r="FW11">
        <f>ROUND(FW8*VLOOKUP(FW4,Assumptions!$B$29:$D$43,2)*Availability,3)</f>
        <v>1.256</v>
      </c>
      <c r="FX11">
        <f>ROUND(FX8*VLOOKUP(FX4,Assumptions!$B$29:$D$43,2)*Availability,3)</f>
        <v>1.256</v>
      </c>
      <c r="FY11">
        <f>ROUND(FY8*VLOOKUP(FY4,Assumptions!$B$29:$D$43,2)*Availability,3)</f>
        <v>1.256</v>
      </c>
      <c r="FZ11">
        <f>ROUND(FZ8*VLOOKUP(FZ4,Assumptions!$B$29:$D$43,2)*Availability,3)</f>
        <v>1.256</v>
      </c>
      <c r="GA11">
        <f>ROUND(GA8*VLOOKUP(GA4,Assumptions!$B$29:$D$43,2)*Availability,3)</f>
        <v>1.256</v>
      </c>
      <c r="GB11">
        <f>ROUND(GB8*VLOOKUP(GB4,Assumptions!$B$29:$D$43,2)*Availability,3)</f>
        <v>1.256</v>
      </c>
      <c r="GC11">
        <f>ROUND(GC8*VLOOKUP(GC4,Assumptions!$B$29:$D$43,2)*Availability,3)</f>
        <v>1.256</v>
      </c>
      <c r="GD11">
        <f>ROUND(GD8*VLOOKUP(GD4,Assumptions!$B$29:$D$43,2)*Availability,3)</f>
        <v>1.256</v>
      </c>
      <c r="GE11">
        <f>ROUND(GE8*VLOOKUP(GE4,Assumptions!$B$29:$D$43,2)*Availability,3)</f>
        <v>1.256</v>
      </c>
      <c r="GF11">
        <f>ROUND(GF8*VLOOKUP(GF4,Assumptions!$B$29:$D$43,2)*Availability,3)</f>
        <v>1.256</v>
      </c>
      <c r="GG11">
        <f>ROUND(GG8*VLOOKUP(GG4,Assumptions!$B$29:$D$43,2)*Availability,3)</f>
        <v>1.256</v>
      </c>
      <c r="GH11">
        <f>ROUND(GH8*VLOOKUP(GH4,Assumptions!$B$29:$D$43,2)*Availability,3)</f>
        <v>1.256</v>
      </c>
      <c r="GI11">
        <f>ROUND(GI8*VLOOKUP(GI4,Assumptions!$B$29:$D$43,2)*Availability,3)</f>
        <v>1.256</v>
      </c>
      <c r="GJ11">
        <f>ROUND(GJ8*VLOOKUP(GJ4,Assumptions!$B$29:$D$43,2)*Availability,3)</f>
        <v>1.256</v>
      </c>
      <c r="GK11">
        <f>ROUND(GK8*VLOOKUP(GK4,Assumptions!$B$29:$D$43,2)*Availability,3)</f>
        <v>1.256</v>
      </c>
      <c r="GL11">
        <f>ROUND(GL8*VLOOKUP(GL4,Assumptions!$B$29:$D$43,2)*Availability,3)</f>
        <v>1.256</v>
      </c>
      <c r="GN11">
        <f>GN12</f>
        <v>8</v>
      </c>
      <c r="GO11">
        <f>GO12+1</f>
        <v>2021</v>
      </c>
      <c r="GP11" s="1">
        <f>EOMONTH(GP12,11)+1</f>
        <v>44713</v>
      </c>
      <c r="GQ11" s="1">
        <f>EOMONTH(GQ12,12)</f>
        <v>45077</v>
      </c>
      <c r="GR11">
        <f>SUMIFS($C$10:$FZ$10,$C$6:$FZ$6,GO11,$C$5:$FZ$5,GN11)</f>
        <v>0</v>
      </c>
    </row>
    <row r="12" spans="1:200">
      <c r="GN12">
        <v>8</v>
      </c>
      <c r="GO12">
        <v>2020</v>
      </c>
      <c r="GP12" s="1">
        <v>44348</v>
      </c>
      <c r="GQ12" s="1">
        <v>44712</v>
      </c>
      <c r="GR12">
        <f t="shared" ref="GR12:GR23" si="125">SUMIFS($C$10:$FZ$10,$C$6:$FZ$6,GO12,$C$5:$FZ$5,GN12)</f>
        <v>0</v>
      </c>
    </row>
    <row r="13" spans="1:200">
      <c r="A13" t="s">
        <v>19</v>
      </c>
      <c r="C13" s="15">
        <f t="shared" ref="C13:AH13" si="126">Reserve_Margin</f>
        <v>0.3</v>
      </c>
      <c r="D13" s="15">
        <f t="shared" si="126"/>
        <v>0.3</v>
      </c>
      <c r="E13" s="15">
        <f t="shared" si="126"/>
        <v>0.3</v>
      </c>
      <c r="F13" s="15">
        <f t="shared" si="126"/>
        <v>0.3</v>
      </c>
      <c r="G13" s="15">
        <f t="shared" si="126"/>
        <v>0.3</v>
      </c>
      <c r="H13" s="15">
        <f t="shared" si="126"/>
        <v>0.3</v>
      </c>
      <c r="I13" s="15">
        <f t="shared" si="126"/>
        <v>0.3</v>
      </c>
      <c r="J13" s="15">
        <f t="shared" si="126"/>
        <v>0.3</v>
      </c>
      <c r="K13" s="15">
        <f t="shared" si="126"/>
        <v>0.3</v>
      </c>
      <c r="L13" s="15">
        <f t="shared" si="126"/>
        <v>0.3</v>
      </c>
      <c r="M13" s="15">
        <f t="shared" si="126"/>
        <v>0.3</v>
      </c>
      <c r="N13" s="15">
        <f t="shared" si="126"/>
        <v>0.3</v>
      </c>
      <c r="O13" s="15">
        <f t="shared" si="126"/>
        <v>0.3</v>
      </c>
      <c r="P13" s="15">
        <f t="shared" si="126"/>
        <v>0.3</v>
      </c>
      <c r="Q13" s="15">
        <f t="shared" si="126"/>
        <v>0.3</v>
      </c>
      <c r="R13" s="15">
        <f t="shared" si="126"/>
        <v>0.3</v>
      </c>
      <c r="S13" s="15">
        <f t="shared" si="126"/>
        <v>0.3</v>
      </c>
      <c r="T13" s="15">
        <f t="shared" si="126"/>
        <v>0.3</v>
      </c>
      <c r="U13" s="15">
        <f t="shared" si="126"/>
        <v>0.3</v>
      </c>
      <c r="V13" s="15">
        <f t="shared" si="126"/>
        <v>0.3</v>
      </c>
      <c r="W13" s="15">
        <f t="shared" si="126"/>
        <v>0.3</v>
      </c>
      <c r="X13" s="15">
        <f t="shared" si="126"/>
        <v>0.3</v>
      </c>
      <c r="Y13" s="15">
        <f t="shared" si="126"/>
        <v>0.3</v>
      </c>
      <c r="Z13" s="15">
        <f t="shared" si="126"/>
        <v>0.3</v>
      </c>
      <c r="AA13" s="15">
        <f t="shared" si="126"/>
        <v>0.3</v>
      </c>
      <c r="AB13" s="15">
        <f t="shared" si="126"/>
        <v>0.3</v>
      </c>
      <c r="AC13" s="15">
        <f t="shared" si="126"/>
        <v>0.3</v>
      </c>
      <c r="AD13" s="15">
        <f t="shared" si="126"/>
        <v>0.3</v>
      </c>
      <c r="AE13" s="15">
        <f t="shared" si="126"/>
        <v>0.3</v>
      </c>
      <c r="AF13" s="15">
        <f t="shared" si="126"/>
        <v>0.3</v>
      </c>
      <c r="AG13" s="15">
        <f t="shared" si="126"/>
        <v>0.3</v>
      </c>
      <c r="AH13" s="15">
        <f t="shared" si="126"/>
        <v>0.3</v>
      </c>
      <c r="AI13" s="15">
        <f t="shared" ref="AI13:BN13" si="127">Reserve_Margin</f>
        <v>0.3</v>
      </c>
      <c r="AJ13" s="15">
        <f t="shared" si="127"/>
        <v>0.3</v>
      </c>
      <c r="AK13" s="15">
        <f t="shared" si="127"/>
        <v>0.3</v>
      </c>
      <c r="AL13" s="15">
        <f t="shared" si="127"/>
        <v>0.3</v>
      </c>
      <c r="AM13" s="15">
        <f t="shared" si="127"/>
        <v>0.3</v>
      </c>
      <c r="AN13" s="15">
        <f t="shared" si="127"/>
        <v>0.3</v>
      </c>
      <c r="AO13" s="15">
        <f t="shared" si="127"/>
        <v>0.3</v>
      </c>
      <c r="AP13" s="15">
        <f t="shared" si="127"/>
        <v>0.3</v>
      </c>
      <c r="AQ13" s="15">
        <f t="shared" si="127"/>
        <v>0.3</v>
      </c>
      <c r="AR13" s="15">
        <f t="shared" si="127"/>
        <v>0.3</v>
      </c>
      <c r="AS13" s="15">
        <f t="shared" si="127"/>
        <v>0.3</v>
      </c>
      <c r="AT13" s="15">
        <f t="shared" si="127"/>
        <v>0.3</v>
      </c>
      <c r="AU13" s="15">
        <f t="shared" si="127"/>
        <v>0.3</v>
      </c>
      <c r="AV13" s="15">
        <f t="shared" si="127"/>
        <v>0.3</v>
      </c>
      <c r="AW13" s="15">
        <f t="shared" si="127"/>
        <v>0.3</v>
      </c>
      <c r="AX13" s="15">
        <f t="shared" si="127"/>
        <v>0.3</v>
      </c>
      <c r="AY13" s="15">
        <f t="shared" si="127"/>
        <v>0.3</v>
      </c>
      <c r="AZ13" s="15">
        <f t="shared" si="127"/>
        <v>0.3</v>
      </c>
      <c r="BA13" s="15">
        <f t="shared" si="127"/>
        <v>0.3</v>
      </c>
      <c r="BB13" s="15">
        <f t="shared" si="127"/>
        <v>0.3</v>
      </c>
      <c r="BC13" s="15">
        <f t="shared" si="127"/>
        <v>0.3</v>
      </c>
      <c r="BD13" s="15">
        <f t="shared" si="127"/>
        <v>0.3</v>
      </c>
      <c r="BE13" s="15">
        <f t="shared" si="127"/>
        <v>0.3</v>
      </c>
      <c r="BF13" s="15">
        <f t="shared" si="127"/>
        <v>0.3</v>
      </c>
      <c r="BG13" s="15">
        <f t="shared" si="127"/>
        <v>0.3</v>
      </c>
      <c r="BH13" s="15">
        <f t="shared" si="127"/>
        <v>0.3</v>
      </c>
      <c r="BI13" s="15">
        <f t="shared" si="127"/>
        <v>0.3</v>
      </c>
      <c r="BJ13" s="15">
        <f t="shared" si="127"/>
        <v>0.3</v>
      </c>
      <c r="BK13" s="15">
        <f t="shared" si="127"/>
        <v>0.3</v>
      </c>
      <c r="BL13" s="15">
        <f t="shared" si="127"/>
        <v>0.3</v>
      </c>
      <c r="BM13" s="15">
        <f t="shared" si="127"/>
        <v>0.3</v>
      </c>
      <c r="BN13" s="15">
        <f t="shared" si="127"/>
        <v>0.3</v>
      </c>
      <c r="BO13" s="15">
        <f t="shared" ref="BO13:CT13" si="128">Reserve_Margin</f>
        <v>0.3</v>
      </c>
      <c r="BP13" s="15">
        <f t="shared" si="128"/>
        <v>0.3</v>
      </c>
      <c r="BQ13" s="15">
        <f t="shared" si="128"/>
        <v>0.3</v>
      </c>
      <c r="BR13" s="15">
        <f t="shared" si="128"/>
        <v>0.3</v>
      </c>
      <c r="BS13" s="15">
        <f t="shared" si="128"/>
        <v>0.3</v>
      </c>
      <c r="BT13" s="15">
        <f t="shared" si="128"/>
        <v>0.3</v>
      </c>
      <c r="BU13" s="15">
        <f t="shared" si="128"/>
        <v>0.3</v>
      </c>
      <c r="BV13" s="15">
        <f t="shared" si="128"/>
        <v>0.3</v>
      </c>
      <c r="BW13" s="15">
        <f t="shared" si="128"/>
        <v>0.3</v>
      </c>
      <c r="BX13" s="15">
        <f t="shared" si="128"/>
        <v>0.3</v>
      </c>
      <c r="BY13" s="15">
        <f t="shared" si="128"/>
        <v>0.3</v>
      </c>
      <c r="BZ13" s="15">
        <f t="shared" si="128"/>
        <v>0.3</v>
      </c>
      <c r="CA13" s="15">
        <f t="shared" si="128"/>
        <v>0.3</v>
      </c>
      <c r="CB13" s="15">
        <f t="shared" si="128"/>
        <v>0.3</v>
      </c>
      <c r="CC13" s="15">
        <f t="shared" si="128"/>
        <v>0.3</v>
      </c>
      <c r="CD13" s="15">
        <f t="shared" si="128"/>
        <v>0.3</v>
      </c>
      <c r="CE13" s="15">
        <f t="shared" si="128"/>
        <v>0.3</v>
      </c>
      <c r="CF13" s="15">
        <f t="shared" si="128"/>
        <v>0.3</v>
      </c>
      <c r="CG13" s="15">
        <f t="shared" si="128"/>
        <v>0.3</v>
      </c>
      <c r="CH13" s="15">
        <f t="shared" si="128"/>
        <v>0.3</v>
      </c>
      <c r="CI13" s="15">
        <f t="shared" si="128"/>
        <v>0.3</v>
      </c>
      <c r="CJ13" s="15">
        <f t="shared" si="128"/>
        <v>0.3</v>
      </c>
      <c r="CK13" s="15">
        <f t="shared" si="128"/>
        <v>0.3</v>
      </c>
      <c r="CL13" s="15">
        <f t="shared" si="128"/>
        <v>0.3</v>
      </c>
      <c r="CM13" s="15">
        <f t="shared" si="128"/>
        <v>0.3</v>
      </c>
      <c r="CN13" s="15">
        <f t="shared" si="128"/>
        <v>0.3</v>
      </c>
      <c r="CO13" s="15">
        <f t="shared" si="128"/>
        <v>0.3</v>
      </c>
      <c r="CP13" s="15">
        <f t="shared" si="128"/>
        <v>0.3</v>
      </c>
      <c r="CQ13" s="15">
        <f t="shared" si="128"/>
        <v>0.3</v>
      </c>
      <c r="CR13" s="15">
        <f t="shared" si="128"/>
        <v>0.3</v>
      </c>
      <c r="CS13" s="15">
        <f t="shared" si="128"/>
        <v>0.3</v>
      </c>
      <c r="CT13" s="15">
        <f t="shared" si="128"/>
        <v>0.3</v>
      </c>
      <c r="CU13" s="15">
        <f t="shared" ref="CU13:DZ13" si="129">Reserve_Margin</f>
        <v>0.3</v>
      </c>
      <c r="CV13" s="15">
        <f t="shared" si="129"/>
        <v>0.3</v>
      </c>
      <c r="CW13" s="15">
        <f t="shared" si="129"/>
        <v>0.3</v>
      </c>
      <c r="CX13" s="15">
        <f t="shared" si="129"/>
        <v>0.3</v>
      </c>
      <c r="CY13" s="15">
        <f t="shared" si="129"/>
        <v>0.3</v>
      </c>
      <c r="CZ13" s="15">
        <f t="shared" si="129"/>
        <v>0.3</v>
      </c>
      <c r="DA13" s="15">
        <f t="shared" si="129"/>
        <v>0.3</v>
      </c>
      <c r="DB13" s="15">
        <f t="shared" si="129"/>
        <v>0.3</v>
      </c>
      <c r="DC13" s="15">
        <f t="shared" si="129"/>
        <v>0.3</v>
      </c>
      <c r="DD13" s="15">
        <f t="shared" si="129"/>
        <v>0.3</v>
      </c>
      <c r="DE13" s="15">
        <f t="shared" si="129"/>
        <v>0.3</v>
      </c>
      <c r="DF13" s="15">
        <f t="shared" si="129"/>
        <v>0.3</v>
      </c>
      <c r="DG13" s="15">
        <f t="shared" si="129"/>
        <v>0.3</v>
      </c>
      <c r="DH13" s="15">
        <f t="shared" si="129"/>
        <v>0.3</v>
      </c>
      <c r="DI13" s="15">
        <f t="shared" si="129"/>
        <v>0.3</v>
      </c>
      <c r="DJ13" s="15">
        <f t="shared" si="129"/>
        <v>0.3</v>
      </c>
      <c r="DK13" s="15">
        <f t="shared" si="129"/>
        <v>0.3</v>
      </c>
      <c r="DL13" s="15">
        <f t="shared" si="129"/>
        <v>0.3</v>
      </c>
      <c r="DM13" s="15">
        <f t="shared" si="129"/>
        <v>0.3</v>
      </c>
      <c r="DN13" s="15">
        <f t="shared" si="129"/>
        <v>0.3</v>
      </c>
      <c r="DO13" s="15">
        <f t="shared" si="129"/>
        <v>0.3</v>
      </c>
      <c r="DP13" s="15">
        <f t="shared" si="129"/>
        <v>0.3</v>
      </c>
      <c r="DQ13" s="15">
        <f t="shared" si="129"/>
        <v>0.3</v>
      </c>
      <c r="DR13" s="15">
        <f t="shared" si="129"/>
        <v>0.3</v>
      </c>
      <c r="DS13" s="15">
        <f t="shared" si="129"/>
        <v>0.3</v>
      </c>
      <c r="DT13" s="15">
        <f t="shared" si="129"/>
        <v>0.3</v>
      </c>
      <c r="DU13" s="15">
        <f t="shared" si="129"/>
        <v>0.3</v>
      </c>
      <c r="DV13" s="15">
        <f t="shared" si="129"/>
        <v>0.3</v>
      </c>
      <c r="DW13" s="15">
        <f t="shared" si="129"/>
        <v>0.3</v>
      </c>
      <c r="DX13" s="15">
        <f t="shared" si="129"/>
        <v>0.3</v>
      </c>
      <c r="DY13" s="15">
        <f t="shared" si="129"/>
        <v>0.3</v>
      </c>
      <c r="DZ13" s="15">
        <f t="shared" si="129"/>
        <v>0.3</v>
      </c>
      <c r="EA13" s="15">
        <f t="shared" ref="EA13:GL13" si="130">Reserve_Margin</f>
        <v>0.3</v>
      </c>
      <c r="EB13" s="15">
        <f t="shared" si="130"/>
        <v>0.3</v>
      </c>
      <c r="EC13" s="15">
        <f t="shared" si="130"/>
        <v>0.3</v>
      </c>
      <c r="ED13" s="15">
        <f t="shared" si="130"/>
        <v>0.3</v>
      </c>
      <c r="EE13" s="15">
        <f t="shared" si="130"/>
        <v>0.3</v>
      </c>
      <c r="EF13" s="15">
        <f t="shared" si="130"/>
        <v>0.3</v>
      </c>
      <c r="EG13" s="15">
        <f t="shared" si="130"/>
        <v>0.3</v>
      </c>
      <c r="EH13" s="15">
        <f t="shared" si="130"/>
        <v>0.3</v>
      </c>
      <c r="EI13" s="15">
        <f t="shared" si="130"/>
        <v>0.3</v>
      </c>
      <c r="EJ13" s="15">
        <f t="shared" si="130"/>
        <v>0.3</v>
      </c>
      <c r="EK13" s="15">
        <f t="shared" si="130"/>
        <v>0.3</v>
      </c>
      <c r="EL13" s="15">
        <f t="shared" si="130"/>
        <v>0.3</v>
      </c>
      <c r="EM13" s="15">
        <f t="shared" si="130"/>
        <v>0.3</v>
      </c>
      <c r="EN13" s="15">
        <f t="shared" si="130"/>
        <v>0.3</v>
      </c>
      <c r="EO13" s="15">
        <f t="shared" si="130"/>
        <v>0.3</v>
      </c>
      <c r="EP13" s="15">
        <f t="shared" si="130"/>
        <v>0.3</v>
      </c>
      <c r="EQ13" s="15">
        <f t="shared" si="130"/>
        <v>0.3</v>
      </c>
      <c r="ER13" s="15">
        <f t="shared" si="130"/>
        <v>0.3</v>
      </c>
      <c r="ES13" s="15">
        <f t="shared" si="130"/>
        <v>0.3</v>
      </c>
      <c r="ET13" s="15">
        <f t="shared" si="130"/>
        <v>0.3</v>
      </c>
      <c r="EU13" s="15">
        <f t="shared" si="130"/>
        <v>0.3</v>
      </c>
      <c r="EV13" s="15">
        <f t="shared" si="130"/>
        <v>0.3</v>
      </c>
      <c r="EW13" s="15">
        <f t="shared" si="130"/>
        <v>0.3</v>
      </c>
      <c r="EX13" s="15">
        <f t="shared" si="130"/>
        <v>0.3</v>
      </c>
      <c r="EY13" s="15">
        <f t="shared" si="130"/>
        <v>0.3</v>
      </c>
      <c r="EZ13" s="15">
        <f t="shared" si="130"/>
        <v>0.3</v>
      </c>
      <c r="FA13" s="15">
        <f t="shared" si="130"/>
        <v>0.3</v>
      </c>
      <c r="FB13" s="15">
        <f t="shared" si="130"/>
        <v>0.3</v>
      </c>
      <c r="FC13" s="15">
        <f t="shared" si="130"/>
        <v>0.3</v>
      </c>
      <c r="FD13" s="15">
        <f t="shared" si="130"/>
        <v>0.3</v>
      </c>
      <c r="FE13" s="15">
        <f t="shared" si="130"/>
        <v>0.3</v>
      </c>
      <c r="FF13" s="15">
        <f t="shared" si="130"/>
        <v>0.3</v>
      </c>
      <c r="FG13" s="15">
        <f t="shared" si="130"/>
        <v>0.3</v>
      </c>
      <c r="FH13" s="15">
        <f t="shared" si="130"/>
        <v>0.3</v>
      </c>
      <c r="FI13" s="15">
        <f t="shared" si="130"/>
        <v>0.3</v>
      </c>
      <c r="FJ13" s="15">
        <f t="shared" si="130"/>
        <v>0.3</v>
      </c>
      <c r="FK13" s="15">
        <f t="shared" si="130"/>
        <v>0.3</v>
      </c>
      <c r="FL13" s="15">
        <f t="shared" si="130"/>
        <v>0.3</v>
      </c>
      <c r="FM13" s="15">
        <f t="shared" si="130"/>
        <v>0.3</v>
      </c>
      <c r="FN13" s="15">
        <f t="shared" si="130"/>
        <v>0.3</v>
      </c>
      <c r="FO13" s="15">
        <f t="shared" si="130"/>
        <v>0.3</v>
      </c>
      <c r="FP13" s="15">
        <f t="shared" si="130"/>
        <v>0.3</v>
      </c>
      <c r="FQ13" s="15">
        <f t="shared" si="130"/>
        <v>0.3</v>
      </c>
      <c r="FR13" s="15">
        <f t="shared" si="130"/>
        <v>0.3</v>
      </c>
      <c r="FS13" s="15">
        <f t="shared" si="130"/>
        <v>0.3</v>
      </c>
      <c r="FT13" s="15">
        <f t="shared" si="130"/>
        <v>0.3</v>
      </c>
      <c r="FU13" s="15">
        <f t="shared" si="130"/>
        <v>0.3</v>
      </c>
      <c r="FV13" s="15">
        <f t="shared" si="130"/>
        <v>0.3</v>
      </c>
      <c r="FW13" s="15">
        <f t="shared" si="130"/>
        <v>0.3</v>
      </c>
      <c r="FX13" s="15">
        <f t="shared" si="130"/>
        <v>0.3</v>
      </c>
      <c r="FY13" s="15">
        <f t="shared" si="130"/>
        <v>0.3</v>
      </c>
      <c r="FZ13" s="15">
        <f t="shared" si="130"/>
        <v>0.3</v>
      </c>
      <c r="GA13" s="15">
        <f t="shared" si="130"/>
        <v>0.3</v>
      </c>
      <c r="GB13" s="15">
        <f t="shared" si="130"/>
        <v>0.3</v>
      </c>
      <c r="GC13" s="15">
        <f t="shared" si="130"/>
        <v>0.3</v>
      </c>
      <c r="GD13" s="15">
        <f t="shared" si="130"/>
        <v>0.3</v>
      </c>
      <c r="GE13" s="15">
        <f t="shared" si="130"/>
        <v>0.3</v>
      </c>
      <c r="GF13" s="15">
        <f t="shared" si="130"/>
        <v>0.3</v>
      </c>
      <c r="GG13" s="15">
        <f t="shared" si="130"/>
        <v>0.3</v>
      </c>
      <c r="GH13" s="15">
        <f t="shared" si="130"/>
        <v>0.3</v>
      </c>
      <c r="GI13" s="15">
        <f t="shared" si="130"/>
        <v>0.3</v>
      </c>
      <c r="GJ13" s="15">
        <f t="shared" si="130"/>
        <v>0.3</v>
      </c>
      <c r="GK13" s="15">
        <f t="shared" si="130"/>
        <v>0.3</v>
      </c>
      <c r="GL13" s="15">
        <f t="shared" si="130"/>
        <v>0.3</v>
      </c>
      <c r="GN13">
        <f>GN11</f>
        <v>8</v>
      </c>
      <c r="GO13">
        <f>GO11+1</f>
        <v>2022</v>
      </c>
      <c r="GP13" s="1">
        <f>EOMONTH(GP11,11)+1</f>
        <v>45078</v>
      </c>
      <c r="GQ13" s="1">
        <f>EOMONTH(GQ11,12)</f>
        <v>45443</v>
      </c>
      <c r="GR13">
        <f t="shared" si="125"/>
        <v>0</v>
      </c>
    </row>
    <row r="14" spans="1:200">
      <c r="A14" t="s">
        <v>21</v>
      </c>
      <c r="C14" s="16">
        <f t="shared" ref="C14:AH14" si="131">Losses</f>
        <v>8.8999999999999996E-2</v>
      </c>
      <c r="D14" s="16">
        <f t="shared" si="131"/>
        <v>8.8999999999999996E-2</v>
      </c>
      <c r="E14" s="16">
        <f t="shared" si="131"/>
        <v>8.8999999999999996E-2</v>
      </c>
      <c r="F14" s="16">
        <f t="shared" si="131"/>
        <v>8.8999999999999996E-2</v>
      </c>
      <c r="G14" s="16">
        <f t="shared" si="131"/>
        <v>8.8999999999999996E-2</v>
      </c>
      <c r="H14" s="16">
        <f t="shared" si="131"/>
        <v>8.8999999999999996E-2</v>
      </c>
      <c r="I14" s="16">
        <f t="shared" si="131"/>
        <v>8.8999999999999996E-2</v>
      </c>
      <c r="J14" s="16">
        <f t="shared" si="131"/>
        <v>8.8999999999999996E-2</v>
      </c>
      <c r="K14" s="16">
        <f t="shared" si="131"/>
        <v>8.8999999999999996E-2</v>
      </c>
      <c r="L14" s="16">
        <f t="shared" si="131"/>
        <v>8.8999999999999996E-2</v>
      </c>
      <c r="M14" s="16">
        <f t="shared" si="131"/>
        <v>8.8999999999999996E-2</v>
      </c>
      <c r="N14" s="16">
        <f t="shared" si="131"/>
        <v>8.8999999999999996E-2</v>
      </c>
      <c r="O14" s="16">
        <f t="shared" si="131"/>
        <v>8.8999999999999996E-2</v>
      </c>
      <c r="P14" s="16">
        <f t="shared" si="131"/>
        <v>8.8999999999999996E-2</v>
      </c>
      <c r="Q14" s="16">
        <f t="shared" si="131"/>
        <v>8.8999999999999996E-2</v>
      </c>
      <c r="R14" s="16">
        <f t="shared" si="131"/>
        <v>8.8999999999999996E-2</v>
      </c>
      <c r="S14" s="16">
        <f t="shared" si="131"/>
        <v>8.8999999999999996E-2</v>
      </c>
      <c r="T14" s="16">
        <f t="shared" si="131"/>
        <v>8.8999999999999996E-2</v>
      </c>
      <c r="U14" s="16">
        <f t="shared" si="131"/>
        <v>8.8999999999999996E-2</v>
      </c>
      <c r="V14" s="16">
        <f t="shared" si="131"/>
        <v>8.8999999999999996E-2</v>
      </c>
      <c r="W14" s="16">
        <f t="shared" si="131"/>
        <v>8.8999999999999996E-2</v>
      </c>
      <c r="X14" s="16">
        <f t="shared" si="131"/>
        <v>8.8999999999999996E-2</v>
      </c>
      <c r="Y14" s="16">
        <f t="shared" si="131"/>
        <v>8.8999999999999996E-2</v>
      </c>
      <c r="Z14" s="16">
        <f t="shared" si="131"/>
        <v>8.8999999999999996E-2</v>
      </c>
      <c r="AA14" s="16">
        <f t="shared" si="131"/>
        <v>8.8999999999999996E-2</v>
      </c>
      <c r="AB14" s="16">
        <f t="shared" si="131"/>
        <v>8.8999999999999996E-2</v>
      </c>
      <c r="AC14" s="16">
        <f t="shared" si="131"/>
        <v>8.8999999999999996E-2</v>
      </c>
      <c r="AD14" s="16">
        <f t="shared" si="131"/>
        <v>8.8999999999999996E-2</v>
      </c>
      <c r="AE14" s="16">
        <f t="shared" si="131"/>
        <v>8.8999999999999996E-2</v>
      </c>
      <c r="AF14" s="16">
        <f t="shared" si="131"/>
        <v>8.8999999999999996E-2</v>
      </c>
      <c r="AG14" s="16">
        <f t="shared" si="131"/>
        <v>8.8999999999999996E-2</v>
      </c>
      <c r="AH14" s="16">
        <f t="shared" si="131"/>
        <v>8.8999999999999996E-2</v>
      </c>
      <c r="AI14" s="16">
        <f t="shared" ref="AI14:BN14" si="132">Losses</f>
        <v>8.8999999999999996E-2</v>
      </c>
      <c r="AJ14" s="16">
        <f t="shared" si="132"/>
        <v>8.8999999999999996E-2</v>
      </c>
      <c r="AK14" s="16">
        <f t="shared" si="132"/>
        <v>8.8999999999999996E-2</v>
      </c>
      <c r="AL14" s="16">
        <f t="shared" si="132"/>
        <v>8.8999999999999996E-2</v>
      </c>
      <c r="AM14" s="16">
        <f t="shared" si="132"/>
        <v>8.8999999999999996E-2</v>
      </c>
      <c r="AN14" s="16">
        <f t="shared" si="132"/>
        <v>8.8999999999999996E-2</v>
      </c>
      <c r="AO14" s="16">
        <f t="shared" si="132"/>
        <v>8.8999999999999996E-2</v>
      </c>
      <c r="AP14" s="16">
        <f t="shared" si="132"/>
        <v>8.8999999999999996E-2</v>
      </c>
      <c r="AQ14" s="16">
        <f t="shared" si="132"/>
        <v>8.8999999999999996E-2</v>
      </c>
      <c r="AR14" s="16">
        <f t="shared" si="132"/>
        <v>8.8999999999999996E-2</v>
      </c>
      <c r="AS14" s="16">
        <f t="shared" si="132"/>
        <v>8.8999999999999996E-2</v>
      </c>
      <c r="AT14" s="16">
        <f t="shared" si="132"/>
        <v>8.8999999999999996E-2</v>
      </c>
      <c r="AU14" s="16">
        <f t="shared" si="132"/>
        <v>8.8999999999999996E-2</v>
      </c>
      <c r="AV14" s="16">
        <f t="shared" si="132"/>
        <v>8.8999999999999996E-2</v>
      </c>
      <c r="AW14" s="16">
        <f t="shared" si="132"/>
        <v>8.8999999999999996E-2</v>
      </c>
      <c r="AX14" s="16">
        <f t="shared" si="132"/>
        <v>8.8999999999999996E-2</v>
      </c>
      <c r="AY14" s="16">
        <f t="shared" si="132"/>
        <v>8.8999999999999996E-2</v>
      </c>
      <c r="AZ14" s="16">
        <f t="shared" si="132"/>
        <v>8.8999999999999996E-2</v>
      </c>
      <c r="BA14" s="16">
        <f t="shared" si="132"/>
        <v>8.8999999999999996E-2</v>
      </c>
      <c r="BB14" s="16">
        <f t="shared" si="132"/>
        <v>8.8999999999999996E-2</v>
      </c>
      <c r="BC14" s="16">
        <f t="shared" si="132"/>
        <v>8.8999999999999996E-2</v>
      </c>
      <c r="BD14" s="16">
        <f t="shared" si="132"/>
        <v>8.8999999999999996E-2</v>
      </c>
      <c r="BE14" s="16">
        <f t="shared" si="132"/>
        <v>8.8999999999999996E-2</v>
      </c>
      <c r="BF14" s="16">
        <f t="shared" si="132"/>
        <v>8.8999999999999996E-2</v>
      </c>
      <c r="BG14" s="16">
        <f t="shared" si="132"/>
        <v>8.8999999999999996E-2</v>
      </c>
      <c r="BH14" s="16">
        <f t="shared" si="132"/>
        <v>8.8999999999999996E-2</v>
      </c>
      <c r="BI14" s="16">
        <f t="shared" si="132"/>
        <v>8.8999999999999996E-2</v>
      </c>
      <c r="BJ14" s="16">
        <f t="shared" si="132"/>
        <v>8.8999999999999996E-2</v>
      </c>
      <c r="BK14" s="16">
        <f t="shared" si="132"/>
        <v>8.8999999999999996E-2</v>
      </c>
      <c r="BL14" s="16">
        <f t="shared" si="132"/>
        <v>8.8999999999999996E-2</v>
      </c>
      <c r="BM14" s="16">
        <f t="shared" si="132"/>
        <v>8.8999999999999996E-2</v>
      </c>
      <c r="BN14" s="16">
        <f t="shared" si="132"/>
        <v>8.8999999999999996E-2</v>
      </c>
      <c r="BO14" s="16">
        <f t="shared" ref="BO14:CT14" si="133">Losses</f>
        <v>8.8999999999999996E-2</v>
      </c>
      <c r="BP14" s="16">
        <f t="shared" si="133"/>
        <v>8.8999999999999996E-2</v>
      </c>
      <c r="BQ14" s="16">
        <f t="shared" si="133"/>
        <v>8.8999999999999996E-2</v>
      </c>
      <c r="BR14" s="16">
        <f t="shared" si="133"/>
        <v>8.8999999999999996E-2</v>
      </c>
      <c r="BS14" s="16">
        <f t="shared" si="133"/>
        <v>8.8999999999999996E-2</v>
      </c>
      <c r="BT14" s="16">
        <f t="shared" si="133"/>
        <v>8.8999999999999996E-2</v>
      </c>
      <c r="BU14" s="16">
        <f t="shared" si="133"/>
        <v>8.8999999999999996E-2</v>
      </c>
      <c r="BV14" s="16">
        <f t="shared" si="133"/>
        <v>8.8999999999999996E-2</v>
      </c>
      <c r="BW14" s="16">
        <f t="shared" si="133"/>
        <v>8.8999999999999996E-2</v>
      </c>
      <c r="BX14" s="16">
        <f t="shared" si="133"/>
        <v>8.8999999999999996E-2</v>
      </c>
      <c r="BY14" s="16">
        <f t="shared" si="133"/>
        <v>8.8999999999999996E-2</v>
      </c>
      <c r="BZ14" s="16">
        <f t="shared" si="133"/>
        <v>8.8999999999999996E-2</v>
      </c>
      <c r="CA14" s="16">
        <f t="shared" si="133"/>
        <v>8.8999999999999996E-2</v>
      </c>
      <c r="CB14" s="16">
        <f t="shared" si="133"/>
        <v>8.8999999999999996E-2</v>
      </c>
      <c r="CC14" s="16">
        <f t="shared" si="133"/>
        <v>8.8999999999999996E-2</v>
      </c>
      <c r="CD14" s="16">
        <f t="shared" si="133"/>
        <v>8.8999999999999996E-2</v>
      </c>
      <c r="CE14" s="16">
        <f t="shared" si="133"/>
        <v>8.8999999999999996E-2</v>
      </c>
      <c r="CF14" s="16">
        <f t="shared" si="133"/>
        <v>8.8999999999999996E-2</v>
      </c>
      <c r="CG14" s="16">
        <f t="shared" si="133"/>
        <v>8.8999999999999996E-2</v>
      </c>
      <c r="CH14" s="16">
        <f t="shared" si="133"/>
        <v>8.8999999999999996E-2</v>
      </c>
      <c r="CI14" s="16">
        <f t="shared" si="133"/>
        <v>8.8999999999999996E-2</v>
      </c>
      <c r="CJ14" s="16">
        <f t="shared" si="133"/>
        <v>8.8999999999999996E-2</v>
      </c>
      <c r="CK14" s="16">
        <f t="shared" si="133"/>
        <v>8.8999999999999996E-2</v>
      </c>
      <c r="CL14" s="16">
        <f t="shared" si="133"/>
        <v>8.8999999999999996E-2</v>
      </c>
      <c r="CM14" s="16">
        <f t="shared" si="133"/>
        <v>8.8999999999999996E-2</v>
      </c>
      <c r="CN14" s="16">
        <f t="shared" si="133"/>
        <v>8.8999999999999996E-2</v>
      </c>
      <c r="CO14" s="16">
        <f t="shared" si="133"/>
        <v>8.8999999999999996E-2</v>
      </c>
      <c r="CP14" s="16">
        <f t="shared" si="133"/>
        <v>8.8999999999999996E-2</v>
      </c>
      <c r="CQ14" s="16">
        <f t="shared" si="133"/>
        <v>8.8999999999999996E-2</v>
      </c>
      <c r="CR14" s="16">
        <f t="shared" si="133"/>
        <v>8.8999999999999996E-2</v>
      </c>
      <c r="CS14" s="16">
        <f t="shared" si="133"/>
        <v>8.8999999999999996E-2</v>
      </c>
      <c r="CT14" s="16">
        <f t="shared" si="133"/>
        <v>8.8999999999999996E-2</v>
      </c>
      <c r="CU14" s="16">
        <f t="shared" ref="CU14:DZ14" si="134">Losses</f>
        <v>8.8999999999999996E-2</v>
      </c>
      <c r="CV14" s="16">
        <f t="shared" si="134"/>
        <v>8.8999999999999996E-2</v>
      </c>
      <c r="CW14" s="16">
        <f t="shared" si="134"/>
        <v>8.8999999999999996E-2</v>
      </c>
      <c r="CX14" s="16">
        <f t="shared" si="134"/>
        <v>8.8999999999999996E-2</v>
      </c>
      <c r="CY14" s="16">
        <f t="shared" si="134"/>
        <v>8.8999999999999996E-2</v>
      </c>
      <c r="CZ14" s="16">
        <f t="shared" si="134"/>
        <v>8.8999999999999996E-2</v>
      </c>
      <c r="DA14" s="16">
        <f t="shared" si="134"/>
        <v>8.8999999999999996E-2</v>
      </c>
      <c r="DB14" s="16">
        <f t="shared" si="134"/>
        <v>8.8999999999999996E-2</v>
      </c>
      <c r="DC14" s="16">
        <f t="shared" si="134"/>
        <v>8.8999999999999996E-2</v>
      </c>
      <c r="DD14" s="16">
        <f t="shared" si="134"/>
        <v>8.8999999999999996E-2</v>
      </c>
      <c r="DE14" s="16">
        <f t="shared" si="134"/>
        <v>8.8999999999999996E-2</v>
      </c>
      <c r="DF14" s="16">
        <f t="shared" si="134"/>
        <v>8.8999999999999996E-2</v>
      </c>
      <c r="DG14" s="16">
        <f t="shared" si="134"/>
        <v>8.8999999999999996E-2</v>
      </c>
      <c r="DH14" s="16">
        <f t="shared" si="134"/>
        <v>8.8999999999999996E-2</v>
      </c>
      <c r="DI14" s="16">
        <f t="shared" si="134"/>
        <v>8.8999999999999996E-2</v>
      </c>
      <c r="DJ14" s="16">
        <f t="shared" si="134"/>
        <v>8.8999999999999996E-2</v>
      </c>
      <c r="DK14" s="16">
        <f t="shared" si="134"/>
        <v>8.8999999999999996E-2</v>
      </c>
      <c r="DL14" s="16">
        <f t="shared" si="134"/>
        <v>8.8999999999999996E-2</v>
      </c>
      <c r="DM14" s="16">
        <f t="shared" si="134"/>
        <v>8.8999999999999996E-2</v>
      </c>
      <c r="DN14" s="16">
        <f t="shared" si="134"/>
        <v>8.8999999999999996E-2</v>
      </c>
      <c r="DO14" s="16">
        <f t="shared" si="134"/>
        <v>8.8999999999999996E-2</v>
      </c>
      <c r="DP14" s="16">
        <f t="shared" si="134"/>
        <v>8.8999999999999996E-2</v>
      </c>
      <c r="DQ14" s="16">
        <f t="shared" si="134"/>
        <v>8.8999999999999996E-2</v>
      </c>
      <c r="DR14" s="16">
        <f t="shared" si="134"/>
        <v>8.8999999999999996E-2</v>
      </c>
      <c r="DS14" s="16">
        <f t="shared" si="134"/>
        <v>8.8999999999999996E-2</v>
      </c>
      <c r="DT14" s="16">
        <f t="shared" si="134"/>
        <v>8.8999999999999996E-2</v>
      </c>
      <c r="DU14" s="16">
        <f t="shared" si="134"/>
        <v>8.8999999999999996E-2</v>
      </c>
      <c r="DV14" s="16">
        <f t="shared" si="134"/>
        <v>8.8999999999999996E-2</v>
      </c>
      <c r="DW14" s="16">
        <f t="shared" si="134"/>
        <v>8.8999999999999996E-2</v>
      </c>
      <c r="DX14" s="16">
        <f t="shared" si="134"/>
        <v>8.8999999999999996E-2</v>
      </c>
      <c r="DY14" s="16">
        <f t="shared" si="134"/>
        <v>8.8999999999999996E-2</v>
      </c>
      <c r="DZ14" s="16">
        <f t="shared" si="134"/>
        <v>8.8999999999999996E-2</v>
      </c>
      <c r="EA14" s="16">
        <f t="shared" ref="EA14:GL14" si="135">Losses</f>
        <v>8.8999999999999996E-2</v>
      </c>
      <c r="EB14" s="16">
        <f t="shared" si="135"/>
        <v>8.8999999999999996E-2</v>
      </c>
      <c r="EC14" s="16">
        <f t="shared" si="135"/>
        <v>8.8999999999999996E-2</v>
      </c>
      <c r="ED14" s="16">
        <f t="shared" si="135"/>
        <v>8.8999999999999996E-2</v>
      </c>
      <c r="EE14" s="16">
        <f t="shared" si="135"/>
        <v>8.8999999999999996E-2</v>
      </c>
      <c r="EF14" s="16">
        <f t="shared" si="135"/>
        <v>8.8999999999999996E-2</v>
      </c>
      <c r="EG14" s="16">
        <f t="shared" si="135"/>
        <v>8.8999999999999996E-2</v>
      </c>
      <c r="EH14" s="16">
        <f t="shared" si="135"/>
        <v>8.8999999999999996E-2</v>
      </c>
      <c r="EI14" s="16">
        <f t="shared" si="135"/>
        <v>8.8999999999999996E-2</v>
      </c>
      <c r="EJ14" s="16">
        <f t="shared" si="135"/>
        <v>8.8999999999999996E-2</v>
      </c>
      <c r="EK14" s="16">
        <f t="shared" si="135"/>
        <v>8.8999999999999996E-2</v>
      </c>
      <c r="EL14" s="16">
        <f t="shared" si="135"/>
        <v>8.8999999999999996E-2</v>
      </c>
      <c r="EM14" s="16">
        <f t="shared" si="135"/>
        <v>8.8999999999999996E-2</v>
      </c>
      <c r="EN14" s="16">
        <f t="shared" si="135"/>
        <v>8.8999999999999996E-2</v>
      </c>
      <c r="EO14" s="16">
        <f t="shared" si="135"/>
        <v>8.8999999999999996E-2</v>
      </c>
      <c r="EP14" s="16">
        <f t="shared" si="135"/>
        <v>8.8999999999999996E-2</v>
      </c>
      <c r="EQ14" s="16">
        <f t="shared" si="135"/>
        <v>8.8999999999999996E-2</v>
      </c>
      <c r="ER14" s="16">
        <f t="shared" si="135"/>
        <v>8.8999999999999996E-2</v>
      </c>
      <c r="ES14" s="16">
        <f t="shared" si="135"/>
        <v>8.8999999999999996E-2</v>
      </c>
      <c r="ET14" s="16">
        <f t="shared" si="135"/>
        <v>8.8999999999999996E-2</v>
      </c>
      <c r="EU14" s="16">
        <f t="shared" si="135"/>
        <v>8.8999999999999996E-2</v>
      </c>
      <c r="EV14" s="16">
        <f t="shared" si="135"/>
        <v>8.8999999999999996E-2</v>
      </c>
      <c r="EW14" s="16">
        <f t="shared" si="135"/>
        <v>8.8999999999999996E-2</v>
      </c>
      <c r="EX14" s="16">
        <f t="shared" si="135"/>
        <v>8.8999999999999996E-2</v>
      </c>
      <c r="EY14" s="16">
        <f t="shared" si="135"/>
        <v>8.8999999999999996E-2</v>
      </c>
      <c r="EZ14" s="16">
        <f t="shared" si="135"/>
        <v>8.8999999999999996E-2</v>
      </c>
      <c r="FA14" s="16">
        <f t="shared" si="135"/>
        <v>8.8999999999999996E-2</v>
      </c>
      <c r="FB14" s="16">
        <f t="shared" si="135"/>
        <v>8.8999999999999996E-2</v>
      </c>
      <c r="FC14" s="16">
        <f t="shared" si="135"/>
        <v>8.8999999999999996E-2</v>
      </c>
      <c r="FD14" s="16">
        <f t="shared" si="135"/>
        <v>8.8999999999999996E-2</v>
      </c>
      <c r="FE14" s="16">
        <f t="shared" si="135"/>
        <v>8.8999999999999996E-2</v>
      </c>
      <c r="FF14" s="16">
        <f t="shared" si="135"/>
        <v>8.8999999999999996E-2</v>
      </c>
      <c r="FG14" s="16">
        <f t="shared" si="135"/>
        <v>8.8999999999999996E-2</v>
      </c>
      <c r="FH14" s="16">
        <f t="shared" si="135"/>
        <v>8.8999999999999996E-2</v>
      </c>
      <c r="FI14" s="16">
        <f t="shared" si="135"/>
        <v>8.8999999999999996E-2</v>
      </c>
      <c r="FJ14" s="16">
        <f t="shared" si="135"/>
        <v>8.8999999999999996E-2</v>
      </c>
      <c r="FK14" s="16">
        <f t="shared" si="135"/>
        <v>8.8999999999999996E-2</v>
      </c>
      <c r="FL14" s="16">
        <f t="shared" si="135"/>
        <v>8.8999999999999996E-2</v>
      </c>
      <c r="FM14" s="16">
        <f t="shared" si="135"/>
        <v>8.8999999999999996E-2</v>
      </c>
      <c r="FN14" s="16">
        <f t="shared" si="135"/>
        <v>8.8999999999999996E-2</v>
      </c>
      <c r="FO14" s="16">
        <f t="shared" si="135"/>
        <v>8.8999999999999996E-2</v>
      </c>
      <c r="FP14" s="16">
        <f t="shared" si="135"/>
        <v>8.8999999999999996E-2</v>
      </c>
      <c r="FQ14" s="16">
        <f t="shared" si="135"/>
        <v>8.8999999999999996E-2</v>
      </c>
      <c r="FR14" s="16">
        <f t="shared" si="135"/>
        <v>8.8999999999999996E-2</v>
      </c>
      <c r="FS14" s="16">
        <f t="shared" si="135"/>
        <v>8.8999999999999996E-2</v>
      </c>
      <c r="FT14" s="16">
        <f t="shared" si="135"/>
        <v>8.8999999999999996E-2</v>
      </c>
      <c r="FU14" s="16">
        <f t="shared" si="135"/>
        <v>8.8999999999999996E-2</v>
      </c>
      <c r="FV14" s="16">
        <f t="shared" si="135"/>
        <v>8.8999999999999996E-2</v>
      </c>
      <c r="FW14" s="16">
        <f t="shared" si="135"/>
        <v>8.8999999999999996E-2</v>
      </c>
      <c r="FX14" s="16">
        <f t="shared" si="135"/>
        <v>8.8999999999999996E-2</v>
      </c>
      <c r="FY14" s="16">
        <f t="shared" si="135"/>
        <v>8.8999999999999996E-2</v>
      </c>
      <c r="FZ14" s="16">
        <f t="shared" si="135"/>
        <v>8.8999999999999996E-2</v>
      </c>
      <c r="GA14" s="16">
        <f t="shared" si="135"/>
        <v>8.8999999999999996E-2</v>
      </c>
      <c r="GB14" s="16">
        <f t="shared" si="135"/>
        <v>8.8999999999999996E-2</v>
      </c>
      <c r="GC14" s="16">
        <f t="shared" si="135"/>
        <v>8.8999999999999996E-2</v>
      </c>
      <c r="GD14" s="16">
        <f t="shared" si="135"/>
        <v>8.8999999999999996E-2</v>
      </c>
      <c r="GE14" s="16">
        <f t="shared" si="135"/>
        <v>8.8999999999999996E-2</v>
      </c>
      <c r="GF14" s="16">
        <f t="shared" si="135"/>
        <v>8.8999999999999996E-2</v>
      </c>
      <c r="GG14" s="16">
        <f t="shared" si="135"/>
        <v>8.8999999999999996E-2</v>
      </c>
      <c r="GH14" s="16">
        <f t="shared" si="135"/>
        <v>8.8999999999999996E-2</v>
      </c>
      <c r="GI14" s="16">
        <f t="shared" si="135"/>
        <v>8.8999999999999996E-2</v>
      </c>
      <c r="GJ14" s="16">
        <f t="shared" si="135"/>
        <v>8.8999999999999996E-2</v>
      </c>
      <c r="GK14" s="16">
        <f t="shared" si="135"/>
        <v>8.8999999999999996E-2</v>
      </c>
      <c r="GL14" s="16">
        <f t="shared" si="135"/>
        <v>8.8999999999999996E-2</v>
      </c>
      <c r="GN14">
        <f t="shared" ref="GN14:GN25" si="136">GN13</f>
        <v>8</v>
      </c>
      <c r="GO14">
        <f t="shared" ref="GO14:GO25" si="137">GO13+1</f>
        <v>2023</v>
      </c>
      <c r="GP14" s="1">
        <f t="shared" ref="GP14:GP25" si="138">EOMONTH(GP13,11)+1</f>
        <v>45444</v>
      </c>
      <c r="GQ14" s="1">
        <f t="shared" ref="GQ14:GQ25" si="139">EOMONTH(GQ13,12)</f>
        <v>45808</v>
      </c>
      <c r="GR14">
        <f t="shared" si="125"/>
        <v>9</v>
      </c>
    </row>
    <row r="15" spans="1:200"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N15">
        <f t="shared" si="136"/>
        <v>8</v>
      </c>
      <c r="GO15">
        <f t="shared" si="137"/>
        <v>2024</v>
      </c>
      <c r="GP15" s="1">
        <f t="shared" si="138"/>
        <v>45809</v>
      </c>
      <c r="GQ15" s="1">
        <f t="shared" si="139"/>
        <v>46173</v>
      </c>
      <c r="GR15">
        <f t="shared" si="125"/>
        <v>9</v>
      </c>
    </row>
    <row r="16" spans="1:200">
      <c r="A16" t="s">
        <v>76</v>
      </c>
      <c r="C16">
        <f t="shared" ref="C16:AH16" si="140">ROUND((SUMIFS($GR:$GR,$GP:$GP,"&lt;="&amp;DATEVALUE(C$5&amp;"/1/"&amp;C$6),$GQ:$GQ,"&gt;="&amp;C$5&amp;"/1/"&amp;C$6))*(1+Losses)*(1+Reserve_Margin)*FCMEffective*FCMForecast,3)</f>
        <v>0</v>
      </c>
      <c r="D16">
        <f t="shared" si="140"/>
        <v>0</v>
      </c>
      <c r="E16">
        <f t="shared" si="140"/>
        <v>0</v>
      </c>
      <c r="F16">
        <f t="shared" si="140"/>
        <v>0</v>
      </c>
      <c r="G16">
        <f t="shared" si="140"/>
        <v>0</v>
      </c>
      <c r="H16">
        <f t="shared" si="140"/>
        <v>0</v>
      </c>
      <c r="I16">
        <f t="shared" si="140"/>
        <v>0</v>
      </c>
      <c r="J16">
        <f t="shared" si="140"/>
        <v>0</v>
      </c>
      <c r="K16">
        <f t="shared" si="140"/>
        <v>0</v>
      </c>
      <c r="L16">
        <f t="shared" si="140"/>
        <v>0</v>
      </c>
      <c r="M16">
        <f t="shared" si="140"/>
        <v>0</v>
      </c>
      <c r="N16">
        <f t="shared" si="140"/>
        <v>0</v>
      </c>
      <c r="O16">
        <f t="shared" si="140"/>
        <v>0</v>
      </c>
      <c r="P16">
        <f t="shared" si="140"/>
        <v>0</v>
      </c>
      <c r="Q16">
        <f t="shared" si="140"/>
        <v>0</v>
      </c>
      <c r="R16">
        <f t="shared" si="140"/>
        <v>0</v>
      </c>
      <c r="S16">
        <f t="shared" si="140"/>
        <v>0</v>
      </c>
      <c r="T16">
        <f t="shared" si="140"/>
        <v>10.193</v>
      </c>
      <c r="U16">
        <f t="shared" si="140"/>
        <v>10.193</v>
      </c>
      <c r="V16">
        <f t="shared" si="140"/>
        <v>10.193</v>
      </c>
      <c r="W16">
        <f t="shared" si="140"/>
        <v>10.193</v>
      </c>
      <c r="X16">
        <f t="shared" si="140"/>
        <v>10.193</v>
      </c>
      <c r="Y16">
        <f t="shared" si="140"/>
        <v>10.193</v>
      </c>
      <c r="Z16">
        <f t="shared" si="140"/>
        <v>10.193</v>
      </c>
      <c r="AA16">
        <f t="shared" si="140"/>
        <v>10.193</v>
      </c>
      <c r="AB16">
        <f t="shared" si="140"/>
        <v>10.193</v>
      </c>
      <c r="AC16">
        <f t="shared" si="140"/>
        <v>10.193</v>
      </c>
      <c r="AD16">
        <f t="shared" si="140"/>
        <v>10.193</v>
      </c>
      <c r="AE16">
        <f t="shared" si="140"/>
        <v>10.193</v>
      </c>
      <c r="AF16">
        <f t="shared" si="140"/>
        <v>10.193</v>
      </c>
      <c r="AG16">
        <f t="shared" si="140"/>
        <v>10.193</v>
      </c>
      <c r="AH16">
        <f t="shared" si="140"/>
        <v>10.193</v>
      </c>
      <c r="AI16">
        <f t="shared" ref="AI16:BN16" si="141">ROUND((SUMIFS($GR:$GR,$GP:$GP,"&lt;="&amp;DATEVALUE(AI$5&amp;"/1/"&amp;AI$6),$GQ:$GQ,"&gt;="&amp;AI$5&amp;"/1/"&amp;AI$6))*(1+Losses)*(1+Reserve_Margin)*FCMEffective*FCMForecast,3)</f>
        <v>10.193</v>
      </c>
      <c r="AJ16">
        <f t="shared" si="141"/>
        <v>10.193</v>
      </c>
      <c r="AK16">
        <f t="shared" si="141"/>
        <v>10.193</v>
      </c>
      <c r="AL16">
        <f t="shared" si="141"/>
        <v>10.193</v>
      </c>
      <c r="AM16">
        <f t="shared" si="141"/>
        <v>10.193</v>
      </c>
      <c r="AN16">
        <f t="shared" si="141"/>
        <v>10.193</v>
      </c>
      <c r="AO16">
        <f t="shared" si="141"/>
        <v>10.193</v>
      </c>
      <c r="AP16">
        <f t="shared" si="141"/>
        <v>10.193</v>
      </c>
      <c r="AQ16">
        <f t="shared" si="141"/>
        <v>10.193</v>
      </c>
      <c r="AR16">
        <f t="shared" si="141"/>
        <v>10.193</v>
      </c>
      <c r="AS16">
        <f t="shared" si="141"/>
        <v>10.193</v>
      </c>
      <c r="AT16">
        <f t="shared" si="141"/>
        <v>10.193</v>
      </c>
      <c r="AU16">
        <f t="shared" si="141"/>
        <v>10.193</v>
      </c>
      <c r="AV16">
        <f t="shared" si="141"/>
        <v>10.193</v>
      </c>
      <c r="AW16">
        <f t="shared" si="141"/>
        <v>10.193</v>
      </c>
      <c r="AX16">
        <f t="shared" si="141"/>
        <v>10.193</v>
      </c>
      <c r="AY16">
        <f t="shared" si="141"/>
        <v>10.193</v>
      </c>
      <c r="AZ16">
        <f t="shared" si="141"/>
        <v>10.193</v>
      </c>
      <c r="BA16">
        <f t="shared" si="141"/>
        <v>10.193</v>
      </c>
      <c r="BB16">
        <f t="shared" si="141"/>
        <v>10.193</v>
      </c>
      <c r="BC16">
        <f t="shared" si="141"/>
        <v>10.193</v>
      </c>
      <c r="BD16">
        <f t="shared" si="141"/>
        <v>10.193</v>
      </c>
      <c r="BE16">
        <f t="shared" si="141"/>
        <v>10.193</v>
      </c>
      <c r="BF16">
        <f t="shared" si="141"/>
        <v>10.193</v>
      </c>
      <c r="BG16">
        <f t="shared" si="141"/>
        <v>10.193</v>
      </c>
      <c r="BH16">
        <f t="shared" si="141"/>
        <v>10.193</v>
      </c>
      <c r="BI16">
        <f t="shared" si="141"/>
        <v>10.193</v>
      </c>
      <c r="BJ16">
        <f t="shared" si="141"/>
        <v>10.193</v>
      </c>
      <c r="BK16">
        <f t="shared" si="141"/>
        <v>10.193</v>
      </c>
      <c r="BL16">
        <f t="shared" si="141"/>
        <v>10.193</v>
      </c>
      <c r="BM16">
        <f t="shared" si="141"/>
        <v>10.193</v>
      </c>
      <c r="BN16">
        <f t="shared" si="141"/>
        <v>10.193</v>
      </c>
      <c r="BO16">
        <f t="shared" ref="BO16:CT16" si="142">ROUND((SUMIFS($GR:$GR,$GP:$GP,"&lt;="&amp;DATEVALUE(BO$5&amp;"/1/"&amp;BO$6),$GQ:$GQ,"&gt;="&amp;BO$5&amp;"/1/"&amp;BO$6))*(1+Losses)*(1+Reserve_Margin)*FCMEffective*FCMForecast,3)</f>
        <v>10.193</v>
      </c>
      <c r="BP16">
        <f t="shared" si="142"/>
        <v>10.193</v>
      </c>
      <c r="BQ16">
        <f t="shared" si="142"/>
        <v>10.193</v>
      </c>
      <c r="BR16">
        <f t="shared" si="142"/>
        <v>10.193</v>
      </c>
      <c r="BS16">
        <f t="shared" si="142"/>
        <v>10.193</v>
      </c>
      <c r="BT16">
        <f t="shared" si="142"/>
        <v>10.193</v>
      </c>
      <c r="BU16">
        <f t="shared" si="142"/>
        <v>10.193</v>
      </c>
      <c r="BV16">
        <f t="shared" si="142"/>
        <v>10.193</v>
      </c>
      <c r="BW16">
        <f t="shared" si="142"/>
        <v>10.193</v>
      </c>
      <c r="BX16">
        <f t="shared" si="142"/>
        <v>10.193</v>
      </c>
      <c r="BY16">
        <f t="shared" si="142"/>
        <v>10.193</v>
      </c>
      <c r="BZ16">
        <f t="shared" si="142"/>
        <v>10.193</v>
      </c>
      <c r="CA16">
        <f t="shared" si="142"/>
        <v>10.193</v>
      </c>
      <c r="CB16">
        <f t="shared" si="142"/>
        <v>10.193</v>
      </c>
      <c r="CC16">
        <f t="shared" si="142"/>
        <v>10.193</v>
      </c>
      <c r="CD16">
        <f t="shared" si="142"/>
        <v>10.193</v>
      </c>
      <c r="CE16">
        <f t="shared" si="142"/>
        <v>10.193</v>
      </c>
      <c r="CF16">
        <f t="shared" si="142"/>
        <v>10.193</v>
      </c>
      <c r="CG16">
        <f t="shared" si="142"/>
        <v>10.193</v>
      </c>
      <c r="CH16">
        <f t="shared" si="142"/>
        <v>10.193</v>
      </c>
      <c r="CI16">
        <f t="shared" si="142"/>
        <v>10.193</v>
      </c>
      <c r="CJ16">
        <f t="shared" si="142"/>
        <v>10.193</v>
      </c>
      <c r="CK16">
        <f t="shared" si="142"/>
        <v>10.193</v>
      </c>
      <c r="CL16">
        <f t="shared" si="142"/>
        <v>10.193</v>
      </c>
      <c r="CM16">
        <f t="shared" si="142"/>
        <v>10.193</v>
      </c>
      <c r="CN16">
        <f t="shared" si="142"/>
        <v>10.193</v>
      </c>
      <c r="CO16">
        <f t="shared" si="142"/>
        <v>10.193</v>
      </c>
      <c r="CP16">
        <f t="shared" si="142"/>
        <v>10.193</v>
      </c>
      <c r="CQ16">
        <f t="shared" si="142"/>
        <v>10.193</v>
      </c>
      <c r="CR16">
        <f t="shared" si="142"/>
        <v>10.193</v>
      </c>
      <c r="CS16">
        <f t="shared" si="142"/>
        <v>10.193</v>
      </c>
      <c r="CT16">
        <f t="shared" si="142"/>
        <v>10.193</v>
      </c>
      <c r="CU16">
        <f t="shared" ref="CU16:DZ16" si="143">ROUND((SUMIFS($GR:$GR,$GP:$GP,"&lt;="&amp;DATEVALUE(CU$5&amp;"/1/"&amp;CU$6),$GQ:$GQ,"&gt;="&amp;CU$5&amp;"/1/"&amp;CU$6))*(1+Losses)*(1+Reserve_Margin)*FCMEffective*FCMForecast,3)</f>
        <v>10.193</v>
      </c>
      <c r="CV16">
        <f t="shared" si="143"/>
        <v>10.193</v>
      </c>
      <c r="CW16">
        <f t="shared" si="143"/>
        <v>10.193</v>
      </c>
      <c r="CX16">
        <f t="shared" si="143"/>
        <v>10.193</v>
      </c>
      <c r="CY16">
        <f t="shared" si="143"/>
        <v>10.193</v>
      </c>
      <c r="CZ16">
        <f t="shared" si="143"/>
        <v>10.193</v>
      </c>
      <c r="DA16">
        <f t="shared" si="143"/>
        <v>10.193</v>
      </c>
      <c r="DB16">
        <f t="shared" si="143"/>
        <v>10.193</v>
      </c>
      <c r="DC16">
        <f t="shared" si="143"/>
        <v>10.193</v>
      </c>
      <c r="DD16">
        <f t="shared" si="143"/>
        <v>10.193</v>
      </c>
      <c r="DE16">
        <f t="shared" si="143"/>
        <v>10.193</v>
      </c>
      <c r="DF16">
        <f t="shared" si="143"/>
        <v>10.193</v>
      </c>
      <c r="DG16">
        <f t="shared" si="143"/>
        <v>10.193</v>
      </c>
      <c r="DH16">
        <f t="shared" si="143"/>
        <v>10.193</v>
      </c>
      <c r="DI16">
        <f t="shared" si="143"/>
        <v>10.193</v>
      </c>
      <c r="DJ16">
        <f t="shared" si="143"/>
        <v>10.193</v>
      </c>
      <c r="DK16">
        <f t="shared" si="143"/>
        <v>10.193</v>
      </c>
      <c r="DL16">
        <f t="shared" si="143"/>
        <v>10.193</v>
      </c>
      <c r="DM16">
        <f t="shared" si="143"/>
        <v>10.193</v>
      </c>
      <c r="DN16">
        <f t="shared" si="143"/>
        <v>10.193</v>
      </c>
      <c r="DO16">
        <f t="shared" si="143"/>
        <v>10.193</v>
      </c>
      <c r="DP16">
        <f t="shared" si="143"/>
        <v>10.193</v>
      </c>
      <c r="DQ16">
        <f t="shared" si="143"/>
        <v>10.193</v>
      </c>
      <c r="DR16">
        <f t="shared" si="143"/>
        <v>10.193</v>
      </c>
      <c r="DS16">
        <f t="shared" si="143"/>
        <v>10.193</v>
      </c>
      <c r="DT16">
        <f t="shared" si="143"/>
        <v>10.193</v>
      </c>
      <c r="DU16">
        <f t="shared" si="143"/>
        <v>10.193</v>
      </c>
      <c r="DV16">
        <f t="shared" si="143"/>
        <v>10.193</v>
      </c>
      <c r="DW16">
        <f t="shared" si="143"/>
        <v>10.193</v>
      </c>
      <c r="DX16">
        <f t="shared" si="143"/>
        <v>10.193</v>
      </c>
      <c r="DY16">
        <f t="shared" si="143"/>
        <v>10.193</v>
      </c>
      <c r="DZ16">
        <f t="shared" si="143"/>
        <v>10.193</v>
      </c>
      <c r="EA16">
        <f t="shared" ref="EA16:FF16" si="144">ROUND((SUMIFS($GR:$GR,$GP:$GP,"&lt;="&amp;DATEVALUE(EA$5&amp;"/1/"&amp;EA$6),$GQ:$GQ,"&gt;="&amp;EA$5&amp;"/1/"&amp;EA$6))*(1+Losses)*(1+Reserve_Margin)*FCMEffective*FCMForecast,3)</f>
        <v>10.193</v>
      </c>
      <c r="EB16">
        <f t="shared" si="144"/>
        <v>10.193</v>
      </c>
      <c r="EC16">
        <f t="shared" si="144"/>
        <v>10.193</v>
      </c>
      <c r="ED16">
        <f t="shared" si="144"/>
        <v>10.193</v>
      </c>
      <c r="EE16">
        <f t="shared" si="144"/>
        <v>10.193</v>
      </c>
      <c r="EF16">
        <f t="shared" si="144"/>
        <v>10.193</v>
      </c>
      <c r="EG16">
        <f t="shared" si="144"/>
        <v>10.193</v>
      </c>
      <c r="EH16">
        <f t="shared" si="144"/>
        <v>10.193</v>
      </c>
      <c r="EI16">
        <f t="shared" si="144"/>
        <v>10.193</v>
      </c>
      <c r="EJ16">
        <f t="shared" si="144"/>
        <v>9.6829999999999998</v>
      </c>
      <c r="EK16">
        <f t="shared" si="144"/>
        <v>9.6829999999999998</v>
      </c>
      <c r="EL16">
        <f t="shared" si="144"/>
        <v>9.6829999999999998</v>
      </c>
      <c r="EM16">
        <f t="shared" si="144"/>
        <v>9.6829999999999998</v>
      </c>
      <c r="EN16">
        <f t="shared" si="144"/>
        <v>9.6829999999999998</v>
      </c>
      <c r="EO16">
        <f t="shared" si="144"/>
        <v>9.6829999999999998</v>
      </c>
      <c r="EP16">
        <f t="shared" si="144"/>
        <v>9.6829999999999998</v>
      </c>
      <c r="EQ16">
        <f t="shared" si="144"/>
        <v>9.6829999999999998</v>
      </c>
      <c r="ER16">
        <f t="shared" si="144"/>
        <v>9.6829999999999998</v>
      </c>
      <c r="ES16">
        <f t="shared" si="144"/>
        <v>9.6829999999999998</v>
      </c>
      <c r="ET16">
        <f t="shared" si="144"/>
        <v>9.6829999999999998</v>
      </c>
      <c r="EU16">
        <f t="shared" si="144"/>
        <v>9.6829999999999998</v>
      </c>
      <c r="EV16">
        <f t="shared" si="144"/>
        <v>8.4090000000000007</v>
      </c>
      <c r="EW16">
        <f t="shared" si="144"/>
        <v>8.4090000000000007</v>
      </c>
      <c r="EX16">
        <f t="shared" si="144"/>
        <v>8.4090000000000007</v>
      </c>
      <c r="EY16">
        <f t="shared" si="144"/>
        <v>8.4090000000000007</v>
      </c>
      <c r="EZ16">
        <f t="shared" si="144"/>
        <v>8.4090000000000007</v>
      </c>
      <c r="FA16">
        <f t="shared" si="144"/>
        <v>8.4090000000000007</v>
      </c>
      <c r="FB16">
        <f t="shared" si="144"/>
        <v>8.4090000000000007</v>
      </c>
      <c r="FC16">
        <f t="shared" si="144"/>
        <v>8.4090000000000007</v>
      </c>
      <c r="FD16">
        <f t="shared" si="144"/>
        <v>8.4090000000000007</v>
      </c>
      <c r="FE16">
        <f t="shared" si="144"/>
        <v>8.4090000000000007</v>
      </c>
      <c r="FF16">
        <f t="shared" si="144"/>
        <v>8.4090000000000007</v>
      </c>
      <c r="FG16">
        <f t="shared" ref="FG16:GL16" si="145">ROUND((SUMIFS($GR:$GR,$GP:$GP,"&lt;="&amp;DATEVALUE(FG$5&amp;"/1/"&amp;FG$6),$GQ:$GQ,"&gt;="&amp;FG$5&amp;"/1/"&amp;FG$6))*(1+Losses)*(1+Reserve_Margin)*FCMEffective*FCMForecast,3)</f>
        <v>8.4090000000000007</v>
      </c>
      <c r="FH16">
        <f t="shared" si="145"/>
        <v>0</v>
      </c>
      <c r="FI16">
        <f t="shared" si="145"/>
        <v>0</v>
      </c>
      <c r="FJ16">
        <f t="shared" si="145"/>
        <v>0</v>
      </c>
      <c r="FK16">
        <f t="shared" si="145"/>
        <v>0</v>
      </c>
      <c r="FL16">
        <f t="shared" si="145"/>
        <v>0</v>
      </c>
      <c r="FM16">
        <f t="shared" si="145"/>
        <v>0</v>
      </c>
      <c r="FN16">
        <f t="shared" si="145"/>
        <v>0</v>
      </c>
      <c r="FO16">
        <f t="shared" si="145"/>
        <v>0</v>
      </c>
      <c r="FP16">
        <f t="shared" si="145"/>
        <v>0</v>
      </c>
      <c r="FQ16">
        <f t="shared" si="145"/>
        <v>0</v>
      </c>
      <c r="FR16">
        <f t="shared" si="145"/>
        <v>0</v>
      </c>
      <c r="FS16">
        <f t="shared" si="145"/>
        <v>0</v>
      </c>
      <c r="FT16">
        <f t="shared" si="145"/>
        <v>0</v>
      </c>
      <c r="FU16">
        <f t="shared" si="145"/>
        <v>0</v>
      </c>
      <c r="FV16">
        <f t="shared" si="145"/>
        <v>0</v>
      </c>
      <c r="FW16">
        <f t="shared" si="145"/>
        <v>0</v>
      </c>
      <c r="FX16">
        <f t="shared" si="145"/>
        <v>0</v>
      </c>
      <c r="FY16">
        <f t="shared" si="145"/>
        <v>0</v>
      </c>
      <c r="FZ16">
        <f t="shared" si="145"/>
        <v>0</v>
      </c>
      <c r="GA16">
        <f t="shared" si="145"/>
        <v>0</v>
      </c>
      <c r="GB16">
        <f t="shared" si="145"/>
        <v>0</v>
      </c>
      <c r="GC16">
        <f t="shared" si="145"/>
        <v>0</v>
      </c>
      <c r="GD16">
        <f t="shared" si="145"/>
        <v>0</v>
      </c>
      <c r="GE16">
        <f t="shared" si="145"/>
        <v>0</v>
      </c>
      <c r="GF16">
        <f t="shared" si="145"/>
        <v>0</v>
      </c>
      <c r="GG16">
        <f t="shared" si="145"/>
        <v>0</v>
      </c>
      <c r="GH16">
        <f t="shared" si="145"/>
        <v>0</v>
      </c>
      <c r="GI16">
        <f t="shared" si="145"/>
        <v>0</v>
      </c>
      <c r="GJ16">
        <f t="shared" si="145"/>
        <v>0</v>
      </c>
      <c r="GK16">
        <f t="shared" si="145"/>
        <v>0</v>
      </c>
      <c r="GL16">
        <f t="shared" si="145"/>
        <v>0</v>
      </c>
      <c r="GN16">
        <f t="shared" si="136"/>
        <v>8</v>
      </c>
      <c r="GO16">
        <f t="shared" si="137"/>
        <v>2025</v>
      </c>
      <c r="GP16" s="1">
        <f t="shared" si="138"/>
        <v>46174</v>
      </c>
      <c r="GQ16" s="1">
        <f t="shared" si="139"/>
        <v>46538</v>
      </c>
      <c r="GR16">
        <f t="shared" si="125"/>
        <v>9</v>
      </c>
    </row>
    <row r="17" spans="1:200">
      <c r="A17" t="s">
        <v>77</v>
      </c>
      <c r="C17">
        <f t="shared" ref="C17:AH17" si="146">ROUND(B11*(1+Losses)*RNSEffective*RNSForecast,3)</f>
        <v>0</v>
      </c>
      <c r="D17">
        <f t="shared" si="146"/>
        <v>6.7240000000000002</v>
      </c>
      <c r="E17">
        <f t="shared" si="146"/>
        <v>6.7240000000000002</v>
      </c>
      <c r="F17">
        <f t="shared" si="146"/>
        <v>6.7240000000000002</v>
      </c>
      <c r="G17">
        <f t="shared" si="146"/>
        <v>6.7240000000000002</v>
      </c>
      <c r="H17">
        <f t="shared" si="146"/>
        <v>6.7240000000000002</v>
      </c>
      <c r="I17">
        <f t="shared" si="146"/>
        <v>6.7240000000000002</v>
      </c>
      <c r="J17">
        <f t="shared" si="146"/>
        <v>6.7240000000000002</v>
      </c>
      <c r="K17">
        <f t="shared" si="146"/>
        <v>6.7240000000000002</v>
      </c>
      <c r="L17">
        <f t="shared" si="146"/>
        <v>6.7240000000000002</v>
      </c>
      <c r="M17">
        <f t="shared" si="146"/>
        <v>6.7240000000000002</v>
      </c>
      <c r="N17">
        <f t="shared" si="146"/>
        <v>6.7240000000000002</v>
      </c>
      <c r="O17">
        <f t="shared" si="146"/>
        <v>6.7240000000000002</v>
      </c>
      <c r="P17">
        <f t="shared" si="146"/>
        <v>6.7240000000000002</v>
      </c>
      <c r="Q17">
        <f t="shared" si="146"/>
        <v>6.7240000000000002</v>
      </c>
      <c r="R17">
        <f t="shared" si="146"/>
        <v>6.7240000000000002</v>
      </c>
      <c r="S17">
        <f t="shared" si="146"/>
        <v>6.7240000000000002</v>
      </c>
      <c r="T17">
        <f t="shared" si="146"/>
        <v>6.7240000000000002</v>
      </c>
      <c r="U17">
        <f t="shared" si="146"/>
        <v>6.7240000000000002</v>
      </c>
      <c r="V17">
        <f t="shared" si="146"/>
        <v>6.7240000000000002</v>
      </c>
      <c r="W17">
        <f t="shared" si="146"/>
        <v>6.7240000000000002</v>
      </c>
      <c r="X17">
        <f t="shared" si="146"/>
        <v>6.7240000000000002</v>
      </c>
      <c r="Y17">
        <f t="shared" si="146"/>
        <v>6.7240000000000002</v>
      </c>
      <c r="Z17">
        <f t="shared" si="146"/>
        <v>6.7240000000000002</v>
      </c>
      <c r="AA17">
        <f t="shared" si="146"/>
        <v>6.7240000000000002</v>
      </c>
      <c r="AB17">
        <f t="shared" si="146"/>
        <v>6.6559999999999997</v>
      </c>
      <c r="AC17">
        <f t="shared" si="146"/>
        <v>6.6559999999999997</v>
      </c>
      <c r="AD17">
        <f t="shared" si="146"/>
        <v>6.6559999999999997</v>
      </c>
      <c r="AE17">
        <f t="shared" si="146"/>
        <v>6.6559999999999997</v>
      </c>
      <c r="AF17">
        <f t="shared" si="146"/>
        <v>6.6559999999999997</v>
      </c>
      <c r="AG17">
        <f t="shared" si="146"/>
        <v>6.6559999999999997</v>
      </c>
      <c r="AH17">
        <f t="shared" si="146"/>
        <v>6.6559999999999997</v>
      </c>
      <c r="AI17">
        <f t="shared" ref="AI17:BN17" si="147">ROUND(AH11*(1+Losses)*RNSEffective*RNSForecast,3)</f>
        <v>6.6559999999999997</v>
      </c>
      <c r="AJ17">
        <f t="shared" si="147"/>
        <v>6.6559999999999997</v>
      </c>
      <c r="AK17">
        <f t="shared" si="147"/>
        <v>6.6559999999999997</v>
      </c>
      <c r="AL17">
        <f t="shared" si="147"/>
        <v>6.6559999999999997</v>
      </c>
      <c r="AM17">
        <f t="shared" si="147"/>
        <v>6.6559999999999997</v>
      </c>
      <c r="AN17">
        <f t="shared" si="147"/>
        <v>6.6559999999999997</v>
      </c>
      <c r="AO17">
        <f t="shared" si="147"/>
        <v>6.6559999999999997</v>
      </c>
      <c r="AP17">
        <f t="shared" si="147"/>
        <v>6.6559999999999997</v>
      </c>
      <c r="AQ17">
        <f t="shared" si="147"/>
        <v>6.6559999999999997</v>
      </c>
      <c r="AR17">
        <f t="shared" si="147"/>
        <v>6.6559999999999997</v>
      </c>
      <c r="AS17">
        <f t="shared" si="147"/>
        <v>6.6559999999999997</v>
      </c>
      <c r="AT17">
        <f t="shared" si="147"/>
        <v>6.6559999999999997</v>
      </c>
      <c r="AU17">
        <f t="shared" si="147"/>
        <v>6.6559999999999997</v>
      </c>
      <c r="AV17">
        <f t="shared" si="147"/>
        <v>6.6559999999999997</v>
      </c>
      <c r="AW17">
        <f t="shared" si="147"/>
        <v>6.6559999999999997</v>
      </c>
      <c r="AX17">
        <f t="shared" si="147"/>
        <v>6.6559999999999997</v>
      </c>
      <c r="AY17">
        <f t="shared" si="147"/>
        <v>6.6559999999999997</v>
      </c>
      <c r="AZ17">
        <f t="shared" si="147"/>
        <v>6.6559999999999997</v>
      </c>
      <c r="BA17">
        <f t="shared" si="147"/>
        <v>6.6559999999999997</v>
      </c>
      <c r="BB17">
        <f t="shared" si="147"/>
        <v>6.6559999999999997</v>
      </c>
      <c r="BC17">
        <f t="shared" si="147"/>
        <v>6.6559999999999997</v>
      </c>
      <c r="BD17">
        <f t="shared" si="147"/>
        <v>6.6559999999999997</v>
      </c>
      <c r="BE17">
        <f t="shared" si="147"/>
        <v>6.6559999999999997</v>
      </c>
      <c r="BF17">
        <f t="shared" si="147"/>
        <v>6.6559999999999997</v>
      </c>
      <c r="BG17">
        <f t="shared" si="147"/>
        <v>6.6559999999999997</v>
      </c>
      <c r="BH17">
        <f t="shared" si="147"/>
        <v>6.6559999999999997</v>
      </c>
      <c r="BI17">
        <f t="shared" si="147"/>
        <v>6.6559999999999997</v>
      </c>
      <c r="BJ17">
        <f t="shared" si="147"/>
        <v>6.6559999999999997</v>
      </c>
      <c r="BK17">
        <f t="shared" si="147"/>
        <v>6.6559999999999997</v>
      </c>
      <c r="BL17">
        <f t="shared" si="147"/>
        <v>6.6559999999999997</v>
      </c>
      <c r="BM17">
        <f t="shared" si="147"/>
        <v>6.6559999999999997</v>
      </c>
      <c r="BN17">
        <f t="shared" si="147"/>
        <v>6.6559999999999997</v>
      </c>
      <c r="BO17">
        <f t="shared" ref="BO17:CT17" si="148">ROUND(BN11*(1+Losses)*RNSEffective*RNSForecast,3)</f>
        <v>6.6559999999999997</v>
      </c>
      <c r="BP17">
        <f t="shared" si="148"/>
        <v>6.6559999999999997</v>
      </c>
      <c r="BQ17">
        <f t="shared" si="148"/>
        <v>6.6559999999999997</v>
      </c>
      <c r="BR17">
        <f t="shared" si="148"/>
        <v>6.6559999999999997</v>
      </c>
      <c r="BS17">
        <f t="shared" si="148"/>
        <v>6.6559999999999997</v>
      </c>
      <c r="BT17">
        <f t="shared" si="148"/>
        <v>6.6559999999999997</v>
      </c>
      <c r="BU17">
        <f t="shared" si="148"/>
        <v>6.6559999999999997</v>
      </c>
      <c r="BV17">
        <f t="shared" si="148"/>
        <v>6.6559999999999997</v>
      </c>
      <c r="BW17">
        <f t="shared" si="148"/>
        <v>6.6559999999999997</v>
      </c>
      <c r="BX17">
        <f t="shared" si="148"/>
        <v>6.5880000000000001</v>
      </c>
      <c r="BY17">
        <f t="shared" si="148"/>
        <v>6.5880000000000001</v>
      </c>
      <c r="BZ17">
        <f t="shared" si="148"/>
        <v>6.5880000000000001</v>
      </c>
      <c r="CA17">
        <f t="shared" si="148"/>
        <v>6.5880000000000001</v>
      </c>
      <c r="CB17">
        <f t="shared" si="148"/>
        <v>6.5880000000000001</v>
      </c>
      <c r="CC17">
        <f t="shared" si="148"/>
        <v>6.5880000000000001</v>
      </c>
      <c r="CD17">
        <f t="shared" si="148"/>
        <v>6.5880000000000001</v>
      </c>
      <c r="CE17">
        <f t="shared" si="148"/>
        <v>6.5880000000000001</v>
      </c>
      <c r="CF17">
        <f t="shared" si="148"/>
        <v>6.5880000000000001</v>
      </c>
      <c r="CG17">
        <f t="shared" si="148"/>
        <v>6.5880000000000001</v>
      </c>
      <c r="CH17">
        <f t="shared" si="148"/>
        <v>6.5880000000000001</v>
      </c>
      <c r="CI17">
        <f t="shared" si="148"/>
        <v>6.5880000000000001</v>
      </c>
      <c r="CJ17">
        <f t="shared" si="148"/>
        <v>6.5880000000000001</v>
      </c>
      <c r="CK17">
        <f t="shared" si="148"/>
        <v>6.5880000000000001</v>
      </c>
      <c r="CL17">
        <f t="shared" si="148"/>
        <v>6.5880000000000001</v>
      </c>
      <c r="CM17">
        <f t="shared" si="148"/>
        <v>6.5880000000000001</v>
      </c>
      <c r="CN17">
        <f t="shared" si="148"/>
        <v>6.5880000000000001</v>
      </c>
      <c r="CO17">
        <f t="shared" si="148"/>
        <v>6.5880000000000001</v>
      </c>
      <c r="CP17">
        <f t="shared" si="148"/>
        <v>6.5880000000000001</v>
      </c>
      <c r="CQ17">
        <f t="shared" si="148"/>
        <v>6.5880000000000001</v>
      </c>
      <c r="CR17">
        <f t="shared" si="148"/>
        <v>6.5880000000000001</v>
      </c>
      <c r="CS17">
        <f t="shared" si="148"/>
        <v>6.5880000000000001</v>
      </c>
      <c r="CT17">
        <f t="shared" si="148"/>
        <v>6.5880000000000001</v>
      </c>
      <c r="CU17">
        <f t="shared" ref="CU17:DZ17" si="149">ROUND(CT11*(1+Losses)*RNSEffective*RNSForecast,3)</f>
        <v>6.5880000000000001</v>
      </c>
      <c r="CV17">
        <f t="shared" si="149"/>
        <v>6.52</v>
      </c>
      <c r="CW17">
        <f t="shared" si="149"/>
        <v>6.52</v>
      </c>
      <c r="CX17">
        <f t="shared" si="149"/>
        <v>6.52</v>
      </c>
      <c r="CY17">
        <f t="shared" si="149"/>
        <v>6.52</v>
      </c>
      <c r="CZ17">
        <f t="shared" si="149"/>
        <v>6.52</v>
      </c>
      <c r="DA17">
        <f t="shared" si="149"/>
        <v>6.52</v>
      </c>
      <c r="DB17">
        <f t="shared" si="149"/>
        <v>6.52</v>
      </c>
      <c r="DC17">
        <f t="shared" si="149"/>
        <v>6.52</v>
      </c>
      <c r="DD17">
        <f t="shared" si="149"/>
        <v>6.52</v>
      </c>
      <c r="DE17">
        <f t="shared" si="149"/>
        <v>6.52</v>
      </c>
      <c r="DF17">
        <f t="shared" si="149"/>
        <v>6.52</v>
      </c>
      <c r="DG17">
        <f t="shared" si="149"/>
        <v>6.52</v>
      </c>
      <c r="DH17">
        <f t="shared" si="149"/>
        <v>6.52</v>
      </c>
      <c r="DI17">
        <f t="shared" si="149"/>
        <v>6.52</v>
      </c>
      <c r="DJ17">
        <f t="shared" si="149"/>
        <v>6.52</v>
      </c>
      <c r="DK17">
        <f t="shared" si="149"/>
        <v>6.52</v>
      </c>
      <c r="DL17">
        <f t="shared" si="149"/>
        <v>6.52</v>
      </c>
      <c r="DM17">
        <f t="shared" si="149"/>
        <v>6.52</v>
      </c>
      <c r="DN17">
        <f t="shared" si="149"/>
        <v>6.52</v>
      </c>
      <c r="DO17">
        <f t="shared" si="149"/>
        <v>6.52</v>
      </c>
      <c r="DP17">
        <f t="shared" si="149"/>
        <v>6.52</v>
      </c>
      <c r="DQ17">
        <f t="shared" si="149"/>
        <v>6.52</v>
      </c>
      <c r="DR17">
        <f t="shared" si="149"/>
        <v>6.52</v>
      </c>
      <c r="DS17">
        <f t="shared" si="149"/>
        <v>6.52</v>
      </c>
      <c r="DT17">
        <f t="shared" si="149"/>
        <v>6.13</v>
      </c>
      <c r="DU17">
        <f t="shared" si="149"/>
        <v>6.13</v>
      </c>
      <c r="DV17">
        <f t="shared" si="149"/>
        <v>6.13</v>
      </c>
      <c r="DW17">
        <f t="shared" si="149"/>
        <v>6.13</v>
      </c>
      <c r="DX17">
        <f t="shared" si="149"/>
        <v>6.13</v>
      </c>
      <c r="DY17">
        <f t="shared" si="149"/>
        <v>6.13</v>
      </c>
      <c r="DZ17">
        <f t="shared" si="149"/>
        <v>6.13</v>
      </c>
      <c r="EA17">
        <f t="shared" ref="EA17:EI17" si="150">ROUND(DZ11*(1+Losses)*RNSEffective*RNSForecast,3)</f>
        <v>6.13</v>
      </c>
      <c r="EB17">
        <f t="shared" si="150"/>
        <v>6.13</v>
      </c>
      <c r="EC17">
        <f t="shared" si="150"/>
        <v>6.13</v>
      </c>
      <c r="ED17">
        <f t="shared" si="150"/>
        <v>6.13</v>
      </c>
      <c r="EE17">
        <f t="shared" si="150"/>
        <v>6.13</v>
      </c>
      <c r="EF17">
        <f t="shared" si="150"/>
        <v>5.3230000000000004</v>
      </c>
      <c r="EG17">
        <f t="shared" si="150"/>
        <v>5.3230000000000004</v>
      </c>
      <c r="EH17">
        <f t="shared" si="150"/>
        <v>5.3230000000000004</v>
      </c>
      <c r="EI17">
        <f t="shared" si="150"/>
        <v>5.3230000000000004</v>
      </c>
      <c r="EJ17">
        <f t="shared" ref="EJ17" si="151">ROUND(EI11*(1+Losses)*RNSEffective*RNSForecast,3)</f>
        <v>5.3230000000000004</v>
      </c>
      <c r="EK17">
        <f t="shared" ref="EK17" si="152">ROUND(EJ11*(1+Losses)*RNSEffective*RNSForecast,3)</f>
        <v>5.3230000000000004</v>
      </c>
      <c r="EL17">
        <f t="shared" ref="EL17" si="153">ROUND(EK11*(1+Losses)*RNSEffective*RNSForecast,3)</f>
        <v>5.3230000000000004</v>
      </c>
      <c r="EM17">
        <f t="shared" ref="EM17" si="154">ROUND(EL11*(1+Losses)*RNSEffective*RNSForecast,3)</f>
        <v>5.3230000000000004</v>
      </c>
      <c r="EN17">
        <f t="shared" ref="EN17" si="155">ROUND(EM11*(1+Losses)*RNSEffective*RNSForecast,3)</f>
        <v>5.3230000000000004</v>
      </c>
      <c r="EO17">
        <f t="shared" ref="EO17" si="156">ROUND(EN11*(1+Losses)*RNSEffective*RNSForecast,3)</f>
        <v>5.3230000000000004</v>
      </c>
      <c r="EP17">
        <f t="shared" ref="EP17" si="157">ROUND(EO11*(1+Losses)*RNSEffective*RNSForecast,3)</f>
        <v>5.3230000000000004</v>
      </c>
      <c r="EQ17">
        <f t="shared" ref="EQ17" si="158">ROUND(EP11*(1+Losses)*RNSEffective*RNSForecast,3)</f>
        <v>5.3230000000000004</v>
      </c>
      <c r="ER17">
        <f t="shared" ref="ER17" si="159">ROUND(EQ11*(1+Losses)*RNSEffective*RNSForecast,3)</f>
        <v>4.194</v>
      </c>
      <c r="ES17">
        <f t="shared" ref="ES17" si="160">ROUND(ER11*(1+Losses)*RNSEffective*RNSForecast,3)</f>
        <v>4.194</v>
      </c>
      <c r="ET17">
        <f t="shared" ref="ET17" si="161">ROUND(ES11*(1+Losses)*RNSEffective*RNSForecast,3)</f>
        <v>4.194</v>
      </c>
      <c r="EU17">
        <f t="shared" ref="EU17" si="162">ROUND(ET11*(1+Losses)*RNSEffective*RNSForecast,3)</f>
        <v>4.194</v>
      </c>
      <c r="EV17">
        <f t="shared" ref="EV17" si="163">ROUND(EU11*(1+Losses)*RNSEffective*RNSForecast,3)</f>
        <v>4.194</v>
      </c>
      <c r="EW17">
        <f t="shared" ref="EW17" si="164">ROUND(EV11*(1+Losses)*RNSEffective*RNSForecast,3)</f>
        <v>4.194</v>
      </c>
      <c r="EX17">
        <f t="shared" ref="EX17" si="165">ROUND(EW11*(1+Losses)*RNSEffective*RNSForecast,3)</f>
        <v>4.194</v>
      </c>
      <c r="EY17">
        <f t="shared" ref="EY17" si="166">ROUND(EX11*(1+Losses)*RNSEffective*RNSForecast,3)</f>
        <v>4.194</v>
      </c>
      <c r="EZ17">
        <f t="shared" ref="EZ17" si="167">ROUND(EY11*(1+Losses)*RNSEffective*RNSForecast,3)</f>
        <v>4.194</v>
      </c>
      <c r="FA17">
        <f t="shared" ref="FA17" si="168">ROUND(EZ11*(1+Losses)*RNSEffective*RNSForecast,3)</f>
        <v>4.194</v>
      </c>
      <c r="FB17">
        <f t="shared" ref="FB17" si="169">ROUND(FA11*(1+Losses)*RNSEffective*RNSForecast,3)</f>
        <v>4.194</v>
      </c>
      <c r="FC17">
        <f t="shared" ref="FC17" si="170">ROUND(FB11*(1+Losses)*RNSEffective*RNSForecast,3)</f>
        <v>4.194</v>
      </c>
      <c r="FD17">
        <f t="shared" ref="FD17" si="171">ROUND(FC11*(1+Losses)*RNSEffective*RNSForecast,3)</f>
        <v>2.714</v>
      </c>
      <c r="FE17">
        <f t="shared" ref="FE17" si="172">ROUND(FD11*(1+Losses)*RNSEffective*RNSForecast,3)</f>
        <v>2.714</v>
      </c>
      <c r="FF17">
        <f t="shared" ref="FF17" si="173">ROUND(FE11*(1+Losses)*RNSEffective*RNSForecast,3)</f>
        <v>2.714</v>
      </c>
      <c r="FG17">
        <f t="shared" ref="FG17" si="174">ROUND(FF11*(1+Losses)*RNSEffective*RNSForecast,3)</f>
        <v>2.714</v>
      </c>
      <c r="FH17">
        <f t="shared" ref="FH17" si="175">ROUND(FG11*(1+Losses)*RNSEffective*RNSForecast,3)</f>
        <v>2.714</v>
      </c>
      <c r="FI17">
        <f t="shared" ref="FI17" si="176">ROUND(FH11*(1+Losses)*RNSEffective*RNSForecast,3)</f>
        <v>2.714</v>
      </c>
      <c r="FJ17">
        <f t="shared" ref="FJ17" si="177">ROUND(FI11*(1+Losses)*RNSEffective*RNSForecast,3)</f>
        <v>2.714</v>
      </c>
      <c r="FK17">
        <f t="shared" ref="FK17" si="178">ROUND(FJ11*(1+Losses)*RNSEffective*RNSForecast,3)</f>
        <v>2.714</v>
      </c>
      <c r="FL17">
        <f t="shared" ref="FL17" si="179">ROUND(FK11*(1+Losses)*RNSEffective*RNSForecast,3)</f>
        <v>2.714</v>
      </c>
      <c r="FM17">
        <f t="shared" ref="FM17" si="180">ROUND(FL11*(1+Losses)*RNSEffective*RNSForecast,3)</f>
        <v>2.714</v>
      </c>
      <c r="FN17">
        <f t="shared" ref="FN17" si="181">ROUND(FM11*(1+Losses)*RNSEffective*RNSForecast,3)</f>
        <v>2.714</v>
      </c>
      <c r="FO17">
        <f t="shared" ref="FO17" si="182">ROUND(FN11*(1+Losses)*RNSEffective*RNSForecast,3)</f>
        <v>2.714</v>
      </c>
      <c r="FP17">
        <f t="shared" ref="FP17" si="183">ROUND(FO11*(1+Losses)*RNSEffective*RNSForecast,3)</f>
        <v>0.94799999999999995</v>
      </c>
      <c r="FQ17">
        <f t="shared" ref="FQ17" si="184">ROUND(FP11*(1+Losses)*RNSEffective*RNSForecast,3)</f>
        <v>0.94799999999999995</v>
      </c>
      <c r="FR17">
        <f t="shared" ref="FR17" si="185">ROUND(FQ11*(1+Losses)*RNSEffective*RNSForecast,3)</f>
        <v>0.94799999999999995</v>
      </c>
      <c r="FS17">
        <f t="shared" ref="FS17" si="186">ROUND(FR11*(1+Losses)*RNSEffective*RNSForecast,3)</f>
        <v>0.94799999999999995</v>
      </c>
      <c r="FT17">
        <f t="shared" ref="FT17" si="187">ROUND(FS11*(1+Losses)*RNSEffective*RNSForecast,3)</f>
        <v>0.94799999999999995</v>
      </c>
      <c r="FU17">
        <f t="shared" ref="FU17" si="188">ROUND(FT11*(1+Losses)*RNSEffective*RNSForecast,3)</f>
        <v>0.94799999999999995</v>
      </c>
      <c r="FV17">
        <f t="shared" ref="FV17" si="189">ROUND(FU11*(1+Losses)*RNSEffective*RNSForecast,3)</f>
        <v>0.94799999999999995</v>
      </c>
      <c r="FW17">
        <f t="shared" ref="FW17" si="190">ROUND(FV11*(1+Losses)*RNSEffective*RNSForecast,3)</f>
        <v>0.94799999999999995</v>
      </c>
      <c r="FX17">
        <f t="shared" ref="FX17" si="191">ROUND(FW11*(1+Losses)*RNSEffective*RNSForecast,3)</f>
        <v>0.94799999999999995</v>
      </c>
      <c r="FY17">
        <f t="shared" ref="FY17" si="192">ROUND(FX11*(1+Losses)*RNSEffective*RNSForecast,3)</f>
        <v>0.94799999999999995</v>
      </c>
      <c r="FZ17">
        <f t="shared" ref="FZ17:GA17" si="193">ROUND(FY11*(1+Losses)*RNSEffective*RNSForecast,3)</f>
        <v>0.94799999999999995</v>
      </c>
      <c r="GA17">
        <f t="shared" si="193"/>
        <v>0.94799999999999995</v>
      </c>
      <c r="GB17">
        <f t="shared" ref="GB17" si="194">ROUND(GA11*(1+Losses)*RNSEffective*RNSForecast,3)</f>
        <v>0.94799999999999995</v>
      </c>
      <c r="GC17">
        <f t="shared" ref="GC17" si="195">ROUND(GB11*(1+Losses)*RNSEffective*RNSForecast,3)</f>
        <v>0.94799999999999995</v>
      </c>
      <c r="GD17">
        <f t="shared" ref="GD17" si="196">ROUND(GC11*(1+Losses)*RNSEffective*RNSForecast,3)</f>
        <v>0.94799999999999995</v>
      </c>
      <c r="GE17">
        <f t="shared" ref="GE17" si="197">ROUND(GD11*(1+Losses)*RNSEffective*RNSForecast,3)</f>
        <v>0.94799999999999995</v>
      </c>
      <c r="GF17">
        <f t="shared" ref="GF17" si="198">ROUND(GE11*(1+Losses)*RNSEffective*RNSForecast,3)</f>
        <v>0.94799999999999995</v>
      </c>
      <c r="GG17">
        <f t="shared" ref="GG17" si="199">ROUND(GF11*(1+Losses)*RNSEffective*RNSForecast,3)</f>
        <v>0.94799999999999995</v>
      </c>
      <c r="GH17">
        <f t="shared" ref="GH17" si="200">ROUND(GG11*(1+Losses)*RNSEffective*RNSForecast,3)</f>
        <v>0.94799999999999995</v>
      </c>
      <c r="GI17">
        <f t="shared" ref="GI17" si="201">ROUND(GH11*(1+Losses)*RNSEffective*RNSForecast,3)</f>
        <v>0.94799999999999995</v>
      </c>
      <c r="GJ17">
        <f t="shared" ref="GJ17" si="202">ROUND(GI11*(1+Losses)*RNSEffective*RNSForecast,3)</f>
        <v>0.94799999999999995</v>
      </c>
      <c r="GK17">
        <f t="shared" ref="GK17:GL17" si="203">ROUND(GJ11*(1+Losses)*RNSEffective*RNSForecast,3)</f>
        <v>0.94799999999999995</v>
      </c>
      <c r="GL17">
        <f t="shared" si="203"/>
        <v>0.94799999999999995</v>
      </c>
      <c r="GN17">
        <f t="shared" si="136"/>
        <v>8</v>
      </c>
      <c r="GO17">
        <f t="shared" si="137"/>
        <v>2026</v>
      </c>
      <c r="GP17" s="1">
        <f t="shared" si="138"/>
        <v>46539</v>
      </c>
      <c r="GQ17" s="1">
        <f t="shared" si="139"/>
        <v>46904</v>
      </c>
      <c r="GR17">
        <f t="shared" si="125"/>
        <v>9</v>
      </c>
    </row>
    <row r="18" spans="1:200">
      <c r="GN18">
        <f t="shared" si="136"/>
        <v>8</v>
      </c>
      <c r="GO18">
        <f t="shared" si="137"/>
        <v>2027</v>
      </c>
      <c r="GP18" s="1">
        <f t="shared" si="138"/>
        <v>46905</v>
      </c>
      <c r="GQ18" s="1">
        <f t="shared" si="139"/>
        <v>47269</v>
      </c>
      <c r="GR18">
        <f t="shared" si="125"/>
        <v>9</v>
      </c>
    </row>
    <row r="19" spans="1:200">
      <c r="A19" t="s">
        <v>60</v>
      </c>
      <c r="C19" s="23">
        <f>SUMIF('Capacity Prices'!$H:$H,"="&amp;DATEVALUE('Monthly Capacity Value'!C$5&amp;"/1/"&amp;'Monthly Capacity Value'!C$6),'Capacity Prices'!$I:$I)</f>
        <v>12.25</v>
      </c>
      <c r="D19" s="23">
        <f>SUMIF('Capacity Prices'!$H:$H,"="&amp;DATEVALUE('Monthly Capacity Value'!D$5&amp;"/1/"&amp;'Monthly Capacity Value'!D$6),'Capacity Prices'!$I:$I)</f>
        <v>12.25</v>
      </c>
      <c r="E19" s="23">
        <f>SUMIF('Capacity Prices'!$H:$H,"="&amp;DATEVALUE('Monthly Capacity Value'!E$5&amp;"/1/"&amp;'Monthly Capacity Value'!E$6),'Capacity Prices'!$I:$I)</f>
        <v>12.25</v>
      </c>
      <c r="F19" s="23">
        <f>SUMIF('Capacity Prices'!$H:$H,"="&amp;DATEVALUE('Monthly Capacity Value'!F$5&amp;"/1/"&amp;'Monthly Capacity Value'!F$6),'Capacity Prices'!$I:$I)</f>
        <v>12.25</v>
      </c>
      <c r="G19" s="23">
        <f>SUMIF('Capacity Prices'!$H:$H,"="&amp;DATEVALUE('Monthly Capacity Value'!G$5&amp;"/1/"&amp;'Monthly Capacity Value'!G$6),'Capacity Prices'!$I:$I)</f>
        <v>12.25</v>
      </c>
      <c r="H19" s="23">
        <f>SUMIF('Capacity Prices'!$H:$H,"="&amp;DATEVALUE('Monthly Capacity Value'!H$5&amp;"/1/"&amp;'Monthly Capacity Value'!H$6),'Capacity Prices'!$I:$I)</f>
        <v>13</v>
      </c>
      <c r="I19" s="23">
        <f>SUMIF('Capacity Prices'!$H:$H,"="&amp;DATEVALUE('Monthly Capacity Value'!I$5&amp;"/1/"&amp;'Monthly Capacity Value'!I$6),'Capacity Prices'!$I:$I)</f>
        <v>13</v>
      </c>
      <c r="J19" s="23">
        <f>SUMIF('Capacity Prices'!$H:$H,"="&amp;DATEVALUE('Monthly Capacity Value'!J$5&amp;"/1/"&amp;'Monthly Capacity Value'!J$6),'Capacity Prices'!$I:$I)</f>
        <v>13</v>
      </c>
      <c r="K19" s="23">
        <f>SUMIF('Capacity Prices'!$H:$H,"="&amp;DATEVALUE('Monthly Capacity Value'!K$5&amp;"/1/"&amp;'Monthly Capacity Value'!K$6),'Capacity Prices'!$I:$I)</f>
        <v>13</v>
      </c>
      <c r="L19" s="23">
        <f>SUMIF('Capacity Prices'!$H:$H,"="&amp;DATEVALUE('Monthly Capacity Value'!L$5&amp;"/1/"&amp;'Monthly Capacity Value'!L$6),'Capacity Prices'!$I:$I)</f>
        <v>13</v>
      </c>
      <c r="M19" s="23">
        <f>SUMIF('Capacity Prices'!$H:$H,"="&amp;DATEVALUE('Monthly Capacity Value'!M$5&amp;"/1/"&amp;'Monthly Capacity Value'!M$6),'Capacity Prices'!$I:$I)</f>
        <v>13</v>
      </c>
      <c r="N19" s="23">
        <f>SUMIF('Capacity Prices'!$H:$H,"="&amp;DATEVALUE('Monthly Capacity Value'!N$5&amp;"/1/"&amp;'Monthly Capacity Value'!N$6),'Capacity Prices'!$I:$I)</f>
        <v>13</v>
      </c>
      <c r="O19" s="23">
        <f>SUMIF('Capacity Prices'!$H:$H,"="&amp;DATEVALUE('Monthly Capacity Value'!O$5&amp;"/1/"&amp;'Monthly Capacity Value'!O$6),'Capacity Prices'!$I:$I)</f>
        <v>13</v>
      </c>
      <c r="P19" s="23">
        <f>SUMIF('Capacity Prices'!$H:$H,"="&amp;DATEVALUE('Monthly Capacity Value'!P$5&amp;"/1/"&amp;'Monthly Capacity Value'!P$6),'Capacity Prices'!$I:$I)</f>
        <v>13</v>
      </c>
      <c r="Q19" s="23">
        <f>SUMIF('Capacity Prices'!$H:$H,"="&amp;DATEVALUE('Monthly Capacity Value'!Q$5&amp;"/1/"&amp;'Monthly Capacity Value'!Q$6),'Capacity Prices'!$I:$I)</f>
        <v>13</v>
      </c>
      <c r="R19" s="23">
        <f>SUMIF('Capacity Prices'!$H:$H,"="&amp;DATEVALUE('Monthly Capacity Value'!R$5&amp;"/1/"&amp;'Monthly Capacity Value'!R$6),'Capacity Prices'!$I:$I)</f>
        <v>13</v>
      </c>
      <c r="S19" s="23">
        <f>SUMIF('Capacity Prices'!$H:$H,"="&amp;DATEVALUE('Monthly Capacity Value'!S$5&amp;"/1/"&amp;'Monthly Capacity Value'!S$6),'Capacity Prices'!$I:$I)</f>
        <v>13</v>
      </c>
      <c r="T19" s="23">
        <f>SUMIF('Capacity Prices'!$H:$H,"="&amp;DATEVALUE('Monthly Capacity Value'!T$5&amp;"/1/"&amp;'Monthly Capacity Value'!T$6),'Capacity Prices'!$I:$I)</f>
        <v>13.916666666666666</v>
      </c>
      <c r="U19" s="23">
        <f>SUMIF('Capacity Prices'!$H:$H,"="&amp;DATEVALUE('Monthly Capacity Value'!U$5&amp;"/1/"&amp;'Monthly Capacity Value'!U$6),'Capacity Prices'!$I:$I)</f>
        <v>13.916666666666666</v>
      </c>
      <c r="V19" s="23">
        <f>SUMIF('Capacity Prices'!$H:$H,"="&amp;DATEVALUE('Monthly Capacity Value'!V$5&amp;"/1/"&amp;'Monthly Capacity Value'!V$6),'Capacity Prices'!$I:$I)</f>
        <v>13.916666666666666</v>
      </c>
      <c r="W19" s="23">
        <f>SUMIF('Capacity Prices'!$H:$H,"="&amp;DATEVALUE('Monthly Capacity Value'!W$5&amp;"/1/"&amp;'Monthly Capacity Value'!W$6),'Capacity Prices'!$I:$I)</f>
        <v>13.916666666666666</v>
      </c>
      <c r="X19" s="23">
        <f>SUMIF('Capacity Prices'!$H:$H,"="&amp;DATEVALUE('Monthly Capacity Value'!X$5&amp;"/1/"&amp;'Monthly Capacity Value'!X$6),'Capacity Prices'!$I:$I)</f>
        <v>13.916666666666666</v>
      </c>
      <c r="Y19" s="23">
        <f>SUMIF('Capacity Prices'!$H:$H,"="&amp;DATEVALUE('Monthly Capacity Value'!Y$5&amp;"/1/"&amp;'Monthly Capacity Value'!Y$6),'Capacity Prices'!$I:$I)</f>
        <v>13.916666666666666</v>
      </c>
      <c r="Z19" s="23">
        <f>SUMIF('Capacity Prices'!$H:$H,"="&amp;DATEVALUE('Monthly Capacity Value'!Z$5&amp;"/1/"&amp;'Monthly Capacity Value'!Z$6),'Capacity Prices'!$I:$I)</f>
        <v>13.916666666666666</v>
      </c>
      <c r="AA19" s="23">
        <f>SUMIF('Capacity Prices'!$H:$H,"="&amp;DATEVALUE('Monthly Capacity Value'!AA$5&amp;"/1/"&amp;'Monthly Capacity Value'!AA$6),'Capacity Prices'!$I:$I)</f>
        <v>13.916666666666666</v>
      </c>
      <c r="AB19" s="23">
        <f>SUMIF('Capacity Prices'!$H:$H,"="&amp;DATEVALUE('Monthly Capacity Value'!AB$5&amp;"/1/"&amp;'Monthly Capacity Value'!AB$6),'Capacity Prices'!$I:$I)</f>
        <v>13.916666666666666</v>
      </c>
      <c r="AC19" s="23">
        <f>SUMIF('Capacity Prices'!$H:$H,"="&amp;DATEVALUE('Monthly Capacity Value'!AC$5&amp;"/1/"&amp;'Monthly Capacity Value'!AC$6),'Capacity Prices'!$I:$I)</f>
        <v>13.916666666666666</v>
      </c>
      <c r="AD19" s="23">
        <f>SUMIF('Capacity Prices'!$H:$H,"="&amp;DATEVALUE('Monthly Capacity Value'!AD$5&amp;"/1/"&amp;'Monthly Capacity Value'!AD$6),'Capacity Prices'!$I:$I)</f>
        <v>13.916666666666666</v>
      </c>
      <c r="AE19" s="23">
        <f>SUMIF('Capacity Prices'!$H:$H,"="&amp;DATEVALUE('Monthly Capacity Value'!AE$5&amp;"/1/"&amp;'Monthly Capacity Value'!AE$6),'Capacity Prices'!$I:$I)</f>
        <v>13.916666666666666</v>
      </c>
      <c r="AF19" s="23">
        <f>SUMIF('Capacity Prices'!$H:$H,"="&amp;DATEVALUE('Monthly Capacity Value'!AF$5&amp;"/1/"&amp;'Monthly Capacity Value'!AF$6),'Capacity Prices'!$I:$I)</f>
        <v>14.195</v>
      </c>
      <c r="AG19" s="23">
        <f>SUMIF('Capacity Prices'!$H:$H,"="&amp;DATEVALUE('Monthly Capacity Value'!AG$5&amp;"/1/"&amp;'Monthly Capacity Value'!AG$6),'Capacity Prices'!$I:$I)</f>
        <v>14.195</v>
      </c>
      <c r="AH19" s="23">
        <f>SUMIF('Capacity Prices'!$H:$H,"="&amp;DATEVALUE('Monthly Capacity Value'!AH$5&amp;"/1/"&amp;'Monthly Capacity Value'!AH$6),'Capacity Prices'!$I:$I)</f>
        <v>14.195</v>
      </c>
      <c r="AI19" s="23">
        <f>SUMIF('Capacity Prices'!$H:$H,"="&amp;DATEVALUE('Monthly Capacity Value'!AI$5&amp;"/1/"&amp;'Monthly Capacity Value'!AI$6),'Capacity Prices'!$I:$I)</f>
        <v>14.195</v>
      </c>
      <c r="AJ19" s="23">
        <f>SUMIF('Capacity Prices'!$H:$H,"="&amp;DATEVALUE('Monthly Capacity Value'!AJ$5&amp;"/1/"&amp;'Monthly Capacity Value'!AJ$6),'Capacity Prices'!$I:$I)</f>
        <v>14.195</v>
      </c>
      <c r="AK19" s="23">
        <f>SUMIF('Capacity Prices'!$H:$H,"="&amp;DATEVALUE('Monthly Capacity Value'!AK$5&amp;"/1/"&amp;'Monthly Capacity Value'!AK$6),'Capacity Prices'!$I:$I)</f>
        <v>14.195</v>
      </c>
      <c r="AL19" s="23">
        <f>SUMIF('Capacity Prices'!$H:$H,"="&amp;DATEVALUE('Monthly Capacity Value'!AL$5&amp;"/1/"&amp;'Monthly Capacity Value'!AL$6),'Capacity Prices'!$I:$I)</f>
        <v>14.195</v>
      </c>
      <c r="AM19" s="23">
        <f>SUMIF('Capacity Prices'!$H:$H,"="&amp;DATEVALUE('Monthly Capacity Value'!AM$5&amp;"/1/"&amp;'Monthly Capacity Value'!AM$6),'Capacity Prices'!$I:$I)</f>
        <v>14.195</v>
      </c>
      <c r="AN19" s="23">
        <f>SUMIF('Capacity Prices'!$H:$H,"="&amp;DATEVALUE('Monthly Capacity Value'!AN$5&amp;"/1/"&amp;'Monthly Capacity Value'!AN$6),'Capacity Prices'!$I:$I)</f>
        <v>14.195</v>
      </c>
      <c r="AO19" s="23">
        <f>SUMIF('Capacity Prices'!$H:$H,"="&amp;DATEVALUE('Monthly Capacity Value'!AO$5&amp;"/1/"&amp;'Monthly Capacity Value'!AO$6),'Capacity Prices'!$I:$I)</f>
        <v>14.195</v>
      </c>
      <c r="AP19" s="23">
        <f>SUMIF('Capacity Prices'!$H:$H,"="&amp;DATEVALUE('Monthly Capacity Value'!AP$5&amp;"/1/"&amp;'Monthly Capacity Value'!AP$6),'Capacity Prices'!$I:$I)</f>
        <v>14.195</v>
      </c>
      <c r="AQ19" s="23">
        <f>SUMIF('Capacity Prices'!$H:$H,"="&amp;DATEVALUE('Monthly Capacity Value'!AQ$5&amp;"/1/"&amp;'Monthly Capacity Value'!AQ$6),'Capacity Prices'!$I:$I)</f>
        <v>14.195</v>
      </c>
      <c r="AR19" s="23">
        <f>SUMIF('Capacity Prices'!$H:$H,"="&amp;DATEVALUE('Monthly Capacity Value'!AR$5&amp;"/1/"&amp;'Monthly Capacity Value'!AR$6),'Capacity Prices'!$I:$I)</f>
        <v>14.478900000000001</v>
      </c>
      <c r="AS19" s="23">
        <f>SUMIF('Capacity Prices'!$H:$H,"="&amp;DATEVALUE('Monthly Capacity Value'!AS$5&amp;"/1/"&amp;'Monthly Capacity Value'!AS$6),'Capacity Prices'!$I:$I)</f>
        <v>14.478900000000001</v>
      </c>
      <c r="AT19" s="23">
        <f>SUMIF('Capacity Prices'!$H:$H,"="&amp;DATEVALUE('Monthly Capacity Value'!AT$5&amp;"/1/"&amp;'Monthly Capacity Value'!AT$6),'Capacity Prices'!$I:$I)</f>
        <v>14.478900000000001</v>
      </c>
      <c r="AU19" s="23">
        <f>SUMIF('Capacity Prices'!$H:$H,"="&amp;DATEVALUE('Monthly Capacity Value'!AU$5&amp;"/1/"&amp;'Monthly Capacity Value'!AU$6),'Capacity Prices'!$I:$I)</f>
        <v>14.478900000000001</v>
      </c>
      <c r="AV19" s="23">
        <f>SUMIF('Capacity Prices'!$H:$H,"="&amp;DATEVALUE('Monthly Capacity Value'!AV$5&amp;"/1/"&amp;'Monthly Capacity Value'!AV$6),'Capacity Prices'!$I:$I)</f>
        <v>14.478900000000001</v>
      </c>
      <c r="AW19" s="23">
        <f>SUMIF('Capacity Prices'!$H:$H,"="&amp;DATEVALUE('Monthly Capacity Value'!AW$5&amp;"/1/"&amp;'Monthly Capacity Value'!AW$6),'Capacity Prices'!$I:$I)</f>
        <v>14.478900000000001</v>
      </c>
      <c r="AX19" s="23">
        <f>SUMIF('Capacity Prices'!$H:$H,"="&amp;DATEVALUE('Monthly Capacity Value'!AX$5&amp;"/1/"&amp;'Monthly Capacity Value'!AX$6),'Capacity Prices'!$I:$I)</f>
        <v>14.478900000000001</v>
      </c>
      <c r="AY19" s="23">
        <f>SUMIF('Capacity Prices'!$H:$H,"="&amp;DATEVALUE('Monthly Capacity Value'!AY$5&amp;"/1/"&amp;'Monthly Capacity Value'!AY$6),'Capacity Prices'!$I:$I)</f>
        <v>14.478900000000001</v>
      </c>
      <c r="AZ19" s="23">
        <f>SUMIF('Capacity Prices'!$H:$H,"="&amp;DATEVALUE('Monthly Capacity Value'!AZ$5&amp;"/1/"&amp;'Monthly Capacity Value'!AZ$6),'Capacity Prices'!$I:$I)</f>
        <v>14.478900000000001</v>
      </c>
      <c r="BA19" s="23">
        <f>SUMIF('Capacity Prices'!$H:$H,"="&amp;DATEVALUE('Monthly Capacity Value'!BA$5&amp;"/1/"&amp;'Monthly Capacity Value'!BA$6),'Capacity Prices'!$I:$I)</f>
        <v>14.478900000000001</v>
      </c>
      <c r="BB19" s="23">
        <f>SUMIF('Capacity Prices'!$H:$H,"="&amp;DATEVALUE('Monthly Capacity Value'!BB$5&amp;"/1/"&amp;'Monthly Capacity Value'!BB$6),'Capacity Prices'!$I:$I)</f>
        <v>14.478900000000001</v>
      </c>
      <c r="BC19" s="23">
        <f>SUMIF('Capacity Prices'!$H:$H,"="&amp;DATEVALUE('Monthly Capacity Value'!BC$5&amp;"/1/"&amp;'Monthly Capacity Value'!BC$6),'Capacity Prices'!$I:$I)</f>
        <v>14.478900000000001</v>
      </c>
      <c r="BD19" s="23">
        <f>SUMIF('Capacity Prices'!$H:$H,"="&amp;DATEVALUE('Monthly Capacity Value'!BD$5&amp;"/1/"&amp;'Monthly Capacity Value'!BD$6),'Capacity Prices'!$I:$I)</f>
        <v>14.768478000000002</v>
      </c>
      <c r="BE19" s="23">
        <f>SUMIF('Capacity Prices'!$H:$H,"="&amp;DATEVALUE('Monthly Capacity Value'!BE$5&amp;"/1/"&amp;'Monthly Capacity Value'!BE$6),'Capacity Prices'!$I:$I)</f>
        <v>14.768478000000002</v>
      </c>
      <c r="BF19" s="23">
        <f>SUMIF('Capacity Prices'!$H:$H,"="&amp;DATEVALUE('Monthly Capacity Value'!BF$5&amp;"/1/"&amp;'Monthly Capacity Value'!BF$6),'Capacity Prices'!$I:$I)</f>
        <v>14.768478000000002</v>
      </c>
      <c r="BG19" s="23">
        <f>SUMIF('Capacity Prices'!$H:$H,"="&amp;DATEVALUE('Monthly Capacity Value'!BG$5&amp;"/1/"&amp;'Monthly Capacity Value'!BG$6),'Capacity Prices'!$I:$I)</f>
        <v>14.768478000000002</v>
      </c>
      <c r="BH19" s="23">
        <f>SUMIF('Capacity Prices'!$H:$H,"="&amp;DATEVALUE('Monthly Capacity Value'!BH$5&amp;"/1/"&amp;'Monthly Capacity Value'!BH$6),'Capacity Prices'!$I:$I)</f>
        <v>14.768478000000002</v>
      </c>
      <c r="BI19" s="23">
        <f>SUMIF('Capacity Prices'!$H:$H,"="&amp;DATEVALUE('Monthly Capacity Value'!BI$5&amp;"/1/"&amp;'Monthly Capacity Value'!BI$6),'Capacity Prices'!$I:$I)</f>
        <v>14.768478000000002</v>
      </c>
      <c r="BJ19" s="23">
        <f>SUMIF('Capacity Prices'!$H:$H,"="&amp;DATEVALUE('Monthly Capacity Value'!BJ$5&amp;"/1/"&amp;'Monthly Capacity Value'!BJ$6),'Capacity Prices'!$I:$I)</f>
        <v>14.768478000000002</v>
      </c>
      <c r="BK19" s="23">
        <f>SUMIF('Capacity Prices'!$H:$H,"="&amp;DATEVALUE('Monthly Capacity Value'!BK$5&amp;"/1/"&amp;'Monthly Capacity Value'!BK$6),'Capacity Prices'!$I:$I)</f>
        <v>14.768478000000002</v>
      </c>
      <c r="BL19" s="23">
        <f>SUMIF('Capacity Prices'!$H:$H,"="&amp;DATEVALUE('Monthly Capacity Value'!BL$5&amp;"/1/"&amp;'Monthly Capacity Value'!BL$6),'Capacity Prices'!$I:$I)</f>
        <v>14.768478000000002</v>
      </c>
      <c r="BM19" s="23">
        <f>SUMIF('Capacity Prices'!$H:$H,"="&amp;DATEVALUE('Monthly Capacity Value'!BM$5&amp;"/1/"&amp;'Monthly Capacity Value'!BM$6),'Capacity Prices'!$I:$I)</f>
        <v>14.768478000000002</v>
      </c>
      <c r="BN19" s="23">
        <f>SUMIF('Capacity Prices'!$H:$H,"="&amp;DATEVALUE('Monthly Capacity Value'!BN$5&amp;"/1/"&amp;'Monthly Capacity Value'!BN$6),'Capacity Prices'!$I:$I)</f>
        <v>14.768478000000002</v>
      </c>
      <c r="BO19" s="23">
        <f>SUMIF('Capacity Prices'!$H:$H,"="&amp;DATEVALUE('Monthly Capacity Value'!BO$5&amp;"/1/"&amp;'Monthly Capacity Value'!BO$6),'Capacity Prices'!$I:$I)</f>
        <v>14.768478000000002</v>
      </c>
      <c r="BP19" s="23">
        <f>SUMIF('Capacity Prices'!$H:$H,"="&amp;DATEVALUE('Monthly Capacity Value'!BP$5&amp;"/1/"&amp;'Monthly Capacity Value'!BP$6),'Capacity Prices'!$I:$I)</f>
        <v>15.063847560000001</v>
      </c>
      <c r="BQ19" s="23">
        <f>SUMIF('Capacity Prices'!$H:$H,"="&amp;DATEVALUE('Monthly Capacity Value'!BQ$5&amp;"/1/"&amp;'Monthly Capacity Value'!BQ$6),'Capacity Prices'!$I:$I)</f>
        <v>15.063847560000001</v>
      </c>
      <c r="BR19" s="23">
        <f>SUMIF('Capacity Prices'!$H:$H,"="&amp;DATEVALUE('Monthly Capacity Value'!BR$5&amp;"/1/"&amp;'Monthly Capacity Value'!BR$6),'Capacity Prices'!$I:$I)</f>
        <v>15.063847560000001</v>
      </c>
      <c r="BS19" s="23">
        <f>SUMIF('Capacity Prices'!$H:$H,"="&amp;DATEVALUE('Monthly Capacity Value'!BS$5&amp;"/1/"&amp;'Monthly Capacity Value'!BS$6),'Capacity Prices'!$I:$I)</f>
        <v>15.063847560000001</v>
      </c>
      <c r="BT19" s="23">
        <f>SUMIF('Capacity Prices'!$H:$H,"="&amp;DATEVALUE('Monthly Capacity Value'!BT$5&amp;"/1/"&amp;'Monthly Capacity Value'!BT$6),'Capacity Prices'!$I:$I)</f>
        <v>15.063847560000001</v>
      </c>
      <c r="BU19" s="23">
        <f>SUMIF('Capacity Prices'!$H:$H,"="&amp;DATEVALUE('Monthly Capacity Value'!BU$5&amp;"/1/"&amp;'Monthly Capacity Value'!BU$6),'Capacity Prices'!$I:$I)</f>
        <v>15.063847560000001</v>
      </c>
      <c r="BV19" s="23">
        <f>SUMIF('Capacity Prices'!$H:$H,"="&amp;DATEVALUE('Monthly Capacity Value'!BV$5&amp;"/1/"&amp;'Monthly Capacity Value'!BV$6),'Capacity Prices'!$I:$I)</f>
        <v>15.063847560000001</v>
      </c>
      <c r="BW19" s="23">
        <f>SUMIF('Capacity Prices'!$H:$H,"="&amp;DATEVALUE('Monthly Capacity Value'!BW$5&amp;"/1/"&amp;'Monthly Capacity Value'!BW$6),'Capacity Prices'!$I:$I)</f>
        <v>15.063847560000001</v>
      </c>
      <c r="BX19" s="23">
        <f>SUMIF('Capacity Prices'!$H:$H,"="&amp;DATEVALUE('Monthly Capacity Value'!BX$5&amp;"/1/"&amp;'Monthly Capacity Value'!BX$6),'Capacity Prices'!$I:$I)</f>
        <v>15.063847560000001</v>
      </c>
      <c r="BY19" s="23">
        <f>SUMIF('Capacity Prices'!$H:$H,"="&amp;DATEVALUE('Monthly Capacity Value'!BY$5&amp;"/1/"&amp;'Monthly Capacity Value'!BY$6),'Capacity Prices'!$I:$I)</f>
        <v>15.063847560000001</v>
      </c>
      <c r="BZ19" s="23">
        <f>SUMIF('Capacity Prices'!$H:$H,"="&amp;DATEVALUE('Monthly Capacity Value'!BZ$5&amp;"/1/"&amp;'Monthly Capacity Value'!BZ$6),'Capacity Prices'!$I:$I)</f>
        <v>15.063847560000001</v>
      </c>
      <c r="CA19" s="23">
        <f>SUMIF('Capacity Prices'!$H:$H,"="&amp;DATEVALUE('Monthly Capacity Value'!CA$5&amp;"/1/"&amp;'Monthly Capacity Value'!CA$6),'Capacity Prices'!$I:$I)</f>
        <v>15.063847560000001</v>
      </c>
      <c r="CB19" s="23">
        <f>SUMIF('Capacity Prices'!$H:$H,"="&amp;DATEVALUE('Monthly Capacity Value'!CB$5&amp;"/1/"&amp;'Monthly Capacity Value'!CB$6),'Capacity Prices'!$I:$I)</f>
        <v>15.365124511200001</v>
      </c>
      <c r="CC19" s="23">
        <f>SUMIF('Capacity Prices'!$H:$H,"="&amp;DATEVALUE('Monthly Capacity Value'!CC$5&amp;"/1/"&amp;'Monthly Capacity Value'!CC$6),'Capacity Prices'!$I:$I)</f>
        <v>15.365124511200001</v>
      </c>
      <c r="CD19" s="23">
        <f>SUMIF('Capacity Prices'!$H:$H,"="&amp;DATEVALUE('Monthly Capacity Value'!CD$5&amp;"/1/"&amp;'Monthly Capacity Value'!CD$6),'Capacity Prices'!$I:$I)</f>
        <v>15.365124511200001</v>
      </c>
      <c r="CE19" s="23">
        <f>SUMIF('Capacity Prices'!$H:$H,"="&amp;DATEVALUE('Monthly Capacity Value'!CE$5&amp;"/1/"&amp;'Monthly Capacity Value'!CE$6),'Capacity Prices'!$I:$I)</f>
        <v>15.365124511200001</v>
      </c>
      <c r="CF19" s="23">
        <f>SUMIF('Capacity Prices'!$H:$H,"="&amp;DATEVALUE('Monthly Capacity Value'!CF$5&amp;"/1/"&amp;'Monthly Capacity Value'!CF$6),'Capacity Prices'!$I:$I)</f>
        <v>15.365124511200001</v>
      </c>
      <c r="CG19" s="23">
        <f>SUMIF('Capacity Prices'!$H:$H,"="&amp;DATEVALUE('Monthly Capacity Value'!CG$5&amp;"/1/"&amp;'Monthly Capacity Value'!CG$6),'Capacity Prices'!$I:$I)</f>
        <v>15.365124511200001</v>
      </c>
      <c r="CH19" s="23">
        <f>SUMIF('Capacity Prices'!$H:$H,"="&amp;DATEVALUE('Monthly Capacity Value'!CH$5&amp;"/1/"&amp;'Monthly Capacity Value'!CH$6),'Capacity Prices'!$I:$I)</f>
        <v>15.365124511200001</v>
      </c>
      <c r="CI19" s="23">
        <f>SUMIF('Capacity Prices'!$H:$H,"="&amp;DATEVALUE('Monthly Capacity Value'!CI$5&amp;"/1/"&amp;'Monthly Capacity Value'!CI$6),'Capacity Prices'!$I:$I)</f>
        <v>15.365124511200001</v>
      </c>
      <c r="CJ19" s="23">
        <f>SUMIF('Capacity Prices'!$H:$H,"="&amp;DATEVALUE('Monthly Capacity Value'!CJ$5&amp;"/1/"&amp;'Monthly Capacity Value'!CJ$6),'Capacity Prices'!$I:$I)</f>
        <v>15.365124511200001</v>
      </c>
      <c r="CK19" s="23">
        <f>SUMIF('Capacity Prices'!$H:$H,"="&amp;DATEVALUE('Monthly Capacity Value'!CK$5&amp;"/1/"&amp;'Monthly Capacity Value'!CK$6),'Capacity Prices'!$I:$I)</f>
        <v>15.365124511200001</v>
      </c>
      <c r="CL19" s="23">
        <f>SUMIF('Capacity Prices'!$H:$H,"="&amp;DATEVALUE('Monthly Capacity Value'!CL$5&amp;"/1/"&amp;'Monthly Capacity Value'!CL$6),'Capacity Prices'!$I:$I)</f>
        <v>15.365124511200001</v>
      </c>
      <c r="CM19" s="23">
        <f>SUMIF('Capacity Prices'!$H:$H,"="&amp;DATEVALUE('Monthly Capacity Value'!CM$5&amp;"/1/"&amp;'Monthly Capacity Value'!CM$6),'Capacity Prices'!$I:$I)</f>
        <v>15.365124511200001</v>
      </c>
      <c r="CN19" s="23">
        <f>SUMIF('Capacity Prices'!$H:$H,"="&amp;DATEVALUE('Monthly Capacity Value'!CN$5&amp;"/1/"&amp;'Monthly Capacity Value'!CN$6),'Capacity Prices'!$I:$I)</f>
        <v>15.672427001424003</v>
      </c>
      <c r="CO19" s="23">
        <f>SUMIF('Capacity Prices'!$H:$H,"="&amp;DATEVALUE('Monthly Capacity Value'!CO$5&amp;"/1/"&amp;'Monthly Capacity Value'!CO$6),'Capacity Prices'!$I:$I)</f>
        <v>15.672427001424003</v>
      </c>
      <c r="CP19" s="23">
        <f>SUMIF('Capacity Prices'!$H:$H,"="&amp;DATEVALUE('Monthly Capacity Value'!CP$5&amp;"/1/"&amp;'Monthly Capacity Value'!CP$6),'Capacity Prices'!$I:$I)</f>
        <v>15.672427001424003</v>
      </c>
      <c r="CQ19" s="23">
        <f>SUMIF('Capacity Prices'!$H:$H,"="&amp;DATEVALUE('Monthly Capacity Value'!CQ$5&amp;"/1/"&amp;'Monthly Capacity Value'!CQ$6),'Capacity Prices'!$I:$I)</f>
        <v>15.672427001424003</v>
      </c>
      <c r="CR19" s="23">
        <f>SUMIF('Capacity Prices'!$H:$H,"="&amp;DATEVALUE('Monthly Capacity Value'!CR$5&amp;"/1/"&amp;'Monthly Capacity Value'!CR$6),'Capacity Prices'!$I:$I)</f>
        <v>15.672427001424003</v>
      </c>
      <c r="CS19" s="23">
        <f>SUMIF('Capacity Prices'!$H:$H,"="&amp;DATEVALUE('Monthly Capacity Value'!CS$5&amp;"/1/"&amp;'Monthly Capacity Value'!CS$6),'Capacity Prices'!$I:$I)</f>
        <v>15.672427001424003</v>
      </c>
      <c r="CT19" s="23">
        <f>SUMIF('Capacity Prices'!$H:$H,"="&amp;DATEVALUE('Monthly Capacity Value'!CT$5&amp;"/1/"&amp;'Monthly Capacity Value'!CT$6),'Capacity Prices'!$I:$I)</f>
        <v>15.672427001424003</v>
      </c>
      <c r="CU19" s="23">
        <f>SUMIF('Capacity Prices'!$H:$H,"="&amp;DATEVALUE('Monthly Capacity Value'!CU$5&amp;"/1/"&amp;'Monthly Capacity Value'!CU$6),'Capacity Prices'!$I:$I)</f>
        <v>15.672427001424003</v>
      </c>
      <c r="CV19" s="23">
        <f>SUMIF('Capacity Prices'!$H:$H,"="&amp;DATEVALUE('Monthly Capacity Value'!CV$5&amp;"/1/"&amp;'Monthly Capacity Value'!CV$6),'Capacity Prices'!$I:$I)</f>
        <v>15.672427001424003</v>
      </c>
      <c r="CW19" s="23">
        <f>SUMIF('Capacity Prices'!$H:$H,"="&amp;DATEVALUE('Monthly Capacity Value'!CW$5&amp;"/1/"&amp;'Monthly Capacity Value'!CW$6),'Capacity Prices'!$I:$I)</f>
        <v>15.672427001424003</v>
      </c>
      <c r="CX19" s="23">
        <f>SUMIF('Capacity Prices'!$H:$H,"="&amp;DATEVALUE('Monthly Capacity Value'!CX$5&amp;"/1/"&amp;'Monthly Capacity Value'!CX$6),'Capacity Prices'!$I:$I)</f>
        <v>15.672427001424003</v>
      </c>
      <c r="CY19" s="23">
        <f>SUMIF('Capacity Prices'!$H:$H,"="&amp;DATEVALUE('Monthly Capacity Value'!CY$5&amp;"/1/"&amp;'Monthly Capacity Value'!CY$6),'Capacity Prices'!$I:$I)</f>
        <v>15.672427001424003</v>
      </c>
      <c r="CZ19" s="23">
        <f>SUMIF('Capacity Prices'!$H:$H,"="&amp;DATEVALUE('Monthly Capacity Value'!CZ$5&amp;"/1/"&amp;'Monthly Capacity Value'!CZ$6),'Capacity Prices'!$I:$I)</f>
        <v>15.985875541452481</v>
      </c>
      <c r="DA19" s="23">
        <f>SUMIF('Capacity Prices'!$H:$H,"="&amp;DATEVALUE('Monthly Capacity Value'!DA$5&amp;"/1/"&amp;'Monthly Capacity Value'!DA$6),'Capacity Prices'!$I:$I)</f>
        <v>15.985875541452481</v>
      </c>
      <c r="DB19" s="23">
        <f>SUMIF('Capacity Prices'!$H:$H,"="&amp;DATEVALUE('Monthly Capacity Value'!DB$5&amp;"/1/"&amp;'Monthly Capacity Value'!DB$6),'Capacity Prices'!$I:$I)</f>
        <v>15.985875541452481</v>
      </c>
      <c r="DC19" s="23">
        <f>SUMIF('Capacity Prices'!$H:$H,"="&amp;DATEVALUE('Monthly Capacity Value'!DC$5&amp;"/1/"&amp;'Monthly Capacity Value'!DC$6),'Capacity Prices'!$I:$I)</f>
        <v>15.985875541452481</v>
      </c>
      <c r="DD19" s="23">
        <f>SUMIF('Capacity Prices'!$H:$H,"="&amp;DATEVALUE('Monthly Capacity Value'!DD$5&amp;"/1/"&amp;'Monthly Capacity Value'!DD$6),'Capacity Prices'!$I:$I)</f>
        <v>15.985875541452481</v>
      </c>
      <c r="DE19" s="23">
        <f>SUMIF('Capacity Prices'!$H:$H,"="&amp;DATEVALUE('Monthly Capacity Value'!DE$5&amp;"/1/"&amp;'Monthly Capacity Value'!DE$6),'Capacity Prices'!$I:$I)</f>
        <v>15.985875541452481</v>
      </c>
      <c r="DF19" s="23">
        <f>SUMIF('Capacity Prices'!$H:$H,"="&amp;DATEVALUE('Monthly Capacity Value'!DF$5&amp;"/1/"&amp;'Monthly Capacity Value'!DF$6),'Capacity Prices'!$I:$I)</f>
        <v>15.985875541452481</v>
      </c>
      <c r="DG19" s="23">
        <f>SUMIF('Capacity Prices'!$H:$H,"="&amp;DATEVALUE('Monthly Capacity Value'!DG$5&amp;"/1/"&amp;'Monthly Capacity Value'!DG$6),'Capacity Prices'!$I:$I)</f>
        <v>15.985875541452481</v>
      </c>
      <c r="DH19" s="23">
        <f>SUMIF('Capacity Prices'!$H:$H,"="&amp;DATEVALUE('Monthly Capacity Value'!DH$5&amp;"/1/"&amp;'Monthly Capacity Value'!DH$6),'Capacity Prices'!$I:$I)</f>
        <v>15.985875541452481</v>
      </c>
      <c r="DI19" s="23">
        <f>SUMIF('Capacity Prices'!$H:$H,"="&amp;DATEVALUE('Monthly Capacity Value'!DI$5&amp;"/1/"&amp;'Monthly Capacity Value'!DI$6),'Capacity Prices'!$I:$I)</f>
        <v>15.985875541452481</v>
      </c>
      <c r="DJ19" s="23">
        <f>SUMIF('Capacity Prices'!$H:$H,"="&amp;DATEVALUE('Monthly Capacity Value'!DJ$5&amp;"/1/"&amp;'Monthly Capacity Value'!DJ$6),'Capacity Prices'!$I:$I)</f>
        <v>15.985875541452481</v>
      </c>
      <c r="DK19" s="23">
        <f>SUMIF('Capacity Prices'!$H:$H,"="&amp;DATEVALUE('Monthly Capacity Value'!DK$5&amp;"/1/"&amp;'Monthly Capacity Value'!DK$6),'Capacity Prices'!$I:$I)</f>
        <v>15.985875541452481</v>
      </c>
      <c r="DL19" s="23">
        <f>SUMIF('Capacity Prices'!$H:$H,"="&amp;DATEVALUE('Monthly Capacity Value'!DL$5&amp;"/1/"&amp;'Monthly Capacity Value'!DL$6),'Capacity Prices'!$I:$I)</f>
        <v>16.305593052281534</v>
      </c>
      <c r="DM19" s="23">
        <f>SUMIF('Capacity Prices'!$H:$H,"="&amp;DATEVALUE('Monthly Capacity Value'!DM$5&amp;"/1/"&amp;'Monthly Capacity Value'!DM$6),'Capacity Prices'!$I:$I)</f>
        <v>16.305593052281534</v>
      </c>
      <c r="DN19" s="23">
        <f>SUMIF('Capacity Prices'!$H:$H,"="&amp;DATEVALUE('Monthly Capacity Value'!DN$5&amp;"/1/"&amp;'Monthly Capacity Value'!DN$6),'Capacity Prices'!$I:$I)</f>
        <v>16.305593052281534</v>
      </c>
      <c r="DO19" s="23">
        <f>SUMIF('Capacity Prices'!$H:$H,"="&amp;DATEVALUE('Monthly Capacity Value'!DO$5&amp;"/1/"&amp;'Monthly Capacity Value'!DO$6),'Capacity Prices'!$I:$I)</f>
        <v>16.305593052281534</v>
      </c>
      <c r="DP19" s="23">
        <f>SUMIF('Capacity Prices'!$H:$H,"="&amp;DATEVALUE('Monthly Capacity Value'!DP$5&amp;"/1/"&amp;'Monthly Capacity Value'!DP$6),'Capacity Prices'!$I:$I)</f>
        <v>16.305593052281534</v>
      </c>
      <c r="DQ19" s="23">
        <f>SUMIF('Capacity Prices'!$H:$H,"="&amp;DATEVALUE('Monthly Capacity Value'!DQ$5&amp;"/1/"&amp;'Monthly Capacity Value'!DQ$6),'Capacity Prices'!$I:$I)</f>
        <v>16.305593052281534</v>
      </c>
      <c r="DR19" s="23">
        <f>SUMIF('Capacity Prices'!$H:$H,"="&amp;DATEVALUE('Monthly Capacity Value'!DR$5&amp;"/1/"&amp;'Monthly Capacity Value'!DR$6),'Capacity Prices'!$I:$I)</f>
        <v>16.305593052281534</v>
      </c>
      <c r="DS19" s="23">
        <f>SUMIF('Capacity Prices'!$H:$H,"="&amp;DATEVALUE('Monthly Capacity Value'!DS$5&amp;"/1/"&amp;'Monthly Capacity Value'!DS$6),'Capacity Prices'!$I:$I)</f>
        <v>16.305593052281534</v>
      </c>
      <c r="DT19" s="23">
        <f>SUMIF('Capacity Prices'!$H:$H,"="&amp;DATEVALUE('Monthly Capacity Value'!DT$5&amp;"/1/"&amp;'Monthly Capacity Value'!DT$6),'Capacity Prices'!$I:$I)</f>
        <v>16.305593052281534</v>
      </c>
      <c r="DU19" s="23">
        <f>SUMIF('Capacity Prices'!$H:$H,"="&amp;DATEVALUE('Monthly Capacity Value'!DU$5&amp;"/1/"&amp;'Monthly Capacity Value'!DU$6),'Capacity Prices'!$I:$I)</f>
        <v>16.305593052281534</v>
      </c>
      <c r="DV19" s="23">
        <f>SUMIF('Capacity Prices'!$H:$H,"="&amp;DATEVALUE('Monthly Capacity Value'!DV$5&amp;"/1/"&amp;'Monthly Capacity Value'!DV$6),'Capacity Prices'!$I:$I)</f>
        <v>16.305593052281534</v>
      </c>
      <c r="DW19" s="23">
        <f>SUMIF('Capacity Prices'!$H:$H,"="&amp;DATEVALUE('Monthly Capacity Value'!DW$5&amp;"/1/"&amp;'Monthly Capacity Value'!DW$6),'Capacity Prices'!$I:$I)</f>
        <v>16.305593052281534</v>
      </c>
      <c r="DX19" s="23">
        <f>SUMIF('Capacity Prices'!$H:$H,"="&amp;DATEVALUE('Monthly Capacity Value'!DX$5&amp;"/1/"&amp;'Monthly Capacity Value'!DX$6),'Capacity Prices'!$I:$I)</f>
        <v>16.631704913327162</v>
      </c>
      <c r="DY19" s="23">
        <f>SUMIF('Capacity Prices'!$H:$H,"="&amp;DATEVALUE('Monthly Capacity Value'!DY$5&amp;"/1/"&amp;'Monthly Capacity Value'!DY$6),'Capacity Prices'!$I:$I)</f>
        <v>16.631704913327162</v>
      </c>
      <c r="DZ19" s="23">
        <f>SUMIF('Capacity Prices'!$H:$H,"="&amp;DATEVALUE('Monthly Capacity Value'!DZ$5&amp;"/1/"&amp;'Monthly Capacity Value'!DZ$6),'Capacity Prices'!$I:$I)</f>
        <v>16.631704913327162</v>
      </c>
      <c r="EA19" s="23">
        <f>SUMIF('Capacity Prices'!$H:$H,"="&amp;DATEVALUE('Monthly Capacity Value'!EA$5&amp;"/1/"&amp;'Monthly Capacity Value'!EA$6),'Capacity Prices'!$I:$I)</f>
        <v>16.631704913327162</v>
      </c>
      <c r="EB19" s="23">
        <f>SUMIF('Capacity Prices'!$H:$H,"="&amp;DATEVALUE('Monthly Capacity Value'!EB$5&amp;"/1/"&amp;'Monthly Capacity Value'!EB$6),'Capacity Prices'!$I:$I)</f>
        <v>16.631704913327162</v>
      </c>
      <c r="EC19" s="23">
        <f>SUMIF('Capacity Prices'!$H:$H,"="&amp;DATEVALUE('Monthly Capacity Value'!EC$5&amp;"/1/"&amp;'Monthly Capacity Value'!EC$6),'Capacity Prices'!$I:$I)</f>
        <v>16.631704913327162</v>
      </c>
      <c r="ED19" s="23">
        <f>SUMIF('Capacity Prices'!$H:$H,"="&amp;DATEVALUE('Monthly Capacity Value'!ED$5&amp;"/1/"&amp;'Monthly Capacity Value'!ED$6),'Capacity Prices'!$I:$I)</f>
        <v>16.631704913327162</v>
      </c>
      <c r="EE19" s="23">
        <f>SUMIF('Capacity Prices'!$H:$H,"="&amp;DATEVALUE('Monthly Capacity Value'!EE$5&amp;"/1/"&amp;'Monthly Capacity Value'!EE$6),'Capacity Prices'!$I:$I)</f>
        <v>16.631704913327162</v>
      </c>
      <c r="EF19" s="23">
        <f>SUMIF('Capacity Prices'!$H:$H,"="&amp;DATEVALUE('Monthly Capacity Value'!EF$5&amp;"/1/"&amp;'Monthly Capacity Value'!EF$6),'Capacity Prices'!$I:$I)</f>
        <v>16.631704913327162</v>
      </c>
      <c r="EG19" s="23">
        <f>SUMIF('Capacity Prices'!$H:$H,"="&amp;DATEVALUE('Monthly Capacity Value'!EG$5&amp;"/1/"&amp;'Monthly Capacity Value'!EG$6),'Capacity Prices'!$I:$I)</f>
        <v>16.631704913327162</v>
      </c>
      <c r="EH19" s="23">
        <f>SUMIF('Capacity Prices'!$H:$H,"="&amp;DATEVALUE('Monthly Capacity Value'!EH$5&amp;"/1/"&amp;'Monthly Capacity Value'!EH$6),'Capacity Prices'!$I:$I)</f>
        <v>16.631704913327162</v>
      </c>
      <c r="EI19" s="23">
        <f>SUMIF('Capacity Prices'!$H:$H,"="&amp;DATEVALUE('Monthly Capacity Value'!EI$5&amp;"/1/"&amp;'Monthly Capacity Value'!EI$6),'Capacity Prices'!$I:$I)</f>
        <v>16.631704913327162</v>
      </c>
      <c r="EJ19" s="23">
        <f>SUMIF('Capacity Prices'!$H:$H,"="&amp;DATEVALUE('Monthly Capacity Value'!EJ$5&amp;"/1/"&amp;'Monthly Capacity Value'!EJ$6),'Capacity Prices'!$I:$I)</f>
        <v>16.964339011593704</v>
      </c>
      <c r="EK19" s="23">
        <f>SUMIF('Capacity Prices'!$H:$H,"="&amp;DATEVALUE('Monthly Capacity Value'!EK$5&amp;"/1/"&amp;'Monthly Capacity Value'!EK$6),'Capacity Prices'!$I:$I)</f>
        <v>16.964339011593704</v>
      </c>
      <c r="EL19" s="23">
        <f>SUMIF('Capacity Prices'!$H:$H,"="&amp;DATEVALUE('Monthly Capacity Value'!EL$5&amp;"/1/"&amp;'Monthly Capacity Value'!EL$6),'Capacity Prices'!$I:$I)</f>
        <v>16.964339011593704</v>
      </c>
      <c r="EM19" s="23">
        <f>SUMIF('Capacity Prices'!$H:$H,"="&amp;DATEVALUE('Monthly Capacity Value'!EM$5&amp;"/1/"&amp;'Monthly Capacity Value'!EM$6),'Capacity Prices'!$I:$I)</f>
        <v>16.964339011593704</v>
      </c>
      <c r="EN19" s="23">
        <f>SUMIF('Capacity Prices'!$H:$H,"="&amp;DATEVALUE('Monthly Capacity Value'!EN$5&amp;"/1/"&amp;'Monthly Capacity Value'!EN$6),'Capacity Prices'!$I:$I)</f>
        <v>16.964339011593704</v>
      </c>
      <c r="EO19" s="23">
        <f>SUMIF('Capacity Prices'!$H:$H,"="&amp;DATEVALUE('Monthly Capacity Value'!EO$5&amp;"/1/"&amp;'Monthly Capacity Value'!EO$6),'Capacity Prices'!$I:$I)</f>
        <v>16.964339011593704</v>
      </c>
      <c r="EP19" s="23">
        <f>SUMIF('Capacity Prices'!$H:$H,"="&amp;DATEVALUE('Monthly Capacity Value'!EP$5&amp;"/1/"&amp;'Monthly Capacity Value'!EP$6),'Capacity Prices'!$I:$I)</f>
        <v>16.964339011593704</v>
      </c>
      <c r="EQ19" s="23">
        <f>SUMIF('Capacity Prices'!$H:$H,"="&amp;DATEVALUE('Monthly Capacity Value'!EQ$5&amp;"/1/"&amp;'Monthly Capacity Value'!EQ$6),'Capacity Prices'!$I:$I)</f>
        <v>16.964339011593704</v>
      </c>
      <c r="ER19" s="23">
        <f>SUMIF('Capacity Prices'!$H:$H,"="&amp;DATEVALUE('Monthly Capacity Value'!ER$5&amp;"/1/"&amp;'Monthly Capacity Value'!ER$6),'Capacity Prices'!$I:$I)</f>
        <v>16.964339011593704</v>
      </c>
      <c r="ES19" s="23">
        <f>SUMIF('Capacity Prices'!$H:$H,"="&amp;DATEVALUE('Monthly Capacity Value'!ES$5&amp;"/1/"&amp;'Monthly Capacity Value'!ES$6),'Capacity Prices'!$I:$I)</f>
        <v>16.964339011593704</v>
      </c>
      <c r="ET19" s="23">
        <f>SUMIF('Capacity Prices'!$H:$H,"="&amp;DATEVALUE('Monthly Capacity Value'!ET$5&amp;"/1/"&amp;'Monthly Capacity Value'!ET$6),'Capacity Prices'!$I:$I)</f>
        <v>16.964339011593704</v>
      </c>
      <c r="EU19" s="23">
        <f>SUMIF('Capacity Prices'!$H:$H,"="&amp;DATEVALUE('Monthly Capacity Value'!EU$5&amp;"/1/"&amp;'Monthly Capacity Value'!EU$6),'Capacity Prices'!$I:$I)</f>
        <v>16.964339011593704</v>
      </c>
      <c r="EV19" s="23">
        <f>SUMIF('Capacity Prices'!$H:$H,"="&amp;DATEVALUE('Monthly Capacity Value'!EV$5&amp;"/1/"&amp;'Monthly Capacity Value'!EV$6),'Capacity Prices'!$I:$I)</f>
        <v>17.303625791825578</v>
      </c>
      <c r="EW19" s="23">
        <f>SUMIF('Capacity Prices'!$H:$H,"="&amp;DATEVALUE('Monthly Capacity Value'!EW$5&amp;"/1/"&amp;'Monthly Capacity Value'!EW$6),'Capacity Prices'!$I:$I)</f>
        <v>17.303625791825578</v>
      </c>
      <c r="EX19" s="23">
        <f>SUMIF('Capacity Prices'!$H:$H,"="&amp;DATEVALUE('Monthly Capacity Value'!EX$5&amp;"/1/"&amp;'Monthly Capacity Value'!EX$6),'Capacity Prices'!$I:$I)</f>
        <v>17.303625791825578</v>
      </c>
      <c r="EY19" s="23">
        <f>SUMIF('Capacity Prices'!$H:$H,"="&amp;DATEVALUE('Monthly Capacity Value'!EY$5&amp;"/1/"&amp;'Monthly Capacity Value'!EY$6),'Capacity Prices'!$I:$I)</f>
        <v>17.303625791825578</v>
      </c>
      <c r="EZ19" s="23">
        <f>SUMIF('Capacity Prices'!$H:$H,"="&amp;DATEVALUE('Monthly Capacity Value'!EZ$5&amp;"/1/"&amp;'Monthly Capacity Value'!EZ$6),'Capacity Prices'!$I:$I)</f>
        <v>17.303625791825578</v>
      </c>
      <c r="FA19" s="23">
        <f>SUMIF('Capacity Prices'!$H:$H,"="&amp;DATEVALUE('Monthly Capacity Value'!FA$5&amp;"/1/"&amp;'Monthly Capacity Value'!FA$6),'Capacity Prices'!$I:$I)</f>
        <v>17.303625791825578</v>
      </c>
      <c r="FB19" s="23">
        <f>SUMIF('Capacity Prices'!$H:$H,"="&amp;DATEVALUE('Monthly Capacity Value'!FB$5&amp;"/1/"&amp;'Monthly Capacity Value'!FB$6),'Capacity Prices'!$I:$I)</f>
        <v>17.303625791825578</v>
      </c>
      <c r="FC19" s="23">
        <f>SUMIF('Capacity Prices'!$H:$H,"="&amp;DATEVALUE('Monthly Capacity Value'!FC$5&amp;"/1/"&amp;'Monthly Capacity Value'!FC$6),'Capacity Prices'!$I:$I)</f>
        <v>17.303625791825578</v>
      </c>
      <c r="FD19" s="23">
        <f>SUMIF('Capacity Prices'!$H:$H,"="&amp;DATEVALUE('Monthly Capacity Value'!FD$5&amp;"/1/"&amp;'Monthly Capacity Value'!FD$6),'Capacity Prices'!$I:$I)</f>
        <v>17.303625791825578</v>
      </c>
      <c r="FE19" s="23">
        <f>SUMIF('Capacity Prices'!$H:$H,"="&amp;DATEVALUE('Monthly Capacity Value'!FE$5&amp;"/1/"&amp;'Monthly Capacity Value'!FE$6),'Capacity Prices'!$I:$I)</f>
        <v>17.303625791825578</v>
      </c>
      <c r="FF19" s="23">
        <f>SUMIF('Capacity Prices'!$H:$H,"="&amp;DATEVALUE('Monthly Capacity Value'!FF$5&amp;"/1/"&amp;'Monthly Capacity Value'!FF$6),'Capacity Prices'!$I:$I)</f>
        <v>17.303625791825578</v>
      </c>
      <c r="FG19" s="23">
        <f>SUMIF('Capacity Prices'!$H:$H,"="&amp;DATEVALUE('Monthly Capacity Value'!FG$5&amp;"/1/"&amp;'Monthly Capacity Value'!FG$6),'Capacity Prices'!$I:$I)</f>
        <v>17.303625791825578</v>
      </c>
      <c r="FH19" s="23">
        <f>SUMIF('Capacity Prices'!$H:$H,"="&amp;DATEVALUE('Monthly Capacity Value'!FH$5&amp;"/1/"&amp;'Monthly Capacity Value'!FH$6),'Capacity Prices'!$I:$I)</f>
        <v>17.649698307662089</v>
      </c>
      <c r="FI19" s="23">
        <f>SUMIF('Capacity Prices'!$H:$H,"="&amp;DATEVALUE('Monthly Capacity Value'!FI$5&amp;"/1/"&amp;'Monthly Capacity Value'!FI$6),'Capacity Prices'!$I:$I)</f>
        <v>17.649698307662089</v>
      </c>
      <c r="FJ19" s="23">
        <f>SUMIF('Capacity Prices'!$H:$H,"="&amp;DATEVALUE('Monthly Capacity Value'!FJ$5&amp;"/1/"&amp;'Monthly Capacity Value'!FJ$6),'Capacity Prices'!$I:$I)</f>
        <v>17.649698307662089</v>
      </c>
      <c r="FK19" s="23">
        <f>SUMIF('Capacity Prices'!$H:$H,"="&amp;DATEVALUE('Monthly Capacity Value'!FK$5&amp;"/1/"&amp;'Monthly Capacity Value'!FK$6),'Capacity Prices'!$I:$I)</f>
        <v>17.649698307662089</v>
      </c>
      <c r="FL19" s="23">
        <f>SUMIF('Capacity Prices'!$H:$H,"="&amp;DATEVALUE('Monthly Capacity Value'!FL$5&amp;"/1/"&amp;'Monthly Capacity Value'!FL$6),'Capacity Prices'!$I:$I)</f>
        <v>17.649698307662089</v>
      </c>
      <c r="FM19" s="23">
        <f>SUMIF('Capacity Prices'!$H:$H,"="&amp;DATEVALUE('Monthly Capacity Value'!FM$5&amp;"/1/"&amp;'Monthly Capacity Value'!FM$6),'Capacity Prices'!$I:$I)</f>
        <v>17.649698307662089</v>
      </c>
      <c r="FN19" s="23">
        <f>SUMIF('Capacity Prices'!$H:$H,"="&amp;DATEVALUE('Monthly Capacity Value'!FN$5&amp;"/1/"&amp;'Monthly Capacity Value'!FN$6),'Capacity Prices'!$I:$I)</f>
        <v>17.649698307662089</v>
      </c>
      <c r="FO19" s="23">
        <f>SUMIF('Capacity Prices'!$H:$H,"="&amp;DATEVALUE('Monthly Capacity Value'!FO$5&amp;"/1/"&amp;'Monthly Capacity Value'!FO$6),'Capacity Prices'!$I:$I)</f>
        <v>17.649698307662089</v>
      </c>
      <c r="FP19" s="23">
        <f>SUMIF('Capacity Prices'!$H:$H,"="&amp;DATEVALUE('Monthly Capacity Value'!FP$5&amp;"/1/"&amp;'Monthly Capacity Value'!FP$6),'Capacity Prices'!$I:$I)</f>
        <v>17.649698307662089</v>
      </c>
      <c r="FQ19" s="23">
        <f>SUMIF('Capacity Prices'!$H:$H,"="&amp;DATEVALUE('Monthly Capacity Value'!FQ$5&amp;"/1/"&amp;'Monthly Capacity Value'!FQ$6),'Capacity Prices'!$I:$I)</f>
        <v>17.649698307662089</v>
      </c>
      <c r="FR19" s="23">
        <f>SUMIF('Capacity Prices'!$H:$H,"="&amp;DATEVALUE('Monthly Capacity Value'!FR$5&amp;"/1/"&amp;'Monthly Capacity Value'!FR$6),'Capacity Prices'!$I:$I)</f>
        <v>17.649698307662089</v>
      </c>
      <c r="FS19" s="23">
        <f>SUMIF('Capacity Prices'!$H:$H,"="&amp;DATEVALUE('Monthly Capacity Value'!FS$5&amp;"/1/"&amp;'Monthly Capacity Value'!FS$6),'Capacity Prices'!$I:$I)</f>
        <v>17.649698307662089</v>
      </c>
      <c r="FT19" s="23">
        <f>SUMIF('Capacity Prices'!$H:$H,"="&amp;DATEVALUE('Monthly Capacity Value'!FT$5&amp;"/1/"&amp;'Monthly Capacity Value'!FT$6),'Capacity Prices'!$I:$I)</f>
        <v>18.002692273815331</v>
      </c>
      <c r="FU19" s="23">
        <f>SUMIF('Capacity Prices'!$H:$H,"="&amp;DATEVALUE('Monthly Capacity Value'!FU$5&amp;"/1/"&amp;'Monthly Capacity Value'!FU$6),'Capacity Prices'!$I:$I)</f>
        <v>18.002692273815331</v>
      </c>
      <c r="FV19" s="23">
        <f>SUMIF('Capacity Prices'!$H:$H,"="&amp;DATEVALUE('Monthly Capacity Value'!FV$5&amp;"/1/"&amp;'Monthly Capacity Value'!FV$6),'Capacity Prices'!$I:$I)</f>
        <v>18.002692273815331</v>
      </c>
      <c r="FW19" s="23">
        <f>SUMIF('Capacity Prices'!$H:$H,"="&amp;DATEVALUE('Monthly Capacity Value'!FW$5&amp;"/1/"&amp;'Monthly Capacity Value'!FW$6),'Capacity Prices'!$I:$I)</f>
        <v>18.002692273815331</v>
      </c>
      <c r="FX19" s="23">
        <f>SUMIF('Capacity Prices'!$H:$H,"="&amp;DATEVALUE('Monthly Capacity Value'!FX$5&amp;"/1/"&amp;'Monthly Capacity Value'!FX$6),'Capacity Prices'!$I:$I)</f>
        <v>18.002692273815331</v>
      </c>
      <c r="FY19" s="23">
        <f>SUMIF('Capacity Prices'!$H:$H,"="&amp;DATEVALUE('Monthly Capacity Value'!FY$5&amp;"/1/"&amp;'Monthly Capacity Value'!FY$6),'Capacity Prices'!$I:$I)</f>
        <v>18.002692273815331</v>
      </c>
      <c r="FZ19" s="23">
        <f>SUMIF('Capacity Prices'!$H:$H,"="&amp;DATEVALUE('Monthly Capacity Value'!FZ$5&amp;"/1/"&amp;'Monthly Capacity Value'!FZ$6),'Capacity Prices'!$I:$I)</f>
        <v>18.002692273815331</v>
      </c>
      <c r="GA19" s="23">
        <f>SUMIF('Capacity Prices'!$H:$H,"="&amp;DATEVALUE('Monthly Capacity Value'!GA$5&amp;"/1/"&amp;'Monthly Capacity Value'!GA$6),'Capacity Prices'!$I:$I)</f>
        <v>18.002692273815331</v>
      </c>
      <c r="GB19" s="23">
        <f>SUMIF('Capacity Prices'!$H:$H,"="&amp;DATEVALUE('Monthly Capacity Value'!GB$5&amp;"/1/"&amp;'Monthly Capacity Value'!GB$6),'Capacity Prices'!$I:$I)</f>
        <v>18.002692273815331</v>
      </c>
      <c r="GC19" s="23">
        <f>SUMIF('Capacity Prices'!$H:$H,"="&amp;DATEVALUE('Monthly Capacity Value'!GC$5&amp;"/1/"&amp;'Monthly Capacity Value'!GC$6),'Capacity Prices'!$I:$I)</f>
        <v>18.002692273815331</v>
      </c>
      <c r="GD19" s="23">
        <f>SUMIF('Capacity Prices'!$H:$H,"="&amp;DATEVALUE('Monthly Capacity Value'!GD$5&amp;"/1/"&amp;'Monthly Capacity Value'!GD$6),'Capacity Prices'!$I:$I)</f>
        <v>18.002692273815331</v>
      </c>
      <c r="GE19" s="23">
        <f>SUMIF('Capacity Prices'!$H:$H,"="&amp;DATEVALUE('Monthly Capacity Value'!GE$5&amp;"/1/"&amp;'Monthly Capacity Value'!GE$6),'Capacity Prices'!$I:$I)</f>
        <v>18.002692273815331</v>
      </c>
      <c r="GF19" s="23">
        <f>SUMIF('Capacity Prices'!$H:$H,"="&amp;DATEVALUE('Monthly Capacity Value'!GF$5&amp;"/1/"&amp;'Monthly Capacity Value'!GF$6),'Capacity Prices'!$I:$I)</f>
        <v>18.362746119291639</v>
      </c>
      <c r="GG19" s="23">
        <f>SUMIF('Capacity Prices'!$H:$H,"="&amp;DATEVALUE('Monthly Capacity Value'!GG$5&amp;"/1/"&amp;'Monthly Capacity Value'!GG$6),'Capacity Prices'!$I:$I)</f>
        <v>18.362746119291639</v>
      </c>
      <c r="GH19" s="23">
        <f>SUMIF('Capacity Prices'!$H:$H,"="&amp;DATEVALUE('Monthly Capacity Value'!GH$5&amp;"/1/"&amp;'Monthly Capacity Value'!GH$6),'Capacity Prices'!$I:$I)</f>
        <v>18.362746119291639</v>
      </c>
      <c r="GI19" s="23">
        <f>SUMIF('Capacity Prices'!$H:$H,"="&amp;DATEVALUE('Monthly Capacity Value'!GI$5&amp;"/1/"&amp;'Monthly Capacity Value'!GI$6),'Capacity Prices'!$I:$I)</f>
        <v>18.362746119291639</v>
      </c>
      <c r="GJ19" s="23">
        <f>SUMIF('Capacity Prices'!$H:$H,"="&amp;DATEVALUE('Monthly Capacity Value'!GJ$5&amp;"/1/"&amp;'Monthly Capacity Value'!GJ$6),'Capacity Prices'!$I:$I)</f>
        <v>18.362746119291639</v>
      </c>
      <c r="GK19" s="23">
        <f>SUMIF('Capacity Prices'!$H:$H,"="&amp;DATEVALUE('Monthly Capacity Value'!GK$5&amp;"/1/"&amp;'Monthly Capacity Value'!GK$6),'Capacity Prices'!$I:$I)</f>
        <v>18.362746119291639</v>
      </c>
      <c r="GL19" s="23">
        <f>SUMIF('Capacity Prices'!$H:$H,"="&amp;DATEVALUE('Monthly Capacity Value'!GL$5&amp;"/1/"&amp;'Monthly Capacity Value'!GL$6),'Capacity Prices'!$I:$I)</f>
        <v>18.362746119291639</v>
      </c>
      <c r="GN19">
        <f t="shared" si="136"/>
        <v>8</v>
      </c>
      <c r="GO19">
        <f t="shared" si="137"/>
        <v>2028</v>
      </c>
      <c r="GP19" s="1">
        <f t="shared" si="138"/>
        <v>47270</v>
      </c>
      <c r="GQ19" s="1">
        <f t="shared" si="139"/>
        <v>47634</v>
      </c>
      <c r="GR19">
        <f t="shared" si="125"/>
        <v>9</v>
      </c>
    </row>
    <row r="20" spans="1:200">
      <c r="A20" t="s">
        <v>59</v>
      </c>
      <c r="C20" s="23">
        <f>SUMIFS('Capacity Prices'!$D:$D,'Capacity Prices'!$B:$B,"&lt;="&amp;DATEVALUE('Monthly Capacity Value'!C$5&amp;"/1/"&amp;'Monthly Capacity Value'!C$6),'Capacity Prices'!$C:$C,"&gt;="&amp;DATEVALUE('Monthly Capacity Value'!C$5&amp;"/1/"&amp;'Monthly Capacity Value'!C$6))</f>
        <v>3.8</v>
      </c>
      <c r="D20" s="23">
        <f>SUMIFS('Capacity Prices'!$D:$D,'Capacity Prices'!$B:$B,"&lt;="&amp;DATEVALUE('Monthly Capacity Value'!D$5&amp;"/1/"&amp;'Monthly Capacity Value'!D$6),'Capacity Prices'!$C:$C,"&gt;="&amp;DATEVALUE('Monthly Capacity Value'!D$5&amp;"/1/"&amp;'Monthly Capacity Value'!D$6))</f>
        <v>3.8</v>
      </c>
      <c r="E20" s="23">
        <f>SUMIFS('Capacity Prices'!$D:$D,'Capacity Prices'!$B:$B,"&lt;="&amp;DATEVALUE('Monthly Capacity Value'!E$5&amp;"/1/"&amp;'Monthly Capacity Value'!E$6),'Capacity Prices'!$C:$C,"&gt;="&amp;DATEVALUE('Monthly Capacity Value'!E$5&amp;"/1/"&amp;'Monthly Capacity Value'!E$6))</f>
        <v>3.8</v>
      </c>
      <c r="F20" s="23">
        <f>SUMIFS('Capacity Prices'!$D:$D,'Capacity Prices'!$B:$B,"&lt;="&amp;DATEVALUE('Monthly Capacity Value'!F$5&amp;"/1/"&amp;'Monthly Capacity Value'!F$6),'Capacity Prices'!$C:$C,"&gt;="&amp;DATEVALUE('Monthly Capacity Value'!F$5&amp;"/1/"&amp;'Monthly Capacity Value'!F$6))</f>
        <v>3.8</v>
      </c>
      <c r="G20" s="23">
        <f>SUMIFS('Capacity Prices'!$D:$D,'Capacity Prices'!$B:$B,"&lt;="&amp;DATEVALUE('Monthly Capacity Value'!G$5&amp;"/1/"&amp;'Monthly Capacity Value'!G$6),'Capacity Prices'!$C:$C,"&gt;="&amp;DATEVALUE('Monthly Capacity Value'!G$5&amp;"/1/"&amp;'Monthly Capacity Value'!G$6))</f>
        <v>3.8</v>
      </c>
      <c r="H20" s="23">
        <f>SUMIFS('Capacity Prices'!$D:$D,'Capacity Prices'!$B:$B,"&lt;="&amp;DATEVALUE('Monthly Capacity Value'!H$5&amp;"/1/"&amp;'Monthly Capacity Value'!H$6),'Capacity Prices'!$C:$C,"&gt;="&amp;DATEVALUE('Monthly Capacity Value'!H$5&amp;"/1/"&amp;'Monthly Capacity Value'!H$6))</f>
        <v>2.0009999999999999</v>
      </c>
      <c r="I20" s="23">
        <f>SUMIFS('Capacity Prices'!$D:$D,'Capacity Prices'!$B:$B,"&lt;="&amp;DATEVALUE('Monthly Capacity Value'!I$5&amp;"/1/"&amp;'Monthly Capacity Value'!I$6),'Capacity Prices'!$C:$C,"&gt;="&amp;DATEVALUE('Monthly Capacity Value'!I$5&amp;"/1/"&amp;'Monthly Capacity Value'!I$6))</f>
        <v>2.0009999999999999</v>
      </c>
      <c r="J20" s="23">
        <f>SUMIFS('Capacity Prices'!$D:$D,'Capacity Prices'!$B:$B,"&lt;="&amp;DATEVALUE('Monthly Capacity Value'!J$5&amp;"/1/"&amp;'Monthly Capacity Value'!J$6),'Capacity Prices'!$C:$C,"&gt;="&amp;DATEVALUE('Monthly Capacity Value'!J$5&amp;"/1/"&amp;'Monthly Capacity Value'!J$6))</f>
        <v>2.0009999999999999</v>
      </c>
      <c r="K20" s="23">
        <f>SUMIFS('Capacity Prices'!$D:$D,'Capacity Prices'!$B:$B,"&lt;="&amp;DATEVALUE('Monthly Capacity Value'!K$5&amp;"/1/"&amp;'Monthly Capacity Value'!K$6),'Capacity Prices'!$C:$C,"&gt;="&amp;DATEVALUE('Monthly Capacity Value'!K$5&amp;"/1/"&amp;'Monthly Capacity Value'!K$6))</f>
        <v>2.0009999999999999</v>
      </c>
      <c r="L20" s="23">
        <f>SUMIFS('Capacity Prices'!$D:$D,'Capacity Prices'!$B:$B,"&lt;="&amp;DATEVALUE('Monthly Capacity Value'!L$5&amp;"/1/"&amp;'Monthly Capacity Value'!L$6),'Capacity Prices'!$C:$C,"&gt;="&amp;DATEVALUE('Monthly Capacity Value'!L$5&amp;"/1/"&amp;'Monthly Capacity Value'!L$6))</f>
        <v>2.0009999999999999</v>
      </c>
      <c r="M20" s="23">
        <f>SUMIFS('Capacity Prices'!$D:$D,'Capacity Prices'!$B:$B,"&lt;="&amp;DATEVALUE('Monthly Capacity Value'!M$5&amp;"/1/"&amp;'Monthly Capacity Value'!M$6),'Capacity Prices'!$C:$C,"&gt;="&amp;DATEVALUE('Monthly Capacity Value'!M$5&amp;"/1/"&amp;'Monthly Capacity Value'!M$6))</f>
        <v>2.0009999999999999</v>
      </c>
      <c r="N20" s="23">
        <f>SUMIFS('Capacity Prices'!$D:$D,'Capacity Prices'!$B:$B,"&lt;="&amp;DATEVALUE('Monthly Capacity Value'!N$5&amp;"/1/"&amp;'Monthly Capacity Value'!N$6),'Capacity Prices'!$C:$C,"&gt;="&amp;DATEVALUE('Monthly Capacity Value'!N$5&amp;"/1/"&amp;'Monthly Capacity Value'!N$6))</f>
        <v>2.0009999999999999</v>
      </c>
      <c r="O20" s="23">
        <f>SUMIFS('Capacity Prices'!$D:$D,'Capacity Prices'!$B:$B,"&lt;="&amp;DATEVALUE('Monthly Capacity Value'!O$5&amp;"/1/"&amp;'Monthly Capacity Value'!O$6),'Capacity Prices'!$C:$C,"&gt;="&amp;DATEVALUE('Monthly Capacity Value'!O$5&amp;"/1/"&amp;'Monthly Capacity Value'!O$6))</f>
        <v>2.0009999999999999</v>
      </c>
      <c r="P20" s="23">
        <f>SUMIFS('Capacity Prices'!$D:$D,'Capacity Prices'!$B:$B,"&lt;="&amp;DATEVALUE('Monthly Capacity Value'!P$5&amp;"/1/"&amp;'Monthly Capacity Value'!P$6),'Capacity Prices'!$C:$C,"&gt;="&amp;DATEVALUE('Monthly Capacity Value'!P$5&amp;"/1/"&amp;'Monthly Capacity Value'!P$6))</f>
        <v>2.0009999999999999</v>
      </c>
      <c r="Q20" s="23">
        <f>SUMIFS('Capacity Prices'!$D:$D,'Capacity Prices'!$B:$B,"&lt;="&amp;DATEVALUE('Monthly Capacity Value'!Q$5&amp;"/1/"&amp;'Monthly Capacity Value'!Q$6),'Capacity Prices'!$C:$C,"&gt;="&amp;DATEVALUE('Monthly Capacity Value'!Q$5&amp;"/1/"&amp;'Monthly Capacity Value'!Q$6))</f>
        <v>2.0009999999999999</v>
      </c>
      <c r="R20" s="23">
        <f>SUMIFS('Capacity Prices'!$D:$D,'Capacity Prices'!$B:$B,"&lt;="&amp;DATEVALUE('Monthly Capacity Value'!R$5&amp;"/1/"&amp;'Monthly Capacity Value'!R$6),'Capacity Prices'!$C:$C,"&gt;="&amp;DATEVALUE('Monthly Capacity Value'!R$5&amp;"/1/"&amp;'Monthly Capacity Value'!R$6))</f>
        <v>2.0009999999999999</v>
      </c>
      <c r="S20" s="23">
        <f>SUMIFS('Capacity Prices'!$D:$D,'Capacity Prices'!$B:$B,"&lt;="&amp;DATEVALUE('Monthly Capacity Value'!S$5&amp;"/1/"&amp;'Monthly Capacity Value'!S$6),'Capacity Prices'!$C:$C,"&gt;="&amp;DATEVALUE('Monthly Capacity Value'!S$5&amp;"/1/"&amp;'Monthly Capacity Value'!S$6))</f>
        <v>2.0009999999999999</v>
      </c>
      <c r="T20" s="23">
        <f>SUMIFS('Capacity Prices'!$D:$D,'Capacity Prices'!$B:$B,"&lt;="&amp;DATEVALUE('Monthly Capacity Value'!T$5&amp;"/1/"&amp;'Monthly Capacity Value'!T$6),'Capacity Prices'!$C:$C,"&gt;="&amp;DATEVALUE('Monthly Capacity Value'!T$5&amp;"/1/"&amp;'Monthly Capacity Value'!T$6))</f>
        <v>2.61</v>
      </c>
      <c r="U20" s="23">
        <f>SUMIFS('Capacity Prices'!$D:$D,'Capacity Prices'!$B:$B,"&lt;="&amp;DATEVALUE('Monthly Capacity Value'!U$5&amp;"/1/"&amp;'Monthly Capacity Value'!U$6),'Capacity Prices'!$C:$C,"&gt;="&amp;DATEVALUE('Monthly Capacity Value'!U$5&amp;"/1/"&amp;'Monthly Capacity Value'!U$6))</f>
        <v>2.61</v>
      </c>
      <c r="V20" s="23">
        <f>SUMIFS('Capacity Prices'!$D:$D,'Capacity Prices'!$B:$B,"&lt;="&amp;DATEVALUE('Monthly Capacity Value'!V$5&amp;"/1/"&amp;'Monthly Capacity Value'!V$6),'Capacity Prices'!$C:$C,"&gt;="&amp;DATEVALUE('Monthly Capacity Value'!V$5&amp;"/1/"&amp;'Monthly Capacity Value'!V$6))</f>
        <v>2.61</v>
      </c>
      <c r="W20" s="23">
        <f>SUMIFS('Capacity Prices'!$D:$D,'Capacity Prices'!$B:$B,"&lt;="&amp;DATEVALUE('Monthly Capacity Value'!W$5&amp;"/1/"&amp;'Monthly Capacity Value'!W$6),'Capacity Prices'!$C:$C,"&gt;="&amp;DATEVALUE('Monthly Capacity Value'!W$5&amp;"/1/"&amp;'Monthly Capacity Value'!W$6))</f>
        <v>2.61</v>
      </c>
      <c r="X20" s="23">
        <f>SUMIFS('Capacity Prices'!$D:$D,'Capacity Prices'!$B:$B,"&lt;="&amp;DATEVALUE('Monthly Capacity Value'!X$5&amp;"/1/"&amp;'Monthly Capacity Value'!X$6),'Capacity Prices'!$C:$C,"&gt;="&amp;DATEVALUE('Monthly Capacity Value'!X$5&amp;"/1/"&amp;'Monthly Capacity Value'!X$6))</f>
        <v>2.61</v>
      </c>
      <c r="Y20" s="23">
        <f>SUMIFS('Capacity Prices'!$D:$D,'Capacity Prices'!$B:$B,"&lt;="&amp;DATEVALUE('Monthly Capacity Value'!Y$5&amp;"/1/"&amp;'Monthly Capacity Value'!Y$6),'Capacity Prices'!$C:$C,"&gt;="&amp;DATEVALUE('Monthly Capacity Value'!Y$5&amp;"/1/"&amp;'Monthly Capacity Value'!Y$6))</f>
        <v>2.61</v>
      </c>
      <c r="Z20" s="23">
        <f>SUMIFS('Capacity Prices'!$D:$D,'Capacity Prices'!$B:$B,"&lt;="&amp;DATEVALUE('Monthly Capacity Value'!Z$5&amp;"/1/"&amp;'Monthly Capacity Value'!Z$6),'Capacity Prices'!$C:$C,"&gt;="&amp;DATEVALUE('Monthly Capacity Value'!Z$5&amp;"/1/"&amp;'Monthly Capacity Value'!Z$6))</f>
        <v>2.61</v>
      </c>
      <c r="AA20" s="23">
        <f>SUMIFS('Capacity Prices'!$D:$D,'Capacity Prices'!$B:$B,"&lt;="&amp;DATEVALUE('Monthly Capacity Value'!AA$5&amp;"/1/"&amp;'Monthly Capacity Value'!AA$6),'Capacity Prices'!$C:$C,"&gt;="&amp;DATEVALUE('Monthly Capacity Value'!AA$5&amp;"/1/"&amp;'Monthly Capacity Value'!AA$6))</f>
        <v>2.61</v>
      </c>
      <c r="AB20" s="23">
        <f>SUMIFS('Capacity Prices'!$D:$D,'Capacity Prices'!$B:$B,"&lt;="&amp;DATEVALUE('Monthly Capacity Value'!AB$5&amp;"/1/"&amp;'Monthly Capacity Value'!AB$6),'Capacity Prices'!$C:$C,"&gt;="&amp;DATEVALUE('Monthly Capacity Value'!AB$5&amp;"/1/"&amp;'Monthly Capacity Value'!AB$6))</f>
        <v>2.61</v>
      </c>
      <c r="AC20" s="23">
        <f>SUMIFS('Capacity Prices'!$D:$D,'Capacity Prices'!$B:$B,"&lt;="&amp;DATEVALUE('Monthly Capacity Value'!AC$5&amp;"/1/"&amp;'Monthly Capacity Value'!AC$6),'Capacity Prices'!$C:$C,"&gt;="&amp;DATEVALUE('Monthly Capacity Value'!AC$5&amp;"/1/"&amp;'Monthly Capacity Value'!AC$6))</f>
        <v>2.61</v>
      </c>
      <c r="AD20" s="23">
        <f>SUMIFS('Capacity Prices'!$D:$D,'Capacity Prices'!$B:$B,"&lt;="&amp;DATEVALUE('Monthly Capacity Value'!AD$5&amp;"/1/"&amp;'Monthly Capacity Value'!AD$6),'Capacity Prices'!$C:$C,"&gt;="&amp;DATEVALUE('Monthly Capacity Value'!AD$5&amp;"/1/"&amp;'Monthly Capacity Value'!AD$6))</f>
        <v>2.61</v>
      </c>
      <c r="AE20" s="23">
        <f>SUMIFS('Capacity Prices'!$D:$D,'Capacity Prices'!$B:$B,"&lt;="&amp;DATEVALUE('Monthly Capacity Value'!AE$5&amp;"/1/"&amp;'Monthly Capacity Value'!AE$6),'Capacity Prices'!$C:$C,"&gt;="&amp;DATEVALUE('Monthly Capacity Value'!AE$5&amp;"/1/"&amp;'Monthly Capacity Value'!AE$6))</f>
        <v>2.61</v>
      </c>
      <c r="AF20" s="23">
        <f>SUMIFS('Capacity Prices'!$D:$D,'Capacity Prices'!$B:$B,"&lt;="&amp;DATEVALUE('Monthly Capacity Value'!AF$5&amp;"/1/"&amp;'Monthly Capacity Value'!AF$6),'Capacity Prices'!$C:$C,"&gt;="&amp;DATEVALUE('Monthly Capacity Value'!AF$5&amp;"/1/"&amp;'Monthly Capacity Value'!AF$6))</f>
        <v>2.5</v>
      </c>
      <c r="AG20" s="23">
        <f>SUMIFS('Capacity Prices'!$D:$D,'Capacity Prices'!$B:$B,"&lt;="&amp;DATEVALUE('Monthly Capacity Value'!AG$5&amp;"/1/"&amp;'Monthly Capacity Value'!AG$6),'Capacity Prices'!$C:$C,"&gt;="&amp;DATEVALUE('Monthly Capacity Value'!AG$5&amp;"/1/"&amp;'Monthly Capacity Value'!AG$6))</f>
        <v>2.5</v>
      </c>
      <c r="AH20" s="23">
        <f>SUMIFS('Capacity Prices'!$D:$D,'Capacity Prices'!$B:$B,"&lt;="&amp;DATEVALUE('Monthly Capacity Value'!AH$5&amp;"/1/"&amp;'Monthly Capacity Value'!AH$6),'Capacity Prices'!$C:$C,"&gt;="&amp;DATEVALUE('Monthly Capacity Value'!AH$5&amp;"/1/"&amp;'Monthly Capacity Value'!AH$6))</f>
        <v>2.5</v>
      </c>
      <c r="AI20" s="23">
        <f>SUMIFS('Capacity Prices'!$D:$D,'Capacity Prices'!$B:$B,"&lt;="&amp;DATEVALUE('Monthly Capacity Value'!AI$5&amp;"/1/"&amp;'Monthly Capacity Value'!AI$6),'Capacity Prices'!$C:$C,"&gt;="&amp;DATEVALUE('Monthly Capacity Value'!AI$5&amp;"/1/"&amp;'Monthly Capacity Value'!AI$6))</f>
        <v>2.5</v>
      </c>
      <c r="AJ20" s="23">
        <f>SUMIFS('Capacity Prices'!$D:$D,'Capacity Prices'!$B:$B,"&lt;="&amp;DATEVALUE('Monthly Capacity Value'!AJ$5&amp;"/1/"&amp;'Monthly Capacity Value'!AJ$6),'Capacity Prices'!$C:$C,"&gt;="&amp;DATEVALUE('Monthly Capacity Value'!AJ$5&amp;"/1/"&amp;'Monthly Capacity Value'!AJ$6))</f>
        <v>2.5</v>
      </c>
      <c r="AK20" s="23">
        <f>SUMIFS('Capacity Prices'!$D:$D,'Capacity Prices'!$B:$B,"&lt;="&amp;DATEVALUE('Monthly Capacity Value'!AK$5&amp;"/1/"&amp;'Monthly Capacity Value'!AK$6),'Capacity Prices'!$C:$C,"&gt;="&amp;DATEVALUE('Monthly Capacity Value'!AK$5&amp;"/1/"&amp;'Monthly Capacity Value'!AK$6))</f>
        <v>2.5</v>
      </c>
      <c r="AL20" s="23">
        <f>SUMIFS('Capacity Prices'!$D:$D,'Capacity Prices'!$B:$B,"&lt;="&amp;DATEVALUE('Monthly Capacity Value'!AL$5&amp;"/1/"&amp;'Monthly Capacity Value'!AL$6),'Capacity Prices'!$C:$C,"&gt;="&amp;DATEVALUE('Monthly Capacity Value'!AL$5&amp;"/1/"&amp;'Monthly Capacity Value'!AL$6))</f>
        <v>2.5</v>
      </c>
      <c r="AM20" s="23">
        <f>SUMIFS('Capacity Prices'!$D:$D,'Capacity Prices'!$B:$B,"&lt;="&amp;DATEVALUE('Monthly Capacity Value'!AM$5&amp;"/1/"&amp;'Monthly Capacity Value'!AM$6),'Capacity Prices'!$C:$C,"&gt;="&amp;DATEVALUE('Monthly Capacity Value'!AM$5&amp;"/1/"&amp;'Monthly Capacity Value'!AM$6))</f>
        <v>2.5</v>
      </c>
      <c r="AN20" s="23">
        <f>SUMIFS('Capacity Prices'!$D:$D,'Capacity Prices'!$B:$B,"&lt;="&amp;DATEVALUE('Monthly Capacity Value'!AN$5&amp;"/1/"&amp;'Monthly Capacity Value'!AN$6),'Capacity Prices'!$C:$C,"&gt;="&amp;DATEVALUE('Monthly Capacity Value'!AN$5&amp;"/1/"&amp;'Monthly Capacity Value'!AN$6))</f>
        <v>2.5</v>
      </c>
      <c r="AO20" s="23">
        <f>SUMIFS('Capacity Prices'!$D:$D,'Capacity Prices'!$B:$B,"&lt;="&amp;DATEVALUE('Monthly Capacity Value'!AO$5&amp;"/1/"&amp;'Monthly Capacity Value'!AO$6),'Capacity Prices'!$C:$C,"&gt;="&amp;DATEVALUE('Monthly Capacity Value'!AO$5&amp;"/1/"&amp;'Monthly Capacity Value'!AO$6))</f>
        <v>2.5</v>
      </c>
      <c r="AP20" s="23">
        <f>SUMIFS('Capacity Prices'!$D:$D,'Capacity Prices'!$B:$B,"&lt;="&amp;DATEVALUE('Monthly Capacity Value'!AP$5&amp;"/1/"&amp;'Monthly Capacity Value'!AP$6),'Capacity Prices'!$C:$C,"&gt;="&amp;DATEVALUE('Monthly Capacity Value'!AP$5&amp;"/1/"&amp;'Monthly Capacity Value'!AP$6))</f>
        <v>2.5</v>
      </c>
      <c r="AQ20" s="23">
        <f>SUMIFS('Capacity Prices'!$D:$D,'Capacity Prices'!$B:$B,"&lt;="&amp;DATEVALUE('Monthly Capacity Value'!AQ$5&amp;"/1/"&amp;'Monthly Capacity Value'!AQ$6),'Capacity Prices'!$C:$C,"&gt;="&amp;DATEVALUE('Monthly Capacity Value'!AQ$5&amp;"/1/"&amp;'Monthly Capacity Value'!AQ$6))</f>
        <v>2.5</v>
      </c>
      <c r="AR20" s="23">
        <f>SUMIFS('Capacity Prices'!$D:$D,'Capacity Prices'!$B:$B,"&lt;="&amp;DATEVALUE('Monthly Capacity Value'!AR$5&amp;"/1/"&amp;'Monthly Capacity Value'!AR$6),'Capacity Prices'!$C:$C,"&gt;="&amp;DATEVALUE('Monthly Capacity Value'!AR$5&amp;"/1/"&amp;'Monthly Capacity Value'!AR$6))</f>
        <v>2.5</v>
      </c>
      <c r="AS20" s="23">
        <f>SUMIFS('Capacity Prices'!$D:$D,'Capacity Prices'!$B:$B,"&lt;="&amp;DATEVALUE('Monthly Capacity Value'!AS$5&amp;"/1/"&amp;'Monthly Capacity Value'!AS$6),'Capacity Prices'!$C:$C,"&gt;="&amp;DATEVALUE('Monthly Capacity Value'!AS$5&amp;"/1/"&amp;'Monthly Capacity Value'!AS$6))</f>
        <v>2.5</v>
      </c>
      <c r="AT20" s="23">
        <f>SUMIFS('Capacity Prices'!$D:$D,'Capacity Prices'!$B:$B,"&lt;="&amp;DATEVALUE('Monthly Capacity Value'!AT$5&amp;"/1/"&amp;'Monthly Capacity Value'!AT$6),'Capacity Prices'!$C:$C,"&gt;="&amp;DATEVALUE('Monthly Capacity Value'!AT$5&amp;"/1/"&amp;'Monthly Capacity Value'!AT$6))</f>
        <v>2.5</v>
      </c>
      <c r="AU20" s="23">
        <f>SUMIFS('Capacity Prices'!$D:$D,'Capacity Prices'!$B:$B,"&lt;="&amp;DATEVALUE('Monthly Capacity Value'!AU$5&amp;"/1/"&amp;'Monthly Capacity Value'!AU$6),'Capacity Prices'!$C:$C,"&gt;="&amp;DATEVALUE('Monthly Capacity Value'!AU$5&amp;"/1/"&amp;'Monthly Capacity Value'!AU$6))</f>
        <v>2.5</v>
      </c>
      <c r="AV20" s="23">
        <f>SUMIFS('Capacity Prices'!$D:$D,'Capacity Prices'!$B:$B,"&lt;="&amp;DATEVALUE('Monthly Capacity Value'!AV$5&amp;"/1/"&amp;'Monthly Capacity Value'!AV$6),'Capacity Prices'!$C:$C,"&gt;="&amp;DATEVALUE('Monthly Capacity Value'!AV$5&amp;"/1/"&amp;'Monthly Capacity Value'!AV$6))</f>
        <v>2.5</v>
      </c>
      <c r="AW20" s="23">
        <f>SUMIFS('Capacity Prices'!$D:$D,'Capacity Prices'!$B:$B,"&lt;="&amp;DATEVALUE('Monthly Capacity Value'!AW$5&amp;"/1/"&amp;'Monthly Capacity Value'!AW$6),'Capacity Prices'!$C:$C,"&gt;="&amp;DATEVALUE('Monthly Capacity Value'!AW$5&amp;"/1/"&amp;'Monthly Capacity Value'!AW$6))</f>
        <v>2.5</v>
      </c>
      <c r="AX20" s="23">
        <f>SUMIFS('Capacity Prices'!$D:$D,'Capacity Prices'!$B:$B,"&lt;="&amp;DATEVALUE('Monthly Capacity Value'!AX$5&amp;"/1/"&amp;'Monthly Capacity Value'!AX$6),'Capacity Prices'!$C:$C,"&gt;="&amp;DATEVALUE('Monthly Capacity Value'!AX$5&amp;"/1/"&amp;'Monthly Capacity Value'!AX$6))</f>
        <v>2.5</v>
      </c>
      <c r="AY20" s="23">
        <f>SUMIFS('Capacity Prices'!$D:$D,'Capacity Prices'!$B:$B,"&lt;="&amp;DATEVALUE('Monthly Capacity Value'!AY$5&amp;"/1/"&amp;'Monthly Capacity Value'!AY$6),'Capacity Prices'!$C:$C,"&gt;="&amp;DATEVALUE('Monthly Capacity Value'!AY$5&amp;"/1/"&amp;'Monthly Capacity Value'!AY$6))</f>
        <v>2.5</v>
      </c>
      <c r="AZ20" s="23">
        <f>SUMIFS('Capacity Prices'!$D:$D,'Capacity Prices'!$B:$B,"&lt;="&amp;DATEVALUE('Monthly Capacity Value'!AZ$5&amp;"/1/"&amp;'Monthly Capacity Value'!AZ$6),'Capacity Prices'!$C:$C,"&gt;="&amp;DATEVALUE('Monthly Capacity Value'!AZ$5&amp;"/1/"&amp;'Monthly Capacity Value'!AZ$6))</f>
        <v>2.5</v>
      </c>
      <c r="BA20" s="23">
        <f>SUMIFS('Capacity Prices'!$D:$D,'Capacity Prices'!$B:$B,"&lt;="&amp;DATEVALUE('Monthly Capacity Value'!BA$5&amp;"/1/"&amp;'Monthly Capacity Value'!BA$6),'Capacity Prices'!$C:$C,"&gt;="&amp;DATEVALUE('Monthly Capacity Value'!BA$5&amp;"/1/"&amp;'Monthly Capacity Value'!BA$6))</f>
        <v>2.5</v>
      </c>
      <c r="BB20" s="23">
        <f>SUMIFS('Capacity Prices'!$D:$D,'Capacity Prices'!$B:$B,"&lt;="&amp;DATEVALUE('Monthly Capacity Value'!BB$5&amp;"/1/"&amp;'Monthly Capacity Value'!BB$6),'Capacity Prices'!$C:$C,"&gt;="&amp;DATEVALUE('Monthly Capacity Value'!BB$5&amp;"/1/"&amp;'Monthly Capacity Value'!BB$6))</f>
        <v>2.5</v>
      </c>
      <c r="BC20" s="23">
        <f>SUMIFS('Capacity Prices'!$D:$D,'Capacity Prices'!$B:$B,"&lt;="&amp;DATEVALUE('Monthly Capacity Value'!BC$5&amp;"/1/"&amp;'Monthly Capacity Value'!BC$6),'Capacity Prices'!$C:$C,"&gt;="&amp;DATEVALUE('Monthly Capacity Value'!BC$5&amp;"/1/"&amp;'Monthly Capacity Value'!BC$6))</f>
        <v>2.5</v>
      </c>
      <c r="BD20" s="23">
        <f>SUMIFS('Capacity Prices'!$D:$D,'Capacity Prices'!$B:$B,"&lt;="&amp;DATEVALUE('Monthly Capacity Value'!BD$5&amp;"/1/"&amp;'Monthly Capacity Value'!BD$6),'Capacity Prices'!$C:$C,"&gt;="&amp;DATEVALUE('Monthly Capacity Value'!BD$5&amp;"/1/"&amp;'Monthly Capacity Value'!BD$6))</f>
        <v>2.95</v>
      </c>
      <c r="BE20" s="23">
        <f>SUMIFS('Capacity Prices'!$D:$D,'Capacity Prices'!$B:$B,"&lt;="&amp;DATEVALUE('Monthly Capacity Value'!BE$5&amp;"/1/"&amp;'Monthly Capacity Value'!BE$6),'Capacity Prices'!$C:$C,"&gt;="&amp;DATEVALUE('Monthly Capacity Value'!BE$5&amp;"/1/"&amp;'Monthly Capacity Value'!BE$6))</f>
        <v>2.95</v>
      </c>
      <c r="BF20" s="23">
        <f>SUMIFS('Capacity Prices'!$D:$D,'Capacity Prices'!$B:$B,"&lt;="&amp;DATEVALUE('Monthly Capacity Value'!BF$5&amp;"/1/"&amp;'Monthly Capacity Value'!BF$6),'Capacity Prices'!$C:$C,"&gt;="&amp;DATEVALUE('Monthly Capacity Value'!BF$5&amp;"/1/"&amp;'Monthly Capacity Value'!BF$6))</f>
        <v>2.95</v>
      </c>
      <c r="BG20" s="23">
        <f>SUMIFS('Capacity Prices'!$D:$D,'Capacity Prices'!$B:$B,"&lt;="&amp;DATEVALUE('Monthly Capacity Value'!BG$5&amp;"/1/"&amp;'Monthly Capacity Value'!BG$6),'Capacity Prices'!$C:$C,"&gt;="&amp;DATEVALUE('Monthly Capacity Value'!BG$5&amp;"/1/"&amp;'Monthly Capacity Value'!BG$6))</f>
        <v>2.95</v>
      </c>
      <c r="BH20" s="23">
        <f>SUMIFS('Capacity Prices'!$D:$D,'Capacity Prices'!$B:$B,"&lt;="&amp;DATEVALUE('Monthly Capacity Value'!BH$5&amp;"/1/"&amp;'Monthly Capacity Value'!BH$6),'Capacity Prices'!$C:$C,"&gt;="&amp;DATEVALUE('Monthly Capacity Value'!BH$5&amp;"/1/"&amp;'Monthly Capacity Value'!BH$6))</f>
        <v>2.95</v>
      </c>
      <c r="BI20" s="23">
        <f>SUMIFS('Capacity Prices'!$D:$D,'Capacity Prices'!$B:$B,"&lt;="&amp;DATEVALUE('Monthly Capacity Value'!BI$5&amp;"/1/"&amp;'Monthly Capacity Value'!BI$6),'Capacity Prices'!$C:$C,"&gt;="&amp;DATEVALUE('Monthly Capacity Value'!BI$5&amp;"/1/"&amp;'Monthly Capacity Value'!BI$6))</f>
        <v>2.95</v>
      </c>
      <c r="BJ20" s="23">
        <f>SUMIFS('Capacity Prices'!$D:$D,'Capacity Prices'!$B:$B,"&lt;="&amp;DATEVALUE('Monthly Capacity Value'!BJ$5&amp;"/1/"&amp;'Monthly Capacity Value'!BJ$6),'Capacity Prices'!$C:$C,"&gt;="&amp;DATEVALUE('Monthly Capacity Value'!BJ$5&amp;"/1/"&amp;'Monthly Capacity Value'!BJ$6))</f>
        <v>2.95</v>
      </c>
      <c r="BK20" s="23">
        <f>SUMIFS('Capacity Prices'!$D:$D,'Capacity Prices'!$B:$B,"&lt;="&amp;DATEVALUE('Monthly Capacity Value'!BK$5&amp;"/1/"&amp;'Monthly Capacity Value'!BK$6),'Capacity Prices'!$C:$C,"&gt;="&amp;DATEVALUE('Monthly Capacity Value'!BK$5&amp;"/1/"&amp;'Monthly Capacity Value'!BK$6))</f>
        <v>2.95</v>
      </c>
      <c r="BL20" s="23">
        <f>SUMIFS('Capacity Prices'!$D:$D,'Capacity Prices'!$B:$B,"&lt;="&amp;DATEVALUE('Monthly Capacity Value'!BL$5&amp;"/1/"&amp;'Monthly Capacity Value'!BL$6),'Capacity Prices'!$C:$C,"&gt;="&amp;DATEVALUE('Monthly Capacity Value'!BL$5&amp;"/1/"&amp;'Monthly Capacity Value'!BL$6))</f>
        <v>2.95</v>
      </c>
      <c r="BM20" s="23">
        <f>SUMIFS('Capacity Prices'!$D:$D,'Capacity Prices'!$B:$B,"&lt;="&amp;DATEVALUE('Monthly Capacity Value'!BM$5&amp;"/1/"&amp;'Monthly Capacity Value'!BM$6),'Capacity Prices'!$C:$C,"&gt;="&amp;DATEVALUE('Monthly Capacity Value'!BM$5&amp;"/1/"&amp;'Monthly Capacity Value'!BM$6))</f>
        <v>2.95</v>
      </c>
      <c r="BN20" s="23">
        <f>SUMIFS('Capacity Prices'!$D:$D,'Capacity Prices'!$B:$B,"&lt;="&amp;DATEVALUE('Monthly Capacity Value'!BN$5&amp;"/1/"&amp;'Monthly Capacity Value'!BN$6),'Capacity Prices'!$C:$C,"&gt;="&amp;DATEVALUE('Monthly Capacity Value'!BN$5&amp;"/1/"&amp;'Monthly Capacity Value'!BN$6))</f>
        <v>2.95</v>
      </c>
      <c r="BO20" s="23">
        <f>SUMIFS('Capacity Prices'!$D:$D,'Capacity Prices'!$B:$B,"&lt;="&amp;DATEVALUE('Monthly Capacity Value'!BO$5&amp;"/1/"&amp;'Monthly Capacity Value'!BO$6),'Capacity Prices'!$C:$C,"&gt;="&amp;DATEVALUE('Monthly Capacity Value'!BO$5&amp;"/1/"&amp;'Monthly Capacity Value'!BO$6))</f>
        <v>2.95</v>
      </c>
      <c r="BP20" s="23">
        <f>SUMIFS('Capacity Prices'!$D:$D,'Capacity Prices'!$B:$B,"&lt;="&amp;DATEVALUE('Monthly Capacity Value'!BP$5&amp;"/1/"&amp;'Monthly Capacity Value'!BP$6),'Capacity Prices'!$C:$C,"&gt;="&amp;DATEVALUE('Monthly Capacity Value'!BP$5&amp;"/1/"&amp;'Monthly Capacity Value'!BP$6))</f>
        <v>3</v>
      </c>
      <c r="BQ20" s="23">
        <f>SUMIFS('Capacity Prices'!$D:$D,'Capacity Prices'!$B:$B,"&lt;="&amp;DATEVALUE('Monthly Capacity Value'!BQ$5&amp;"/1/"&amp;'Monthly Capacity Value'!BQ$6),'Capacity Prices'!$C:$C,"&gt;="&amp;DATEVALUE('Monthly Capacity Value'!BQ$5&amp;"/1/"&amp;'Monthly Capacity Value'!BQ$6))</f>
        <v>3</v>
      </c>
      <c r="BR20" s="23">
        <f>SUMIFS('Capacity Prices'!$D:$D,'Capacity Prices'!$B:$B,"&lt;="&amp;DATEVALUE('Monthly Capacity Value'!BR$5&amp;"/1/"&amp;'Monthly Capacity Value'!BR$6),'Capacity Prices'!$C:$C,"&gt;="&amp;DATEVALUE('Monthly Capacity Value'!BR$5&amp;"/1/"&amp;'Monthly Capacity Value'!BR$6))</f>
        <v>3</v>
      </c>
      <c r="BS20" s="23">
        <f>SUMIFS('Capacity Prices'!$D:$D,'Capacity Prices'!$B:$B,"&lt;="&amp;DATEVALUE('Monthly Capacity Value'!BS$5&amp;"/1/"&amp;'Monthly Capacity Value'!BS$6),'Capacity Prices'!$C:$C,"&gt;="&amp;DATEVALUE('Monthly Capacity Value'!BS$5&amp;"/1/"&amp;'Monthly Capacity Value'!BS$6))</f>
        <v>3</v>
      </c>
      <c r="BT20" s="23">
        <f>SUMIFS('Capacity Prices'!$D:$D,'Capacity Prices'!$B:$B,"&lt;="&amp;DATEVALUE('Monthly Capacity Value'!BT$5&amp;"/1/"&amp;'Monthly Capacity Value'!BT$6),'Capacity Prices'!$C:$C,"&gt;="&amp;DATEVALUE('Monthly Capacity Value'!BT$5&amp;"/1/"&amp;'Monthly Capacity Value'!BT$6))</f>
        <v>3</v>
      </c>
      <c r="BU20" s="23">
        <f>SUMIFS('Capacity Prices'!$D:$D,'Capacity Prices'!$B:$B,"&lt;="&amp;DATEVALUE('Monthly Capacity Value'!BU$5&amp;"/1/"&amp;'Monthly Capacity Value'!BU$6),'Capacity Prices'!$C:$C,"&gt;="&amp;DATEVALUE('Monthly Capacity Value'!BU$5&amp;"/1/"&amp;'Monthly Capacity Value'!BU$6))</f>
        <v>3</v>
      </c>
      <c r="BV20" s="23">
        <f>SUMIFS('Capacity Prices'!$D:$D,'Capacity Prices'!$B:$B,"&lt;="&amp;DATEVALUE('Monthly Capacity Value'!BV$5&amp;"/1/"&amp;'Monthly Capacity Value'!BV$6),'Capacity Prices'!$C:$C,"&gt;="&amp;DATEVALUE('Monthly Capacity Value'!BV$5&amp;"/1/"&amp;'Monthly Capacity Value'!BV$6))</f>
        <v>3</v>
      </c>
      <c r="BW20" s="23">
        <f>SUMIFS('Capacity Prices'!$D:$D,'Capacity Prices'!$B:$B,"&lt;="&amp;DATEVALUE('Monthly Capacity Value'!BW$5&amp;"/1/"&amp;'Monthly Capacity Value'!BW$6),'Capacity Prices'!$C:$C,"&gt;="&amp;DATEVALUE('Monthly Capacity Value'!BW$5&amp;"/1/"&amp;'Monthly Capacity Value'!BW$6))</f>
        <v>3</v>
      </c>
      <c r="BX20" s="23">
        <f>SUMIFS('Capacity Prices'!$D:$D,'Capacity Prices'!$B:$B,"&lt;="&amp;DATEVALUE('Monthly Capacity Value'!BX$5&amp;"/1/"&amp;'Monthly Capacity Value'!BX$6),'Capacity Prices'!$C:$C,"&gt;="&amp;DATEVALUE('Monthly Capacity Value'!BX$5&amp;"/1/"&amp;'Monthly Capacity Value'!BX$6))</f>
        <v>3</v>
      </c>
      <c r="BY20" s="23">
        <f>SUMIFS('Capacity Prices'!$D:$D,'Capacity Prices'!$B:$B,"&lt;="&amp;DATEVALUE('Monthly Capacity Value'!BY$5&amp;"/1/"&amp;'Monthly Capacity Value'!BY$6),'Capacity Prices'!$C:$C,"&gt;="&amp;DATEVALUE('Monthly Capacity Value'!BY$5&amp;"/1/"&amp;'Monthly Capacity Value'!BY$6))</f>
        <v>3</v>
      </c>
      <c r="BZ20" s="23">
        <f>SUMIFS('Capacity Prices'!$D:$D,'Capacity Prices'!$B:$B,"&lt;="&amp;DATEVALUE('Monthly Capacity Value'!BZ$5&amp;"/1/"&amp;'Monthly Capacity Value'!BZ$6),'Capacity Prices'!$C:$C,"&gt;="&amp;DATEVALUE('Monthly Capacity Value'!BZ$5&amp;"/1/"&amp;'Monthly Capacity Value'!BZ$6))</f>
        <v>3</v>
      </c>
      <c r="CA20" s="23">
        <f>SUMIFS('Capacity Prices'!$D:$D,'Capacity Prices'!$B:$B,"&lt;="&amp;DATEVALUE('Monthly Capacity Value'!CA$5&amp;"/1/"&amp;'Monthly Capacity Value'!CA$6),'Capacity Prices'!$C:$C,"&gt;="&amp;DATEVALUE('Monthly Capacity Value'!CA$5&amp;"/1/"&amp;'Monthly Capacity Value'!CA$6))</f>
        <v>3</v>
      </c>
      <c r="CB20" s="23">
        <f>SUMIFS('Capacity Prices'!$D:$D,'Capacity Prices'!$B:$B,"&lt;="&amp;DATEVALUE('Monthly Capacity Value'!CB$5&amp;"/1/"&amp;'Monthly Capacity Value'!CB$6),'Capacity Prices'!$C:$C,"&gt;="&amp;DATEVALUE('Monthly Capacity Value'!CB$5&amp;"/1/"&amp;'Monthly Capacity Value'!CB$6))</f>
        <v>3.4</v>
      </c>
      <c r="CC20" s="23">
        <f>SUMIFS('Capacity Prices'!$D:$D,'Capacity Prices'!$B:$B,"&lt;="&amp;DATEVALUE('Monthly Capacity Value'!CC$5&amp;"/1/"&amp;'Monthly Capacity Value'!CC$6),'Capacity Prices'!$C:$C,"&gt;="&amp;DATEVALUE('Monthly Capacity Value'!CC$5&amp;"/1/"&amp;'Monthly Capacity Value'!CC$6))</f>
        <v>3.4</v>
      </c>
      <c r="CD20" s="23">
        <f>SUMIFS('Capacity Prices'!$D:$D,'Capacity Prices'!$B:$B,"&lt;="&amp;DATEVALUE('Monthly Capacity Value'!CD$5&amp;"/1/"&amp;'Monthly Capacity Value'!CD$6),'Capacity Prices'!$C:$C,"&gt;="&amp;DATEVALUE('Monthly Capacity Value'!CD$5&amp;"/1/"&amp;'Monthly Capacity Value'!CD$6))</f>
        <v>3.4</v>
      </c>
      <c r="CE20" s="23">
        <f>SUMIFS('Capacity Prices'!$D:$D,'Capacity Prices'!$B:$B,"&lt;="&amp;DATEVALUE('Monthly Capacity Value'!CE$5&amp;"/1/"&amp;'Monthly Capacity Value'!CE$6),'Capacity Prices'!$C:$C,"&gt;="&amp;DATEVALUE('Monthly Capacity Value'!CE$5&amp;"/1/"&amp;'Monthly Capacity Value'!CE$6))</f>
        <v>3.4</v>
      </c>
      <c r="CF20" s="23">
        <f>SUMIFS('Capacity Prices'!$D:$D,'Capacity Prices'!$B:$B,"&lt;="&amp;DATEVALUE('Monthly Capacity Value'!CF$5&amp;"/1/"&amp;'Monthly Capacity Value'!CF$6),'Capacity Prices'!$C:$C,"&gt;="&amp;DATEVALUE('Monthly Capacity Value'!CF$5&amp;"/1/"&amp;'Monthly Capacity Value'!CF$6))</f>
        <v>3.4</v>
      </c>
      <c r="CG20" s="23">
        <f>SUMIFS('Capacity Prices'!$D:$D,'Capacity Prices'!$B:$B,"&lt;="&amp;DATEVALUE('Monthly Capacity Value'!CG$5&amp;"/1/"&amp;'Monthly Capacity Value'!CG$6),'Capacity Prices'!$C:$C,"&gt;="&amp;DATEVALUE('Monthly Capacity Value'!CG$5&amp;"/1/"&amp;'Monthly Capacity Value'!CG$6))</f>
        <v>3.4</v>
      </c>
      <c r="CH20" s="23">
        <f>SUMIFS('Capacity Prices'!$D:$D,'Capacity Prices'!$B:$B,"&lt;="&amp;DATEVALUE('Monthly Capacity Value'!CH$5&amp;"/1/"&amp;'Monthly Capacity Value'!CH$6),'Capacity Prices'!$C:$C,"&gt;="&amp;DATEVALUE('Monthly Capacity Value'!CH$5&amp;"/1/"&amp;'Monthly Capacity Value'!CH$6))</f>
        <v>3.4</v>
      </c>
      <c r="CI20" s="23">
        <f>SUMIFS('Capacity Prices'!$D:$D,'Capacity Prices'!$B:$B,"&lt;="&amp;DATEVALUE('Monthly Capacity Value'!CI$5&amp;"/1/"&amp;'Monthly Capacity Value'!CI$6),'Capacity Prices'!$C:$C,"&gt;="&amp;DATEVALUE('Monthly Capacity Value'!CI$5&amp;"/1/"&amp;'Monthly Capacity Value'!CI$6))</f>
        <v>3.4</v>
      </c>
      <c r="CJ20" s="23">
        <f>SUMIFS('Capacity Prices'!$D:$D,'Capacity Prices'!$B:$B,"&lt;="&amp;DATEVALUE('Monthly Capacity Value'!CJ$5&amp;"/1/"&amp;'Monthly Capacity Value'!CJ$6),'Capacity Prices'!$C:$C,"&gt;="&amp;DATEVALUE('Monthly Capacity Value'!CJ$5&amp;"/1/"&amp;'Monthly Capacity Value'!CJ$6))</f>
        <v>3.4</v>
      </c>
      <c r="CK20" s="23">
        <f>SUMIFS('Capacity Prices'!$D:$D,'Capacity Prices'!$B:$B,"&lt;="&amp;DATEVALUE('Monthly Capacity Value'!CK$5&amp;"/1/"&amp;'Monthly Capacity Value'!CK$6),'Capacity Prices'!$C:$C,"&gt;="&amp;DATEVALUE('Monthly Capacity Value'!CK$5&amp;"/1/"&amp;'Monthly Capacity Value'!CK$6))</f>
        <v>3.4</v>
      </c>
      <c r="CL20" s="23">
        <f>SUMIFS('Capacity Prices'!$D:$D,'Capacity Prices'!$B:$B,"&lt;="&amp;DATEVALUE('Monthly Capacity Value'!CL$5&amp;"/1/"&amp;'Monthly Capacity Value'!CL$6),'Capacity Prices'!$C:$C,"&gt;="&amp;DATEVALUE('Monthly Capacity Value'!CL$5&amp;"/1/"&amp;'Monthly Capacity Value'!CL$6))</f>
        <v>3.4</v>
      </c>
      <c r="CM20" s="23">
        <f>SUMIFS('Capacity Prices'!$D:$D,'Capacity Prices'!$B:$B,"&lt;="&amp;DATEVALUE('Monthly Capacity Value'!CM$5&amp;"/1/"&amp;'Monthly Capacity Value'!CM$6),'Capacity Prices'!$C:$C,"&gt;="&amp;DATEVALUE('Monthly Capacity Value'!CM$5&amp;"/1/"&amp;'Monthly Capacity Value'!CM$6))</f>
        <v>3.4</v>
      </c>
      <c r="CN20" s="23">
        <f>SUMIFS('Capacity Prices'!$D:$D,'Capacity Prices'!$B:$B,"&lt;="&amp;DATEVALUE('Monthly Capacity Value'!CN$5&amp;"/1/"&amp;'Monthly Capacity Value'!CN$6),'Capacity Prices'!$C:$C,"&gt;="&amp;DATEVALUE('Monthly Capacity Value'!CN$5&amp;"/1/"&amp;'Monthly Capacity Value'!CN$6))</f>
        <v>3.57</v>
      </c>
      <c r="CO20" s="23">
        <f>SUMIFS('Capacity Prices'!$D:$D,'Capacity Prices'!$B:$B,"&lt;="&amp;DATEVALUE('Monthly Capacity Value'!CO$5&amp;"/1/"&amp;'Monthly Capacity Value'!CO$6),'Capacity Prices'!$C:$C,"&gt;="&amp;DATEVALUE('Monthly Capacity Value'!CO$5&amp;"/1/"&amp;'Monthly Capacity Value'!CO$6))</f>
        <v>3.57</v>
      </c>
      <c r="CP20" s="23">
        <f>SUMIFS('Capacity Prices'!$D:$D,'Capacity Prices'!$B:$B,"&lt;="&amp;DATEVALUE('Monthly Capacity Value'!CP$5&amp;"/1/"&amp;'Monthly Capacity Value'!CP$6),'Capacity Prices'!$C:$C,"&gt;="&amp;DATEVALUE('Monthly Capacity Value'!CP$5&amp;"/1/"&amp;'Monthly Capacity Value'!CP$6))</f>
        <v>3.57</v>
      </c>
      <c r="CQ20" s="23">
        <f>SUMIFS('Capacity Prices'!$D:$D,'Capacity Prices'!$B:$B,"&lt;="&amp;DATEVALUE('Monthly Capacity Value'!CQ$5&amp;"/1/"&amp;'Monthly Capacity Value'!CQ$6),'Capacity Prices'!$C:$C,"&gt;="&amp;DATEVALUE('Monthly Capacity Value'!CQ$5&amp;"/1/"&amp;'Monthly Capacity Value'!CQ$6))</f>
        <v>3.57</v>
      </c>
      <c r="CR20" s="23">
        <f>SUMIFS('Capacity Prices'!$D:$D,'Capacity Prices'!$B:$B,"&lt;="&amp;DATEVALUE('Monthly Capacity Value'!CR$5&amp;"/1/"&amp;'Monthly Capacity Value'!CR$6),'Capacity Prices'!$C:$C,"&gt;="&amp;DATEVALUE('Monthly Capacity Value'!CR$5&amp;"/1/"&amp;'Monthly Capacity Value'!CR$6))</f>
        <v>3.57</v>
      </c>
      <c r="CS20" s="23">
        <f>SUMIFS('Capacity Prices'!$D:$D,'Capacity Prices'!$B:$B,"&lt;="&amp;DATEVALUE('Monthly Capacity Value'!CS$5&amp;"/1/"&amp;'Monthly Capacity Value'!CS$6),'Capacity Prices'!$C:$C,"&gt;="&amp;DATEVALUE('Monthly Capacity Value'!CS$5&amp;"/1/"&amp;'Monthly Capacity Value'!CS$6))</f>
        <v>3.57</v>
      </c>
      <c r="CT20" s="23">
        <f>SUMIFS('Capacity Prices'!$D:$D,'Capacity Prices'!$B:$B,"&lt;="&amp;DATEVALUE('Monthly Capacity Value'!CT$5&amp;"/1/"&amp;'Monthly Capacity Value'!CT$6),'Capacity Prices'!$C:$C,"&gt;="&amp;DATEVALUE('Monthly Capacity Value'!CT$5&amp;"/1/"&amp;'Monthly Capacity Value'!CT$6))</f>
        <v>3.57</v>
      </c>
      <c r="CU20" s="23">
        <f>SUMIFS('Capacity Prices'!$D:$D,'Capacity Prices'!$B:$B,"&lt;="&amp;DATEVALUE('Monthly Capacity Value'!CU$5&amp;"/1/"&amp;'Monthly Capacity Value'!CU$6),'Capacity Prices'!$C:$C,"&gt;="&amp;DATEVALUE('Monthly Capacity Value'!CU$5&amp;"/1/"&amp;'Monthly Capacity Value'!CU$6))</f>
        <v>3.57</v>
      </c>
      <c r="CV20" s="23">
        <f>SUMIFS('Capacity Prices'!$D:$D,'Capacity Prices'!$B:$B,"&lt;="&amp;DATEVALUE('Monthly Capacity Value'!CV$5&amp;"/1/"&amp;'Monthly Capacity Value'!CV$6),'Capacity Prices'!$C:$C,"&gt;="&amp;DATEVALUE('Monthly Capacity Value'!CV$5&amp;"/1/"&amp;'Monthly Capacity Value'!CV$6))</f>
        <v>3.57</v>
      </c>
      <c r="CW20" s="23">
        <f>SUMIFS('Capacity Prices'!$D:$D,'Capacity Prices'!$B:$B,"&lt;="&amp;DATEVALUE('Monthly Capacity Value'!CW$5&amp;"/1/"&amp;'Monthly Capacity Value'!CW$6),'Capacity Prices'!$C:$C,"&gt;="&amp;DATEVALUE('Monthly Capacity Value'!CW$5&amp;"/1/"&amp;'Monthly Capacity Value'!CW$6))</f>
        <v>3.57</v>
      </c>
      <c r="CX20" s="23">
        <f>SUMIFS('Capacity Prices'!$D:$D,'Capacity Prices'!$B:$B,"&lt;="&amp;DATEVALUE('Monthly Capacity Value'!CX$5&amp;"/1/"&amp;'Monthly Capacity Value'!CX$6),'Capacity Prices'!$C:$C,"&gt;="&amp;DATEVALUE('Monthly Capacity Value'!CX$5&amp;"/1/"&amp;'Monthly Capacity Value'!CX$6))</f>
        <v>3.57</v>
      </c>
      <c r="CY20" s="23">
        <f>SUMIFS('Capacity Prices'!$D:$D,'Capacity Prices'!$B:$B,"&lt;="&amp;DATEVALUE('Monthly Capacity Value'!CY$5&amp;"/1/"&amp;'Monthly Capacity Value'!CY$6),'Capacity Prices'!$C:$C,"&gt;="&amp;DATEVALUE('Monthly Capacity Value'!CY$5&amp;"/1/"&amp;'Monthly Capacity Value'!CY$6))</f>
        <v>3.57</v>
      </c>
      <c r="CZ20" s="23">
        <f>SUMIFS('Capacity Prices'!$D:$D,'Capacity Prices'!$B:$B,"&lt;="&amp;DATEVALUE('Monthly Capacity Value'!CZ$5&amp;"/1/"&amp;'Monthly Capacity Value'!CZ$6),'Capacity Prices'!$C:$C,"&gt;="&amp;DATEVALUE('Monthly Capacity Value'!CZ$5&amp;"/1/"&amp;'Monthly Capacity Value'!CZ$6))</f>
        <v>3.7484999999999999</v>
      </c>
      <c r="DA20" s="23">
        <f>SUMIFS('Capacity Prices'!$D:$D,'Capacity Prices'!$B:$B,"&lt;="&amp;DATEVALUE('Monthly Capacity Value'!DA$5&amp;"/1/"&amp;'Monthly Capacity Value'!DA$6),'Capacity Prices'!$C:$C,"&gt;="&amp;DATEVALUE('Monthly Capacity Value'!DA$5&amp;"/1/"&amp;'Monthly Capacity Value'!DA$6))</f>
        <v>3.7484999999999999</v>
      </c>
      <c r="DB20" s="23">
        <f>SUMIFS('Capacity Prices'!$D:$D,'Capacity Prices'!$B:$B,"&lt;="&amp;DATEVALUE('Monthly Capacity Value'!DB$5&amp;"/1/"&amp;'Monthly Capacity Value'!DB$6),'Capacity Prices'!$C:$C,"&gt;="&amp;DATEVALUE('Monthly Capacity Value'!DB$5&amp;"/1/"&amp;'Monthly Capacity Value'!DB$6))</f>
        <v>3.7484999999999999</v>
      </c>
      <c r="DC20" s="23">
        <f>SUMIFS('Capacity Prices'!$D:$D,'Capacity Prices'!$B:$B,"&lt;="&amp;DATEVALUE('Monthly Capacity Value'!DC$5&amp;"/1/"&amp;'Monthly Capacity Value'!DC$6),'Capacity Prices'!$C:$C,"&gt;="&amp;DATEVALUE('Monthly Capacity Value'!DC$5&amp;"/1/"&amp;'Monthly Capacity Value'!DC$6))</f>
        <v>3.7484999999999999</v>
      </c>
      <c r="DD20" s="23">
        <f>SUMIFS('Capacity Prices'!$D:$D,'Capacity Prices'!$B:$B,"&lt;="&amp;DATEVALUE('Monthly Capacity Value'!DD$5&amp;"/1/"&amp;'Monthly Capacity Value'!DD$6),'Capacity Prices'!$C:$C,"&gt;="&amp;DATEVALUE('Monthly Capacity Value'!DD$5&amp;"/1/"&amp;'Monthly Capacity Value'!DD$6))</f>
        <v>3.7484999999999999</v>
      </c>
      <c r="DE20" s="23">
        <f>SUMIFS('Capacity Prices'!$D:$D,'Capacity Prices'!$B:$B,"&lt;="&amp;DATEVALUE('Monthly Capacity Value'!DE$5&amp;"/1/"&amp;'Monthly Capacity Value'!DE$6),'Capacity Prices'!$C:$C,"&gt;="&amp;DATEVALUE('Monthly Capacity Value'!DE$5&amp;"/1/"&amp;'Monthly Capacity Value'!DE$6))</f>
        <v>3.7484999999999999</v>
      </c>
      <c r="DF20" s="23">
        <f>SUMIFS('Capacity Prices'!$D:$D,'Capacity Prices'!$B:$B,"&lt;="&amp;DATEVALUE('Monthly Capacity Value'!DF$5&amp;"/1/"&amp;'Monthly Capacity Value'!DF$6),'Capacity Prices'!$C:$C,"&gt;="&amp;DATEVALUE('Monthly Capacity Value'!DF$5&amp;"/1/"&amp;'Monthly Capacity Value'!DF$6))</f>
        <v>3.7484999999999999</v>
      </c>
      <c r="DG20" s="23">
        <f>SUMIFS('Capacity Prices'!$D:$D,'Capacity Prices'!$B:$B,"&lt;="&amp;DATEVALUE('Monthly Capacity Value'!DG$5&amp;"/1/"&amp;'Monthly Capacity Value'!DG$6),'Capacity Prices'!$C:$C,"&gt;="&amp;DATEVALUE('Monthly Capacity Value'!DG$5&amp;"/1/"&amp;'Monthly Capacity Value'!DG$6))</f>
        <v>3.7484999999999999</v>
      </c>
      <c r="DH20" s="23">
        <f>SUMIFS('Capacity Prices'!$D:$D,'Capacity Prices'!$B:$B,"&lt;="&amp;DATEVALUE('Monthly Capacity Value'!DH$5&amp;"/1/"&amp;'Monthly Capacity Value'!DH$6),'Capacity Prices'!$C:$C,"&gt;="&amp;DATEVALUE('Monthly Capacity Value'!DH$5&amp;"/1/"&amp;'Monthly Capacity Value'!DH$6))</f>
        <v>3.7484999999999999</v>
      </c>
      <c r="DI20" s="23">
        <f>SUMIFS('Capacity Prices'!$D:$D,'Capacity Prices'!$B:$B,"&lt;="&amp;DATEVALUE('Monthly Capacity Value'!DI$5&amp;"/1/"&amp;'Monthly Capacity Value'!DI$6),'Capacity Prices'!$C:$C,"&gt;="&amp;DATEVALUE('Monthly Capacity Value'!DI$5&amp;"/1/"&amp;'Monthly Capacity Value'!DI$6))</f>
        <v>3.7484999999999999</v>
      </c>
      <c r="DJ20" s="23">
        <f>SUMIFS('Capacity Prices'!$D:$D,'Capacity Prices'!$B:$B,"&lt;="&amp;DATEVALUE('Monthly Capacity Value'!DJ$5&amp;"/1/"&amp;'Monthly Capacity Value'!DJ$6),'Capacity Prices'!$C:$C,"&gt;="&amp;DATEVALUE('Monthly Capacity Value'!DJ$5&amp;"/1/"&amp;'Monthly Capacity Value'!DJ$6))</f>
        <v>3.7484999999999999</v>
      </c>
      <c r="DK20" s="23">
        <f>SUMIFS('Capacity Prices'!$D:$D,'Capacity Prices'!$B:$B,"&lt;="&amp;DATEVALUE('Monthly Capacity Value'!DK$5&amp;"/1/"&amp;'Monthly Capacity Value'!DK$6),'Capacity Prices'!$C:$C,"&gt;="&amp;DATEVALUE('Monthly Capacity Value'!DK$5&amp;"/1/"&amp;'Monthly Capacity Value'!DK$6))</f>
        <v>3.7484999999999999</v>
      </c>
      <c r="DL20" s="23">
        <f>SUMIFS('Capacity Prices'!$D:$D,'Capacity Prices'!$B:$B,"&lt;="&amp;DATEVALUE('Monthly Capacity Value'!DL$5&amp;"/1/"&amp;'Monthly Capacity Value'!DL$6),'Capacity Prices'!$C:$C,"&gt;="&amp;DATEVALUE('Monthly Capacity Value'!DL$5&amp;"/1/"&amp;'Monthly Capacity Value'!DL$6))</f>
        <v>4.0858650000000001</v>
      </c>
      <c r="DM20" s="23">
        <f>SUMIFS('Capacity Prices'!$D:$D,'Capacity Prices'!$B:$B,"&lt;="&amp;DATEVALUE('Monthly Capacity Value'!DM$5&amp;"/1/"&amp;'Monthly Capacity Value'!DM$6),'Capacity Prices'!$C:$C,"&gt;="&amp;DATEVALUE('Monthly Capacity Value'!DM$5&amp;"/1/"&amp;'Monthly Capacity Value'!DM$6))</f>
        <v>4.0858650000000001</v>
      </c>
      <c r="DN20" s="23">
        <f>SUMIFS('Capacity Prices'!$D:$D,'Capacity Prices'!$B:$B,"&lt;="&amp;DATEVALUE('Monthly Capacity Value'!DN$5&amp;"/1/"&amp;'Monthly Capacity Value'!DN$6),'Capacity Prices'!$C:$C,"&gt;="&amp;DATEVALUE('Monthly Capacity Value'!DN$5&amp;"/1/"&amp;'Monthly Capacity Value'!DN$6))</f>
        <v>4.0858650000000001</v>
      </c>
      <c r="DO20" s="23">
        <f>SUMIFS('Capacity Prices'!$D:$D,'Capacity Prices'!$B:$B,"&lt;="&amp;DATEVALUE('Monthly Capacity Value'!DO$5&amp;"/1/"&amp;'Monthly Capacity Value'!DO$6),'Capacity Prices'!$C:$C,"&gt;="&amp;DATEVALUE('Monthly Capacity Value'!DO$5&amp;"/1/"&amp;'Monthly Capacity Value'!DO$6))</f>
        <v>4.0858650000000001</v>
      </c>
      <c r="DP20" s="23">
        <f>SUMIFS('Capacity Prices'!$D:$D,'Capacity Prices'!$B:$B,"&lt;="&amp;DATEVALUE('Monthly Capacity Value'!DP$5&amp;"/1/"&amp;'Monthly Capacity Value'!DP$6),'Capacity Prices'!$C:$C,"&gt;="&amp;DATEVALUE('Monthly Capacity Value'!DP$5&amp;"/1/"&amp;'Monthly Capacity Value'!DP$6))</f>
        <v>4.0858650000000001</v>
      </c>
      <c r="DQ20" s="23">
        <f>SUMIFS('Capacity Prices'!$D:$D,'Capacity Prices'!$B:$B,"&lt;="&amp;DATEVALUE('Monthly Capacity Value'!DQ$5&amp;"/1/"&amp;'Monthly Capacity Value'!DQ$6),'Capacity Prices'!$C:$C,"&gt;="&amp;DATEVALUE('Monthly Capacity Value'!DQ$5&amp;"/1/"&amp;'Monthly Capacity Value'!DQ$6))</f>
        <v>4.0858650000000001</v>
      </c>
      <c r="DR20" s="23">
        <f>SUMIFS('Capacity Prices'!$D:$D,'Capacity Prices'!$B:$B,"&lt;="&amp;DATEVALUE('Monthly Capacity Value'!DR$5&amp;"/1/"&amp;'Monthly Capacity Value'!DR$6),'Capacity Prices'!$C:$C,"&gt;="&amp;DATEVALUE('Monthly Capacity Value'!DR$5&amp;"/1/"&amp;'Monthly Capacity Value'!DR$6))</f>
        <v>4.0858650000000001</v>
      </c>
      <c r="DS20" s="23">
        <f>SUMIFS('Capacity Prices'!$D:$D,'Capacity Prices'!$B:$B,"&lt;="&amp;DATEVALUE('Monthly Capacity Value'!DS$5&amp;"/1/"&amp;'Monthly Capacity Value'!DS$6),'Capacity Prices'!$C:$C,"&gt;="&amp;DATEVALUE('Monthly Capacity Value'!DS$5&amp;"/1/"&amp;'Monthly Capacity Value'!DS$6))</f>
        <v>4.0858650000000001</v>
      </c>
      <c r="DT20" s="23">
        <f>SUMIFS('Capacity Prices'!$D:$D,'Capacity Prices'!$B:$B,"&lt;="&amp;DATEVALUE('Monthly Capacity Value'!DT$5&amp;"/1/"&amp;'Monthly Capacity Value'!DT$6),'Capacity Prices'!$C:$C,"&gt;="&amp;DATEVALUE('Monthly Capacity Value'!DT$5&amp;"/1/"&amp;'Monthly Capacity Value'!DT$6))</f>
        <v>4.0858650000000001</v>
      </c>
      <c r="DU20" s="23">
        <f>SUMIFS('Capacity Prices'!$D:$D,'Capacity Prices'!$B:$B,"&lt;="&amp;DATEVALUE('Monthly Capacity Value'!DU$5&amp;"/1/"&amp;'Monthly Capacity Value'!DU$6),'Capacity Prices'!$C:$C,"&gt;="&amp;DATEVALUE('Monthly Capacity Value'!DU$5&amp;"/1/"&amp;'Monthly Capacity Value'!DU$6))</f>
        <v>4.0858650000000001</v>
      </c>
      <c r="DV20" s="23">
        <f>SUMIFS('Capacity Prices'!$D:$D,'Capacity Prices'!$B:$B,"&lt;="&amp;DATEVALUE('Monthly Capacity Value'!DV$5&amp;"/1/"&amp;'Monthly Capacity Value'!DV$6),'Capacity Prices'!$C:$C,"&gt;="&amp;DATEVALUE('Monthly Capacity Value'!DV$5&amp;"/1/"&amp;'Monthly Capacity Value'!DV$6))</f>
        <v>4.0858650000000001</v>
      </c>
      <c r="DW20" s="23">
        <f>SUMIFS('Capacity Prices'!$D:$D,'Capacity Prices'!$B:$B,"&lt;="&amp;DATEVALUE('Monthly Capacity Value'!DW$5&amp;"/1/"&amp;'Monthly Capacity Value'!DW$6),'Capacity Prices'!$C:$C,"&gt;="&amp;DATEVALUE('Monthly Capacity Value'!DW$5&amp;"/1/"&amp;'Monthly Capacity Value'!DW$6))</f>
        <v>4.0858650000000001</v>
      </c>
      <c r="DX20" s="23">
        <f>SUMIFS('Capacity Prices'!$D:$D,'Capacity Prices'!$B:$B,"&lt;="&amp;DATEVALUE('Monthly Capacity Value'!DX$5&amp;"/1/"&amp;'Monthly Capacity Value'!DX$6),'Capacity Prices'!$C:$C,"&gt;="&amp;DATEVALUE('Monthly Capacity Value'!DX$5&amp;"/1/"&amp;'Monthly Capacity Value'!DX$6))</f>
        <v>4.4127342000000001</v>
      </c>
      <c r="DY20" s="23">
        <f>SUMIFS('Capacity Prices'!$D:$D,'Capacity Prices'!$B:$B,"&lt;="&amp;DATEVALUE('Monthly Capacity Value'!DY$5&amp;"/1/"&amp;'Monthly Capacity Value'!DY$6),'Capacity Prices'!$C:$C,"&gt;="&amp;DATEVALUE('Monthly Capacity Value'!DY$5&amp;"/1/"&amp;'Monthly Capacity Value'!DY$6))</f>
        <v>4.4127342000000001</v>
      </c>
      <c r="DZ20" s="23">
        <f>SUMIFS('Capacity Prices'!$D:$D,'Capacity Prices'!$B:$B,"&lt;="&amp;DATEVALUE('Monthly Capacity Value'!DZ$5&amp;"/1/"&amp;'Monthly Capacity Value'!DZ$6),'Capacity Prices'!$C:$C,"&gt;="&amp;DATEVALUE('Monthly Capacity Value'!DZ$5&amp;"/1/"&amp;'Monthly Capacity Value'!DZ$6))</f>
        <v>4.4127342000000001</v>
      </c>
      <c r="EA20" s="23">
        <f>SUMIFS('Capacity Prices'!$D:$D,'Capacity Prices'!$B:$B,"&lt;="&amp;DATEVALUE('Monthly Capacity Value'!EA$5&amp;"/1/"&amp;'Monthly Capacity Value'!EA$6),'Capacity Prices'!$C:$C,"&gt;="&amp;DATEVALUE('Monthly Capacity Value'!EA$5&amp;"/1/"&amp;'Monthly Capacity Value'!EA$6))</f>
        <v>4.4127342000000001</v>
      </c>
      <c r="EB20" s="23">
        <f>SUMIFS('Capacity Prices'!$D:$D,'Capacity Prices'!$B:$B,"&lt;="&amp;DATEVALUE('Monthly Capacity Value'!EB$5&amp;"/1/"&amp;'Monthly Capacity Value'!EB$6),'Capacity Prices'!$C:$C,"&gt;="&amp;DATEVALUE('Monthly Capacity Value'!EB$5&amp;"/1/"&amp;'Monthly Capacity Value'!EB$6))</f>
        <v>4.4127342000000001</v>
      </c>
      <c r="EC20" s="23">
        <f>SUMIFS('Capacity Prices'!$D:$D,'Capacity Prices'!$B:$B,"&lt;="&amp;DATEVALUE('Monthly Capacity Value'!EC$5&amp;"/1/"&amp;'Monthly Capacity Value'!EC$6),'Capacity Prices'!$C:$C,"&gt;="&amp;DATEVALUE('Monthly Capacity Value'!EC$5&amp;"/1/"&amp;'Monthly Capacity Value'!EC$6))</f>
        <v>4.4127342000000001</v>
      </c>
      <c r="ED20" s="23">
        <f>SUMIFS('Capacity Prices'!$D:$D,'Capacity Prices'!$B:$B,"&lt;="&amp;DATEVALUE('Monthly Capacity Value'!ED$5&amp;"/1/"&amp;'Monthly Capacity Value'!ED$6),'Capacity Prices'!$C:$C,"&gt;="&amp;DATEVALUE('Monthly Capacity Value'!ED$5&amp;"/1/"&amp;'Monthly Capacity Value'!ED$6))</f>
        <v>4.4127342000000001</v>
      </c>
      <c r="EE20" s="23">
        <f>SUMIFS('Capacity Prices'!$D:$D,'Capacity Prices'!$B:$B,"&lt;="&amp;DATEVALUE('Monthly Capacity Value'!EE$5&amp;"/1/"&amp;'Monthly Capacity Value'!EE$6),'Capacity Prices'!$C:$C,"&gt;="&amp;DATEVALUE('Monthly Capacity Value'!EE$5&amp;"/1/"&amp;'Monthly Capacity Value'!EE$6))</f>
        <v>4.4127342000000001</v>
      </c>
      <c r="EF20" s="23">
        <f>SUMIFS('Capacity Prices'!$D:$D,'Capacity Prices'!$B:$B,"&lt;="&amp;DATEVALUE('Monthly Capacity Value'!EF$5&amp;"/1/"&amp;'Monthly Capacity Value'!EF$6),'Capacity Prices'!$C:$C,"&gt;="&amp;DATEVALUE('Monthly Capacity Value'!EF$5&amp;"/1/"&amp;'Monthly Capacity Value'!EF$6))</f>
        <v>4.4127342000000001</v>
      </c>
      <c r="EG20" s="23">
        <f>SUMIFS('Capacity Prices'!$D:$D,'Capacity Prices'!$B:$B,"&lt;="&amp;DATEVALUE('Monthly Capacity Value'!EG$5&amp;"/1/"&amp;'Monthly Capacity Value'!EG$6),'Capacity Prices'!$C:$C,"&gt;="&amp;DATEVALUE('Monthly Capacity Value'!EG$5&amp;"/1/"&amp;'Monthly Capacity Value'!EG$6))</f>
        <v>4.4127342000000001</v>
      </c>
      <c r="EH20" s="23">
        <f>SUMIFS('Capacity Prices'!$D:$D,'Capacity Prices'!$B:$B,"&lt;="&amp;DATEVALUE('Monthly Capacity Value'!EH$5&amp;"/1/"&amp;'Monthly Capacity Value'!EH$6),'Capacity Prices'!$C:$C,"&gt;="&amp;DATEVALUE('Monthly Capacity Value'!EH$5&amp;"/1/"&amp;'Monthly Capacity Value'!EH$6))</f>
        <v>4.4127342000000001</v>
      </c>
      <c r="EI20" s="23">
        <f>SUMIFS('Capacity Prices'!$D:$D,'Capacity Prices'!$B:$B,"&lt;="&amp;DATEVALUE('Monthly Capacity Value'!EI$5&amp;"/1/"&amp;'Monthly Capacity Value'!EI$6),'Capacity Prices'!$C:$C,"&gt;="&amp;DATEVALUE('Monthly Capacity Value'!EI$5&amp;"/1/"&amp;'Monthly Capacity Value'!EI$6))</f>
        <v>4.4127342000000001</v>
      </c>
      <c r="EJ20" s="23">
        <f>SUMIFS('Capacity Prices'!$D:$D,'Capacity Prices'!$B:$B,"&lt;="&amp;DATEVALUE('Monthly Capacity Value'!EJ$5&amp;"/1/"&amp;'Monthly Capacity Value'!EJ$6),'Capacity Prices'!$C:$C,"&gt;="&amp;DATEVALUE('Monthly Capacity Value'!EJ$5&amp;"/1/"&amp;'Monthly Capacity Value'!EJ$6))</f>
        <v>4.5230525549999996</v>
      </c>
      <c r="EK20" s="23">
        <f>SUMIFS('Capacity Prices'!$D:$D,'Capacity Prices'!$B:$B,"&lt;="&amp;DATEVALUE('Monthly Capacity Value'!EK$5&amp;"/1/"&amp;'Monthly Capacity Value'!EK$6),'Capacity Prices'!$C:$C,"&gt;="&amp;DATEVALUE('Monthly Capacity Value'!EK$5&amp;"/1/"&amp;'Monthly Capacity Value'!EK$6))</f>
        <v>4.5230525549999996</v>
      </c>
      <c r="EL20" s="23">
        <f>SUMIFS('Capacity Prices'!$D:$D,'Capacity Prices'!$B:$B,"&lt;="&amp;DATEVALUE('Monthly Capacity Value'!EL$5&amp;"/1/"&amp;'Monthly Capacity Value'!EL$6),'Capacity Prices'!$C:$C,"&gt;="&amp;DATEVALUE('Monthly Capacity Value'!EL$5&amp;"/1/"&amp;'Monthly Capacity Value'!EL$6))</f>
        <v>4.5230525549999996</v>
      </c>
      <c r="EM20" s="23">
        <f>SUMIFS('Capacity Prices'!$D:$D,'Capacity Prices'!$B:$B,"&lt;="&amp;DATEVALUE('Monthly Capacity Value'!EM$5&amp;"/1/"&amp;'Monthly Capacity Value'!EM$6),'Capacity Prices'!$C:$C,"&gt;="&amp;DATEVALUE('Monthly Capacity Value'!EM$5&amp;"/1/"&amp;'Monthly Capacity Value'!EM$6))</f>
        <v>4.5230525549999996</v>
      </c>
      <c r="EN20" s="23">
        <f>SUMIFS('Capacity Prices'!$D:$D,'Capacity Prices'!$B:$B,"&lt;="&amp;DATEVALUE('Monthly Capacity Value'!EN$5&amp;"/1/"&amp;'Monthly Capacity Value'!EN$6),'Capacity Prices'!$C:$C,"&gt;="&amp;DATEVALUE('Monthly Capacity Value'!EN$5&amp;"/1/"&amp;'Monthly Capacity Value'!EN$6))</f>
        <v>4.5230525549999996</v>
      </c>
      <c r="EO20" s="23">
        <f>SUMIFS('Capacity Prices'!$D:$D,'Capacity Prices'!$B:$B,"&lt;="&amp;DATEVALUE('Monthly Capacity Value'!EO$5&amp;"/1/"&amp;'Monthly Capacity Value'!EO$6),'Capacity Prices'!$C:$C,"&gt;="&amp;DATEVALUE('Monthly Capacity Value'!EO$5&amp;"/1/"&amp;'Monthly Capacity Value'!EO$6))</f>
        <v>4.5230525549999996</v>
      </c>
      <c r="EP20" s="23">
        <f>SUMIFS('Capacity Prices'!$D:$D,'Capacity Prices'!$B:$B,"&lt;="&amp;DATEVALUE('Monthly Capacity Value'!EP$5&amp;"/1/"&amp;'Monthly Capacity Value'!EP$6),'Capacity Prices'!$C:$C,"&gt;="&amp;DATEVALUE('Monthly Capacity Value'!EP$5&amp;"/1/"&amp;'Monthly Capacity Value'!EP$6))</f>
        <v>4.5230525549999996</v>
      </c>
      <c r="EQ20" s="23">
        <f>SUMIFS('Capacity Prices'!$D:$D,'Capacity Prices'!$B:$B,"&lt;="&amp;DATEVALUE('Monthly Capacity Value'!EQ$5&amp;"/1/"&amp;'Monthly Capacity Value'!EQ$6),'Capacity Prices'!$C:$C,"&gt;="&amp;DATEVALUE('Monthly Capacity Value'!EQ$5&amp;"/1/"&amp;'Monthly Capacity Value'!EQ$6))</f>
        <v>4.5230525549999996</v>
      </c>
      <c r="ER20" s="23">
        <f>SUMIFS('Capacity Prices'!$D:$D,'Capacity Prices'!$B:$B,"&lt;="&amp;DATEVALUE('Monthly Capacity Value'!ER$5&amp;"/1/"&amp;'Monthly Capacity Value'!ER$6),'Capacity Prices'!$C:$C,"&gt;="&amp;DATEVALUE('Monthly Capacity Value'!ER$5&amp;"/1/"&amp;'Monthly Capacity Value'!ER$6))</f>
        <v>4.5230525549999996</v>
      </c>
      <c r="ES20" s="23">
        <f>SUMIFS('Capacity Prices'!$D:$D,'Capacity Prices'!$B:$B,"&lt;="&amp;DATEVALUE('Monthly Capacity Value'!ES$5&amp;"/1/"&amp;'Monthly Capacity Value'!ES$6),'Capacity Prices'!$C:$C,"&gt;="&amp;DATEVALUE('Monthly Capacity Value'!ES$5&amp;"/1/"&amp;'Monthly Capacity Value'!ES$6))</f>
        <v>4.5230525549999996</v>
      </c>
      <c r="ET20" s="23">
        <f>SUMIFS('Capacity Prices'!$D:$D,'Capacity Prices'!$B:$B,"&lt;="&amp;DATEVALUE('Monthly Capacity Value'!ET$5&amp;"/1/"&amp;'Monthly Capacity Value'!ET$6),'Capacity Prices'!$C:$C,"&gt;="&amp;DATEVALUE('Monthly Capacity Value'!ET$5&amp;"/1/"&amp;'Monthly Capacity Value'!ET$6))</f>
        <v>4.5230525549999996</v>
      </c>
      <c r="EU20" s="23">
        <f>SUMIFS('Capacity Prices'!$D:$D,'Capacity Prices'!$B:$B,"&lt;="&amp;DATEVALUE('Monthly Capacity Value'!EU$5&amp;"/1/"&amp;'Monthly Capacity Value'!EU$6),'Capacity Prices'!$C:$C,"&gt;="&amp;DATEVALUE('Monthly Capacity Value'!EU$5&amp;"/1/"&amp;'Monthly Capacity Value'!EU$6))</f>
        <v>4.5230525549999996</v>
      </c>
      <c r="EV20" s="23">
        <f>SUMIFS('Capacity Prices'!$D:$D,'Capacity Prices'!$B:$B,"&lt;="&amp;DATEVALUE('Monthly Capacity Value'!EV$5&amp;"/1/"&amp;'Monthly Capacity Value'!EV$6),'Capacity Prices'!$C:$C,"&gt;="&amp;DATEVALUE('Monthly Capacity Value'!EV$5&amp;"/1/"&amp;'Monthly Capacity Value'!EV$6))</f>
        <v>4.6361288688749989</v>
      </c>
      <c r="EW20" s="23">
        <f>SUMIFS('Capacity Prices'!$D:$D,'Capacity Prices'!$B:$B,"&lt;="&amp;DATEVALUE('Monthly Capacity Value'!EW$5&amp;"/1/"&amp;'Monthly Capacity Value'!EW$6),'Capacity Prices'!$C:$C,"&gt;="&amp;DATEVALUE('Monthly Capacity Value'!EW$5&amp;"/1/"&amp;'Monthly Capacity Value'!EW$6))</f>
        <v>4.6361288688749989</v>
      </c>
      <c r="EX20" s="23">
        <f>SUMIFS('Capacity Prices'!$D:$D,'Capacity Prices'!$B:$B,"&lt;="&amp;DATEVALUE('Monthly Capacity Value'!EX$5&amp;"/1/"&amp;'Monthly Capacity Value'!EX$6),'Capacity Prices'!$C:$C,"&gt;="&amp;DATEVALUE('Monthly Capacity Value'!EX$5&amp;"/1/"&amp;'Monthly Capacity Value'!EX$6))</f>
        <v>4.6361288688749989</v>
      </c>
      <c r="EY20" s="23">
        <f>SUMIFS('Capacity Prices'!$D:$D,'Capacity Prices'!$B:$B,"&lt;="&amp;DATEVALUE('Monthly Capacity Value'!EY$5&amp;"/1/"&amp;'Monthly Capacity Value'!EY$6),'Capacity Prices'!$C:$C,"&gt;="&amp;DATEVALUE('Monthly Capacity Value'!EY$5&amp;"/1/"&amp;'Monthly Capacity Value'!EY$6))</f>
        <v>4.6361288688749989</v>
      </c>
      <c r="EZ20" s="23">
        <f>SUMIFS('Capacity Prices'!$D:$D,'Capacity Prices'!$B:$B,"&lt;="&amp;DATEVALUE('Monthly Capacity Value'!EZ$5&amp;"/1/"&amp;'Monthly Capacity Value'!EZ$6),'Capacity Prices'!$C:$C,"&gt;="&amp;DATEVALUE('Monthly Capacity Value'!EZ$5&amp;"/1/"&amp;'Monthly Capacity Value'!EZ$6))</f>
        <v>4.6361288688749989</v>
      </c>
      <c r="FA20" s="23">
        <f>SUMIFS('Capacity Prices'!$D:$D,'Capacity Prices'!$B:$B,"&lt;="&amp;DATEVALUE('Monthly Capacity Value'!FA$5&amp;"/1/"&amp;'Monthly Capacity Value'!FA$6),'Capacity Prices'!$C:$C,"&gt;="&amp;DATEVALUE('Monthly Capacity Value'!FA$5&amp;"/1/"&amp;'Monthly Capacity Value'!FA$6))</f>
        <v>4.6361288688749989</v>
      </c>
      <c r="FB20" s="23">
        <f>SUMIFS('Capacity Prices'!$D:$D,'Capacity Prices'!$B:$B,"&lt;="&amp;DATEVALUE('Monthly Capacity Value'!FB$5&amp;"/1/"&amp;'Monthly Capacity Value'!FB$6),'Capacity Prices'!$C:$C,"&gt;="&amp;DATEVALUE('Monthly Capacity Value'!FB$5&amp;"/1/"&amp;'Monthly Capacity Value'!FB$6))</f>
        <v>4.6361288688749989</v>
      </c>
      <c r="FC20" s="23">
        <f>SUMIFS('Capacity Prices'!$D:$D,'Capacity Prices'!$B:$B,"&lt;="&amp;DATEVALUE('Monthly Capacity Value'!FC$5&amp;"/1/"&amp;'Monthly Capacity Value'!FC$6),'Capacity Prices'!$C:$C,"&gt;="&amp;DATEVALUE('Monthly Capacity Value'!FC$5&amp;"/1/"&amp;'Monthly Capacity Value'!FC$6))</f>
        <v>4.6361288688749989</v>
      </c>
      <c r="FD20" s="23">
        <f>SUMIFS('Capacity Prices'!$D:$D,'Capacity Prices'!$B:$B,"&lt;="&amp;DATEVALUE('Monthly Capacity Value'!FD$5&amp;"/1/"&amp;'Monthly Capacity Value'!FD$6),'Capacity Prices'!$C:$C,"&gt;="&amp;DATEVALUE('Monthly Capacity Value'!FD$5&amp;"/1/"&amp;'Monthly Capacity Value'!FD$6))</f>
        <v>4.6361288688749989</v>
      </c>
      <c r="FE20" s="23">
        <f>SUMIFS('Capacity Prices'!$D:$D,'Capacity Prices'!$B:$B,"&lt;="&amp;DATEVALUE('Monthly Capacity Value'!FE$5&amp;"/1/"&amp;'Monthly Capacity Value'!FE$6),'Capacity Prices'!$C:$C,"&gt;="&amp;DATEVALUE('Monthly Capacity Value'!FE$5&amp;"/1/"&amp;'Monthly Capacity Value'!FE$6))</f>
        <v>4.6361288688749989</v>
      </c>
      <c r="FF20" s="23">
        <f>SUMIFS('Capacity Prices'!$D:$D,'Capacity Prices'!$B:$B,"&lt;="&amp;DATEVALUE('Monthly Capacity Value'!FF$5&amp;"/1/"&amp;'Monthly Capacity Value'!FF$6),'Capacity Prices'!$C:$C,"&gt;="&amp;DATEVALUE('Monthly Capacity Value'!FF$5&amp;"/1/"&amp;'Monthly Capacity Value'!FF$6))</f>
        <v>4.6361288688749989</v>
      </c>
      <c r="FG20" s="23">
        <f>SUMIFS('Capacity Prices'!$D:$D,'Capacity Prices'!$B:$B,"&lt;="&amp;DATEVALUE('Monthly Capacity Value'!FG$5&amp;"/1/"&amp;'Monthly Capacity Value'!FG$6),'Capacity Prices'!$C:$C,"&gt;="&amp;DATEVALUE('Monthly Capacity Value'!FG$5&amp;"/1/"&amp;'Monthly Capacity Value'!FG$6))</f>
        <v>4.6361288688749989</v>
      </c>
      <c r="FH20" s="23">
        <f>SUMIFS('Capacity Prices'!$D:$D,'Capacity Prices'!$B:$B,"&lt;="&amp;DATEVALUE('Monthly Capacity Value'!FH$5&amp;"/1/"&amp;'Monthly Capacity Value'!FH$6),'Capacity Prices'!$C:$C,"&gt;="&amp;DATEVALUE('Monthly Capacity Value'!FH$5&amp;"/1/"&amp;'Monthly Capacity Value'!FH$6))</f>
        <v>4.7520320905968738</v>
      </c>
      <c r="FI20" s="23">
        <f>SUMIFS('Capacity Prices'!$D:$D,'Capacity Prices'!$B:$B,"&lt;="&amp;DATEVALUE('Monthly Capacity Value'!FI$5&amp;"/1/"&amp;'Monthly Capacity Value'!FI$6),'Capacity Prices'!$C:$C,"&gt;="&amp;DATEVALUE('Monthly Capacity Value'!FI$5&amp;"/1/"&amp;'Monthly Capacity Value'!FI$6))</f>
        <v>4.7520320905968738</v>
      </c>
      <c r="FJ20" s="23">
        <f>SUMIFS('Capacity Prices'!$D:$D,'Capacity Prices'!$B:$B,"&lt;="&amp;DATEVALUE('Monthly Capacity Value'!FJ$5&amp;"/1/"&amp;'Monthly Capacity Value'!FJ$6),'Capacity Prices'!$C:$C,"&gt;="&amp;DATEVALUE('Monthly Capacity Value'!FJ$5&amp;"/1/"&amp;'Monthly Capacity Value'!FJ$6))</f>
        <v>4.7520320905968738</v>
      </c>
      <c r="FK20" s="23">
        <f>SUMIFS('Capacity Prices'!$D:$D,'Capacity Prices'!$B:$B,"&lt;="&amp;DATEVALUE('Monthly Capacity Value'!FK$5&amp;"/1/"&amp;'Monthly Capacity Value'!FK$6),'Capacity Prices'!$C:$C,"&gt;="&amp;DATEVALUE('Monthly Capacity Value'!FK$5&amp;"/1/"&amp;'Monthly Capacity Value'!FK$6))</f>
        <v>4.7520320905968738</v>
      </c>
      <c r="FL20" s="23">
        <f>SUMIFS('Capacity Prices'!$D:$D,'Capacity Prices'!$B:$B,"&lt;="&amp;DATEVALUE('Monthly Capacity Value'!FL$5&amp;"/1/"&amp;'Monthly Capacity Value'!FL$6),'Capacity Prices'!$C:$C,"&gt;="&amp;DATEVALUE('Monthly Capacity Value'!FL$5&amp;"/1/"&amp;'Monthly Capacity Value'!FL$6))</f>
        <v>4.7520320905968738</v>
      </c>
      <c r="FM20" s="23">
        <f>SUMIFS('Capacity Prices'!$D:$D,'Capacity Prices'!$B:$B,"&lt;="&amp;DATEVALUE('Monthly Capacity Value'!FM$5&amp;"/1/"&amp;'Monthly Capacity Value'!FM$6),'Capacity Prices'!$C:$C,"&gt;="&amp;DATEVALUE('Monthly Capacity Value'!FM$5&amp;"/1/"&amp;'Monthly Capacity Value'!FM$6))</f>
        <v>4.7520320905968738</v>
      </c>
      <c r="FN20" s="23">
        <f>SUMIFS('Capacity Prices'!$D:$D,'Capacity Prices'!$B:$B,"&lt;="&amp;DATEVALUE('Monthly Capacity Value'!FN$5&amp;"/1/"&amp;'Monthly Capacity Value'!FN$6),'Capacity Prices'!$C:$C,"&gt;="&amp;DATEVALUE('Monthly Capacity Value'!FN$5&amp;"/1/"&amp;'Monthly Capacity Value'!FN$6))</f>
        <v>4.7520320905968738</v>
      </c>
      <c r="FO20" s="23">
        <f>SUMIFS('Capacity Prices'!$D:$D,'Capacity Prices'!$B:$B,"&lt;="&amp;DATEVALUE('Monthly Capacity Value'!FO$5&amp;"/1/"&amp;'Monthly Capacity Value'!FO$6),'Capacity Prices'!$C:$C,"&gt;="&amp;DATEVALUE('Monthly Capacity Value'!FO$5&amp;"/1/"&amp;'Monthly Capacity Value'!FO$6))</f>
        <v>4.7520320905968738</v>
      </c>
      <c r="FP20" s="23">
        <f>SUMIFS('Capacity Prices'!$D:$D,'Capacity Prices'!$B:$B,"&lt;="&amp;DATEVALUE('Monthly Capacity Value'!FP$5&amp;"/1/"&amp;'Monthly Capacity Value'!FP$6),'Capacity Prices'!$C:$C,"&gt;="&amp;DATEVALUE('Monthly Capacity Value'!FP$5&amp;"/1/"&amp;'Monthly Capacity Value'!FP$6))</f>
        <v>4.7520320905968738</v>
      </c>
      <c r="FQ20" s="23">
        <f>SUMIFS('Capacity Prices'!$D:$D,'Capacity Prices'!$B:$B,"&lt;="&amp;DATEVALUE('Monthly Capacity Value'!FQ$5&amp;"/1/"&amp;'Monthly Capacity Value'!FQ$6),'Capacity Prices'!$C:$C,"&gt;="&amp;DATEVALUE('Monthly Capacity Value'!FQ$5&amp;"/1/"&amp;'Monthly Capacity Value'!FQ$6))</f>
        <v>4.7520320905968738</v>
      </c>
      <c r="FR20" s="23">
        <f>SUMIFS('Capacity Prices'!$D:$D,'Capacity Prices'!$B:$B,"&lt;="&amp;DATEVALUE('Monthly Capacity Value'!FR$5&amp;"/1/"&amp;'Monthly Capacity Value'!FR$6),'Capacity Prices'!$C:$C,"&gt;="&amp;DATEVALUE('Monthly Capacity Value'!FR$5&amp;"/1/"&amp;'Monthly Capacity Value'!FR$6))</f>
        <v>4.7520320905968738</v>
      </c>
      <c r="FS20" s="23">
        <f>SUMIFS('Capacity Prices'!$D:$D,'Capacity Prices'!$B:$B,"&lt;="&amp;DATEVALUE('Monthly Capacity Value'!FS$5&amp;"/1/"&amp;'Monthly Capacity Value'!FS$6),'Capacity Prices'!$C:$C,"&gt;="&amp;DATEVALUE('Monthly Capacity Value'!FS$5&amp;"/1/"&amp;'Monthly Capacity Value'!FS$6))</f>
        <v>4.7520320905968738</v>
      </c>
      <c r="FT20" s="23">
        <f>SUMIFS('Capacity Prices'!$D:$D,'Capacity Prices'!$B:$B,"&lt;="&amp;DATEVALUE('Monthly Capacity Value'!FT$5&amp;"/1/"&amp;'Monthly Capacity Value'!FT$6),'Capacity Prices'!$C:$C,"&gt;="&amp;DATEVALUE('Monthly Capacity Value'!FT$5&amp;"/1/"&amp;'Monthly Capacity Value'!FT$6))</f>
        <v>4.8708328928617952</v>
      </c>
      <c r="FU20" s="23">
        <f>SUMIFS('Capacity Prices'!$D:$D,'Capacity Prices'!$B:$B,"&lt;="&amp;DATEVALUE('Monthly Capacity Value'!FU$5&amp;"/1/"&amp;'Monthly Capacity Value'!FU$6),'Capacity Prices'!$C:$C,"&gt;="&amp;DATEVALUE('Monthly Capacity Value'!FU$5&amp;"/1/"&amp;'Monthly Capacity Value'!FU$6))</f>
        <v>4.8708328928617952</v>
      </c>
      <c r="FV20" s="23">
        <f>SUMIFS('Capacity Prices'!$D:$D,'Capacity Prices'!$B:$B,"&lt;="&amp;DATEVALUE('Monthly Capacity Value'!FV$5&amp;"/1/"&amp;'Monthly Capacity Value'!FV$6),'Capacity Prices'!$C:$C,"&gt;="&amp;DATEVALUE('Monthly Capacity Value'!FV$5&amp;"/1/"&amp;'Monthly Capacity Value'!FV$6))</f>
        <v>4.8708328928617952</v>
      </c>
      <c r="FW20" s="23">
        <f>SUMIFS('Capacity Prices'!$D:$D,'Capacity Prices'!$B:$B,"&lt;="&amp;DATEVALUE('Monthly Capacity Value'!FW$5&amp;"/1/"&amp;'Monthly Capacity Value'!FW$6),'Capacity Prices'!$C:$C,"&gt;="&amp;DATEVALUE('Monthly Capacity Value'!FW$5&amp;"/1/"&amp;'Monthly Capacity Value'!FW$6))</f>
        <v>4.8708328928617952</v>
      </c>
      <c r="FX20" s="23">
        <f>SUMIFS('Capacity Prices'!$D:$D,'Capacity Prices'!$B:$B,"&lt;="&amp;DATEVALUE('Monthly Capacity Value'!FX$5&amp;"/1/"&amp;'Monthly Capacity Value'!FX$6),'Capacity Prices'!$C:$C,"&gt;="&amp;DATEVALUE('Monthly Capacity Value'!FX$5&amp;"/1/"&amp;'Monthly Capacity Value'!FX$6))</f>
        <v>4.8708328928617952</v>
      </c>
      <c r="FY20" s="23">
        <f>SUMIFS('Capacity Prices'!$D:$D,'Capacity Prices'!$B:$B,"&lt;="&amp;DATEVALUE('Monthly Capacity Value'!FY$5&amp;"/1/"&amp;'Monthly Capacity Value'!FY$6),'Capacity Prices'!$C:$C,"&gt;="&amp;DATEVALUE('Monthly Capacity Value'!FY$5&amp;"/1/"&amp;'Monthly Capacity Value'!FY$6))</f>
        <v>4.8708328928617952</v>
      </c>
      <c r="FZ20" s="23">
        <f>SUMIFS('Capacity Prices'!$D:$D,'Capacity Prices'!$B:$B,"&lt;="&amp;DATEVALUE('Monthly Capacity Value'!FZ$5&amp;"/1/"&amp;'Monthly Capacity Value'!FZ$6),'Capacity Prices'!$C:$C,"&gt;="&amp;DATEVALUE('Monthly Capacity Value'!FZ$5&amp;"/1/"&amp;'Monthly Capacity Value'!FZ$6))</f>
        <v>4.8708328928617952</v>
      </c>
      <c r="GA20" s="23">
        <f>SUMIFS('Capacity Prices'!$D:$D,'Capacity Prices'!$B:$B,"&lt;="&amp;DATEVALUE('Monthly Capacity Value'!GA$5&amp;"/1/"&amp;'Monthly Capacity Value'!GA$6),'Capacity Prices'!$C:$C,"&gt;="&amp;DATEVALUE('Monthly Capacity Value'!GA$5&amp;"/1/"&amp;'Monthly Capacity Value'!GA$6))</f>
        <v>4.8708328928617952</v>
      </c>
      <c r="GB20" s="23">
        <f>SUMIFS('Capacity Prices'!$D:$D,'Capacity Prices'!$B:$B,"&lt;="&amp;DATEVALUE('Monthly Capacity Value'!GB$5&amp;"/1/"&amp;'Monthly Capacity Value'!GB$6),'Capacity Prices'!$C:$C,"&gt;="&amp;DATEVALUE('Monthly Capacity Value'!GB$5&amp;"/1/"&amp;'Monthly Capacity Value'!GB$6))</f>
        <v>4.8708328928617952</v>
      </c>
      <c r="GC20" s="23">
        <f>SUMIFS('Capacity Prices'!$D:$D,'Capacity Prices'!$B:$B,"&lt;="&amp;DATEVALUE('Monthly Capacity Value'!GC$5&amp;"/1/"&amp;'Monthly Capacity Value'!GC$6),'Capacity Prices'!$C:$C,"&gt;="&amp;DATEVALUE('Monthly Capacity Value'!GC$5&amp;"/1/"&amp;'Monthly Capacity Value'!GC$6))</f>
        <v>4.8708328928617952</v>
      </c>
      <c r="GD20" s="23">
        <f>SUMIFS('Capacity Prices'!$D:$D,'Capacity Prices'!$B:$B,"&lt;="&amp;DATEVALUE('Monthly Capacity Value'!GD$5&amp;"/1/"&amp;'Monthly Capacity Value'!GD$6),'Capacity Prices'!$C:$C,"&gt;="&amp;DATEVALUE('Monthly Capacity Value'!GD$5&amp;"/1/"&amp;'Monthly Capacity Value'!GD$6))</f>
        <v>4.8708328928617952</v>
      </c>
      <c r="GE20" s="23">
        <f>SUMIFS('Capacity Prices'!$D:$D,'Capacity Prices'!$B:$B,"&lt;="&amp;DATEVALUE('Monthly Capacity Value'!GE$5&amp;"/1/"&amp;'Monthly Capacity Value'!GE$6),'Capacity Prices'!$C:$C,"&gt;="&amp;DATEVALUE('Monthly Capacity Value'!GE$5&amp;"/1/"&amp;'Monthly Capacity Value'!GE$6))</f>
        <v>4.8708328928617952</v>
      </c>
      <c r="GF20" s="23">
        <f>SUMIFS('Capacity Prices'!$D:$D,'Capacity Prices'!$B:$B,"&lt;="&amp;DATEVALUE('Monthly Capacity Value'!GF$5&amp;"/1/"&amp;'Monthly Capacity Value'!GF$6),'Capacity Prices'!$C:$C,"&gt;="&amp;DATEVALUE('Monthly Capacity Value'!GF$5&amp;"/1/"&amp;'Monthly Capacity Value'!GF$6))</f>
        <v>4.99260371518334</v>
      </c>
      <c r="GG20" s="23">
        <f>SUMIFS('Capacity Prices'!$D:$D,'Capacity Prices'!$B:$B,"&lt;="&amp;DATEVALUE('Monthly Capacity Value'!GG$5&amp;"/1/"&amp;'Monthly Capacity Value'!GG$6),'Capacity Prices'!$C:$C,"&gt;="&amp;DATEVALUE('Monthly Capacity Value'!GG$5&amp;"/1/"&amp;'Monthly Capacity Value'!GG$6))</f>
        <v>4.99260371518334</v>
      </c>
      <c r="GH20" s="23">
        <f>SUMIFS('Capacity Prices'!$D:$D,'Capacity Prices'!$B:$B,"&lt;="&amp;DATEVALUE('Monthly Capacity Value'!GH$5&amp;"/1/"&amp;'Monthly Capacity Value'!GH$6),'Capacity Prices'!$C:$C,"&gt;="&amp;DATEVALUE('Monthly Capacity Value'!GH$5&amp;"/1/"&amp;'Monthly Capacity Value'!GH$6))</f>
        <v>4.99260371518334</v>
      </c>
      <c r="GI20" s="23">
        <f>SUMIFS('Capacity Prices'!$D:$D,'Capacity Prices'!$B:$B,"&lt;="&amp;DATEVALUE('Monthly Capacity Value'!GI$5&amp;"/1/"&amp;'Monthly Capacity Value'!GI$6),'Capacity Prices'!$C:$C,"&gt;="&amp;DATEVALUE('Monthly Capacity Value'!GI$5&amp;"/1/"&amp;'Monthly Capacity Value'!GI$6))</f>
        <v>4.99260371518334</v>
      </c>
      <c r="GJ20" s="23">
        <f>SUMIFS('Capacity Prices'!$D:$D,'Capacity Prices'!$B:$B,"&lt;="&amp;DATEVALUE('Monthly Capacity Value'!GJ$5&amp;"/1/"&amp;'Monthly Capacity Value'!GJ$6),'Capacity Prices'!$C:$C,"&gt;="&amp;DATEVALUE('Monthly Capacity Value'!GJ$5&amp;"/1/"&amp;'Monthly Capacity Value'!GJ$6))</f>
        <v>4.99260371518334</v>
      </c>
      <c r="GK20" s="23">
        <f>SUMIFS('Capacity Prices'!$D:$D,'Capacity Prices'!$B:$B,"&lt;="&amp;DATEVALUE('Monthly Capacity Value'!GK$5&amp;"/1/"&amp;'Monthly Capacity Value'!GK$6),'Capacity Prices'!$C:$C,"&gt;="&amp;DATEVALUE('Monthly Capacity Value'!GK$5&amp;"/1/"&amp;'Monthly Capacity Value'!GK$6))</f>
        <v>4.99260371518334</v>
      </c>
      <c r="GL20" s="23">
        <f>SUMIFS('Capacity Prices'!$D:$D,'Capacity Prices'!$B:$B,"&lt;="&amp;DATEVALUE('Monthly Capacity Value'!GL$5&amp;"/1/"&amp;'Monthly Capacity Value'!GL$6),'Capacity Prices'!$C:$C,"&gt;="&amp;DATEVALUE('Monthly Capacity Value'!GL$5&amp;"/1/"&amp;'Monthly Capacity Value'!GL$6))</f>
        <v>4.99260371518334</v>
      </c>
      <c r="GN20">
        <f t="shared" si="136"/>
        <v>8</v>
      </c>
      <c r="GO20">
        <f t="shared" si="137"/>
        <v>2029</v>
      </c>
      <c r="GP20" s="1">
        <f t="shared" si="138"/>
        <v>47635</v>
      </c>
      <c r="GQ20" s="1">
        <f t="shared" si="139"/>
        <v>47999</v>
      </c>
      <c r="GR20">
        <f t="shared" si="125"/>
        <v>9</v>
      </c>
    </row>
    <row r="21" spans="1:200">
      <c r="GN21">
        <f t="shared" si="136"/>
        <v>8</v>
      </c>
      <c r="GO21">
        <f t="shared" si="137"/>
        <v>2030</v>
      </c>
      <c r="GP21" s="1">
        <f t="shared" si="138"/>
        <v>48000</v>
      </c>
      <c r="GQ21" s="1">
        <f t="shared" si="139"/>
        <v>48365</v>
      </c>
      <c r="GR21">
        <f t="shared" si="125"/>
        <v>9</v>
      </c>
    </row>
    <row r="22" spans="1:200">
      <c r="A22" s="17" t="s">
        <v>61</v>
      </c>
      <c r="GN22">
        <f t="shared" si="136"/>
        <v>8</v>
      </c>
      <c r="GO22">
        <f t="shared" si="137"/>
        <v>2031</v>
      </c>
      <c r="GP22" s="1">
        <f t="shared" si="138"/>
        <v>48366</v>
      </c>
      <c r="GQ22" s="1">
        <f t="shared" si="139"/>
        <v>48730</v>
      </c>
      <c r="GR22">
        <f t="shared" si="125"/>
        <v>9</v>
      </c>
    </row>
    <row r="23" spans="1:200">
      <c r="A23" t="s">
        <v>62</v>
      </c>
      <c r="C23" s="7">
        <v>11.85</v>
      </c>
      <c r="D23" s="7">
        <v>16.23</v>
      </c>
      <c r="E23" s="7">
        <v>13.09</v>
      </c>
      <c r="F23" s="7">
        <v>7.79</v>
      </c>
      <c r="G23" s="7">
        <v>10.87</v>
      </c>
      <c r="H23" s="7">
        <v>6.44</v>
      </c>
      <c r="I23" s="7">
        <v>7.36</v>
      </c>
      <c r="J23" s="7">
        <v>9.15</v>
      </c>
      <c r="K23" s="7">
        <v>10.92</v>
      </c>
      <c r="L23" s="7">
        <v>5.64</v>
      </c>
      <c r="M23" s="7">
        <v>6.31</v>
      </c>
      <c r="N23" s="7">
        <v>9.07</v>
      </c>
      <c r="O23" s="7">
        <v>11.66</v>
      </c>
      <c r="P23" s="7">
        <v>15.77</v>
      </c>
      <c r="Q23" s="7">
        <v>13</v>
      </c>
      <c r="R23" s="7">
        <v>7.73</v>
      </c>
      <c r="S23" s="7">
        <v>10.76</v>
      </c>
      <c r="T23" s="7">
        <v>6.32</v>
      </c>
      <c r="U23" s="7">
        <v>7.32</v>
      </c>
      <c r="V23" s="7">
        <v>9.0299999999999994</v>
      </c>
      <c r="W23" s="7">
        <v>10.65</v>
      </c>
      <c r="X23" s="7">
        <v>5.59</v>
      </c>
      <c r="Y23" s="7">
        <v>6.42</v>
      </c>
      <c r="Z23" s="7">
        <v>9.0399999999999991</v>
      </c>
      <c r="AA23" s="7">
        <v>10.79</v>
      </c>
      <c r="AB23" s="7">
        <v>14.53</v>
      </c>
      <c r="AC23" s="7">
        <v>12.96</v>
      </c>
      <c r="AD23" s="7">
        <v>7.62</v>
      </c>
      <c r="AE23" s="7">
        <v>10.61</v>
      </c>
      <c r="AF23" s="7">
        <v>6.26</v>
      </c>
      <c r="AG23" s="7">
        <v>6.95</v>
      </c>
      <c r="AH23" s="7">
        <v>8.5399999999999991</v>
      </c>
      <c r="AI23" s="7">
        <v>10.43</v>
      </c>
      <c r="AJ23" s="7">
        <v>5.56</v>
      </c>
      <c r="AK23" s="7">
        <v>6.15</v>
      </c>
      <c r="AL23" s="7">
        <v>7.73</v>
      </c>
      <c r="AM23" s="7">
        <v>10.09</v>
      </c>
      <c r="AN23" s="7">
        <v>13.54</v>
      </c>
      <c r="AO23" s="7">
        <v>12.88</v>
      </c>
      <c r="AP23" s="7">
        <v>7.29</v>
      </c>
      <c r="AQ23" s="7">
        <v>10.26</v>
      </c>
      <c r="AR23" s="7">
        <v>6.05</v>
      </c>
      <c r="AS23" s="7">
        <v>6.68</v>
      </c>
      <c r="AT23" s="7">
        <v>8.2200000000000006</v>
      </c>
      <c r="AU23" s="7">
        <v>10.050000000000001</v>
      </c>
      <c r="AV23" s="7">
        <v>5.43</v>
      </c>
      <c r="AW23" s="7">
        <v>6.12</v>
      </c>
      <c r="AX23" s="7">
        <v>7.31</v>
      </c>
      <c r="AY23" s="7">
        <v>9.5</v>
      </c>
      <c r="AZ23" s="7">
        <v>12.74</v>
      </c>
      <c r="BA23" s="7">
        <v>12.93</v>
      </c>
      <c r="BB23" s="7">
        <v>7.47</v>
      </c>
      <c r="BC23" s="7">
        <v>10.86</v>
      </c>
      <c r="BD23" s="7">
        <v>6.42</v>
      </c>
      <c r="BE23" s="7">
        <v>7.01</v>
      </c>
      <c r="BF23" s="7">
        <v>8.6199999999999992</v>
      </c>
      <c r="BG23" s="7">
        <v>10.5</v>
      </c>
      <c r="BH23" s="7">
        <v>5.67</v>
      </c>
      <c r="BI23" s="7">
        <v>6.16</v>
      </c>
      <c r="BJ23" s="7">
        <v>6.97</v>
      </c>
      <c r="BK23" s="7">
        <v>17.73</v>
      </c>
      <c r="BL23" s="7">
        <v>18.46</v>
      </c>
      <c r="BM23" s="7">
        <v>15.71</v>
      </c>
      <c r="BN23" s="7">
        <v>8.19</v>
      </c>
      <c r="BO23" s="7">
        <v>14.18</v>
      </c>
      <c r="BP23" s="7">
        <v>9.1300000000000008</v>
      </c>
      <c r="BQ23" s="7">
        <v>9.5399999999999991</v>
      </c>
      <c r="BR23" s="7">
        <v>11.43</v>
      </c>
      <c r="BS23" s="7">
        <v>13.06</v>
      </c>
      <c r="BT23" s="7">
        <v>8.41</v>
      </c>
      <c r="BU23" s="7">
        <v>9.57</v>
      </c>
      <c r="BV23" s="7">
        <v>11.98</v>
      </c>
      <c r="BW23" s="7">
        <v>17.84</v>
      </c>
      <c r="BX23" s="7">
        <v>18.579999999999998</v>
      </c>
      <c r="BY23" s="7">
        <v>15.92</v>
      </c>
      <c r="BZ23" s="7">
        <v>8.5</v>
      </c>
      <c r="CA23" s="7">
        <v>15.16</v>
      </c>
      <c r="CB23" s="7">
        <v>9.75</v>
      </c>
      <c r="CC23" s="7">
        <v>10.07</v>
      </c>
      <c r="CD23" s="7">
        <v>12.05</v>
      </c>
      <c r="CE23" s="7">
        <v>13.73</v>
      </c>
      <c r="CF23" s="7">
        <v>8.82</v>
      </c>
      <c r="CG23" s="7">
        <v>9.89</v>
      </c>
      <c r="CH23" s="7">
        <v>12.08</v>
      </c>
      <c r="CI23" s="7">
        <v>17.899999999999999</v>
      </c>
      <c r="CJ23" s="7">
        <v>18.649999999999999</v>
      </c>
      <c r="CK23" s="7">
        <v>16.079999999999998</v>
      </c>
      <c r="CL23" s="7">
        <v>8.75</v>
      </c>
      <c r="CM23" s="7">
        <v>16.02</v>
      </c>
      <c r="CN23" s="7">
        <v>10.32</v>
      </c>
      <c r="CO23" s="7">
        <v>10.59</v>
      </c>
      <c r="CP23" s="7">
        <v>12.67</v>
      </c>
      <c r="CQ23" s="7">
        <v>14.38</v>
      </c>
      <c r="CR23" s="7">
        <v>9.23</v>
      </c>
      <c r="CS23" s="7">
        <v>10.210000000000001</v>
      </c>
      <c r="CT23" s="7">
        <v>12.21</v>
      </c>
      <c r="CU23" s="7">
        <v>17.989999999999998</v>
      </c>
      <c r="CV23" s="7">
        <v>18.75</v>
      </c>
      <c r="CW23" s="7">
        <v>16.27</v>
      </c>
      <c r="CX23" s="7">
        <v>8.9499999999999993</v>
      </c>
      <c r="CY23" s="7">
        <v>16.71</v>
      </c>
      <c r="CZ23" s="7">
        <v>10.79</v>
      </c>
      <c r="DA23" s="7">
        <v>11.05</v>
      </c>
      <c r="DB23" s="7">
        <v>13.29</v>
      </c>
      <c r="DC23" s="7">
        <v>15.09</v>
      </c>
      <c r="DD23" s="7">
        <v>9.74</v>
      </c>
      <c r="DE23" s="7">
        <v>10.62</v>
      </c>
      <c r="DF23" s="7">
        <v>12.41</v>
      </c>
      <c r="DG23" s="7">
        <v>18.16</v>
      </c>
      <c r="DH23" s="7">
        <v>18.940000000000001</v>
      </c>
      <c r="DI23" s="7">
        <v>16.59</v>
      </c>
      <c r="DJ23" s="7">
        <v>9.24</v>
      </c>
      <c r="DK23" s="7">
        <v>17.649999999999999</v>
      </c>
      <c r="DL23" s="7">
        <v>11.4</v>
      </c>
      <c r="DM23" s="7">
        <v>11.59</v>
      </c>
      <c r="DN23" s="7">
        <v>13.94</v>
      </c>
      <c r="DO23" s="7">
        <v>15.75</v>
      </c>
      <c r="DP23" s="7">
        <v>10.18</v>
      </c>
      <c r="DQ23" s="7">
        <v>10.97</v>
      </c>
      <c r="DR23" s="7">
        <v>12.56</v>
      </c>
      <c r="DS23" s="7">
        <v>0</v>
      </c>
      <c r="DT23" s="7">
        <v>0</v>
      </c>
      <c r="DU23" s="7">
        <v>0</v>
      </c>
      <c r="DV23" s="7">
        <v>0</v>
      </c>
      <c r="DW23" s="7">
        <v>0</v>
      </c>
      <c r="DX23" s="7">
        <v>0</v>
      </c>
      <c r="DY23" s="7">
        <v>0</v>
      </c>
      <c r="DZ23" s="7">
        <v>0</v>
      </c>
      <c r="EA23" s="7">
        <v>0</v>
      </c>
      <c r="EB23" s="7">
        <v>0</v>
      </c>
      <c r="EC23" s="7">
        <v>0</v>
      </c>
      <c r="ED23" s="7">
        <v>0</v>
      </c>
      <c r="EE23" s="7">
        <v>0</v>
      </c>
      <c r="EF23" s="7">
        <v>0</v>
      </c>
      <c r="EG23" s="7">
        <v>0</v>
      </c>
      <c r="EH23" s="7">
        <v>0</v>
      </c>
      <c r="EI23" s="7">
        <v>0</v>
      </c>
      <c r="EJ23" s="7">
        <v>0</v>
      </c>
      <c r="EK23" s="7">
        <v>0</v>
      </c>
      <c r="EL23" s="7">
        <v>0</v>
      </c>
      <c r="EM23" s="7">
        <v>0</v>
      </c>
      <c r="EN23" s="7">
        <v>0</v>
      </c>
      <c r="EO23" s="7">
        <v>0</v>
      </c>
      <c r="EP23" s="7">
        <v>0</v>
      </c>
      <c r="EQ23" s="7">
        <v>0</v>
      </c>
      <c r="ER23" s="7">
        <v>0</v>
      </c>
      <c r="ES23" s="7">
        <v>0</v>
      </c>
      <c r="ET23" s="7">
        <v>0</v>
      </c>
      <c r="EU23" s="7">
        <v>0</v>
      </c>
      <c r="EV23" s="7">
        <v>0</v>
      </c>
      <c r="EW23" s="7">
        <v>0</v>
      </c>
      <c r="EX23" s="7">
        <v>0</v>
      </c>
      <c r="EY23" s="7">
        <v>0</v>
      </c>
      <c r="EZ23" s="7">
        <v>0</v>
      </c>
      <c r="FA23" s="7">
        <v>0</v>
      </c>
      <c r="FB23" s="7">
        <v>0</v>
      </c>
      <c r="FC23" s="7">
        <v>0</v>
      </c>
      <c r="FD23" s="7">
        <v>0</v>
      </c>
      <c r="FE23" s="7">
        <v>0</v>
      </c>
      <c r="FF23" s="7">
        <v>0</v>
      </c>
      <c r="FG23" s="7">
        <v>0</v>
      </c>
      <c r="FH23" s="7">
        <v>0</v>
      </c>
      <c r="FI23" s="7">
        <v>0</v>
      </c>
      <c r="FJ23" s="7">
        <v>0</v>
      </c>
      <c r="FK23" s="7">
        <v>0</v>
      </c>
      <c r="FL23" s="7">
        <v>0</v>
      </c>
      <c r="FM23" s="7">
        <v>0</v>
      </c>
      <c r="FN23" s="7">
        <v>0</v>
      </c>
      <c r="FO23" s="7">
        <v>0</v>
      </c>
      <c r="FP23" s="7">
        <v>0</v>
      </c>
      <c r="FQ23" s="7">
        <v>0</v>
      </c>
      <c r="FR23" s="7">
        <v>0</v>
      </c>
      <c r="FS23" s="7">
        <v>0</v>
      </c>
      <c r="FT23" s="7">
        <v>0</v>
      </c>
      <c r="FU23" s="7">
        <v>0</v>
      </c>
      <c r="FV23" s="7">
        <v>0</v>
      </c>
      <c r="FW23" s="7">
        <v>0</v>
      </c>
      <c r="FX23" s="7">
        <v>0</v>
      </c>
      <c r="FY23" s="7">
        <v>0</v>
      </c>
      <c r="FZ23" s="7">
        <v>0</v>
      </c>
      <c r="GA23" s="7">
        <v>0</v>
      </c>
      <c r="GB23" s="7">
        <v>0</v>
      </c>
      <c r="GC23" s="7">
        <v>0</v>
      </c>
      <c r="GD23" s="7">
        <v>0</v>
      </c>
      <c r="GE23" s="7">
        <v>0</v>
      </c>
      <c r="GF23" s="7">
        <v>0</v>
      </c>
      <c r="GG23" s="7">
        <v>0</v>
      </c>
      <c r="GH23" s="7">
        <v>0</v>
      </c>
      <c r="GI23" s="7">
        <v>0</v>
      </c>
      <c r="GJ23" s="7">
        <v>0</v>
      </c>
      <c r="GK23" s="7">
        <v>0</v>
      </c>
      <c r="GL23" s="7">
        <v>0</v>
      </c>
      <c r="GN23">
        <f t="shared" si="136"/>
        <v>8</v>
      </c>
      <c r="GO23">
        <f t="shared" si="137"/>
        <v>2032</v>
      </c>
      <c r="GP23" s="1">
        <f t="shared" si="138"/>
        <v>48731</v>
      </c>
      <c r="GQ23" s="1">
        <f t="shared" si="139"/>
        <v>49095</v>
      </c>
      <c r="GR23">
        <f t="shared" si="125"/>
        <v>9</v>
      </c>
    </row>
    <row r="24" spans="1:200">
      <c r="A24" t="s">
        <v>63</v>
      </c>
      <c r="C24" s="7">
        <f t="shared" ref="C24:AH24" si="204">ROUND(C16*C20,2)</f>
        <v>0</v>
      </c>
      <c r="D24" s="7">
        <f t="shared" si="204"/>
        <v>0</v>
      </c>
      <c r="E24" s="7">
        <f t="shared" si="204"/>
        <v>0</v>
      </c>
      <c r="F24" s="7">
        <f t="shared" si="204"/>
        <v>0</v>
      </c>
      <c r="G24" s="7">
        <f t="shared" si="204"/>
        <v>0</v>
      </c>
      <c r="H24" s="7">
        <f t="shared" si="204"/>
        <v>0</v>
      </c>
      <c r="I24" s="7">
        <f t="shared" si="204"/>
        <v>0</v>
      </c>
      <c r="J24" s="7">
        <f t="shared" si="204"/>
        <v>0</v>
      </c>
      <c r="K24" s="7">
        <f t="shared" si="204"/>
        <v>0</v>
      </c>
      <c r="L24" s="7">
        <f t="shared" si="204"/>
        <v>0</v>
      </c>
      <c r="M24" s="7">
        <f t="shared" si="204"/>
        <v>0</v>
      </c>
      <c r="N24" s="7">
        <f t="shared" si="204"/>
        <v>0</v>
      </c>
      <c r="O24" s="7">
        <f t="shared" si="204"/>
        <v>0</v>
      </c>
      <c r="P24" s="7">
        <f t="shared" si="204"/>
        <v>0</v>
      </c>
      <c r="Q24" s="7">
        <f t="shared" si="204"/>
        <v>0</v>
      </c>
      <c r="R24" s="7">
        <f t="shared" si="204"/>
        <v>0</v>
      </c>
      <c r="S24" s="7">
        <f t="shared" si="204"/>
        <v>0</v>
      </c>
      <c r="T24" s="7">
        <f t="shared" si="204"/>
        <v>26.6</v>
      </c>
      <c r="U24" s="7">
        <f t="shared" si="204"/>
        <v>26.6</v>
      </c>
      <c r="V24" s="7">
        <f t="shared" si="204"/>
        <v>26.6</v>
      </c>
      <c r="W24" s="7">
        <f t="shared" si="204"/>
        <v>26.6</v>
      </c>
      <c r="X24" s="7">
        <f t="shared" si="204"/>
        <v>26.6</v>
      </c>
      <c r="Y24" s="7">
        <f t="shared" si="204"/>
        <v>26.6</v>
      </c>
      <c r="Z24" s="7">
        <f t="shared" si="204"/>
        <v>26.6</v>
      </c>
      <c r="AA24" s="7">
        <f t="shared" si="204"/>
        <v>26.6</v>
      </c>
      <c r="AB24" s="7">
        <f t="shared" si="204"/>
        <v>26.6</v>
      </c>
      <c r="AC24" s="7">
        <f t="shared" si="204"/>
        <v>26.6</v>
      </c>
      <c r="AD24" s="7">
        <f t="shared" si="204"/>
        <v>26.6</v>
      </c>
      <c r="AE24" s="7">
        <f t="shared" si="204"/>
        <v>26.6</v>
      </c>
      <c r="AF24" s="7">
        <f t="shared" si="204"/>
        <v>25.48</v>
      </c>
      <c r="AG24" s="7">
        <f t="shared" si="204"/>
        <v>25.48</v>
      </c>
      <c r="AH24" s="7">
        <f t="shared" si="204"/>
        <v>25.48</v>
      </c>
      <c r="AI24" s="7">
        <f t="shared" ref="AI24:BN24" si="205">ROUND(AI16*AI20,2)</f>
        <v>25.48</v>
      </c>
      <c r="AJ24" s="7">
        <f t="shared" si="205"/>
        <v>25.48</v>
      </c>
      <c r="AK24" s="7">
        <f t="shared" si="205"/>
        <v>25.48</v>
      </c>
      <c r="AL24" s="7">
        <f t="shared" si="205"/>
        <v>25.48</v>
      </c>
      <c r="AM24" s="7">
        <f t="shared" si="205"/>
        <v>25.48</v>
      </c>
      <c r="AN24" s="7">
        <f t="shared" si="205"/>
        <v>25.48</v>
      </c>
      <c r="AO24" s="7">
        <f t="shared" si="205"/>
        <v>25.48</v>
      </c>
      <c r="AP24" s="7">
        <f t="shared" si="205"/>
        <v>25.48</v>
      </c>
      <c r="AQ24" s="7">
        <f t="shared" si="205"/>
        <v>25.48</v>
      </c>
      <c r="AR24" s="7">
        <f t="shared" si="205"/>
        <v>25.48</v>
      </c>
      <c r="AS24" s="7">
        <f t="shared" si="205"/>
        <v>25.48</v>
      </c>
      <c r="AT24" s="7">
        <f t="shared" si="205"/>
        <v>25.48</v>
      </c>
      <c r="AU24" s="7">
        <f t="shared" si="205"/>
        <v>25.48</v>
      </c>
      <c r="AV24" s="7">
        <f t="shared" si="205"/>
        <v>25.48</v>
      </c>
      <c r="AW24" s="7">
        <f t="shared" si="205"/>
        <v>25.48</v>
      </c>
      <c r="AX24" s="7">
        <f t="shared" si="205"/>
        <v>25.48</v>
      </c>
      <c r="AY24" s="7">
        <f t="shared" si="205"/>
        <v>25.48</v>
      </c>
      <c r="AZ24" s="7">
        <f t="shared" si="205"/>
        <v>25.48</v>
      </c>
      <c r="BA24" s="7">
        <f t="shared" si="205"/>
        <v>25.48</v>
      </c>
      <c r="BB24" s="7">
        <f t="shared" si="205"/>
        <v>25.48</v>
      </c>
      <c r="BC24" s="7">
        <f t="shared" si="205"/>
        <v>25.48</v>
      </c>
      <c r="BD24" s="7">
        <f t="shared" si="205"/>
        <v>30.07</v>
      </c>
      <c r="BE24" s="7">
        <f t="shared" si="205"/>
        <v>30.07</v>
      </c>
      <c r="BF24" s="7">
        <f t="shared" si="205"/>
        <v>30.07</v>
      </c>
      <c r="BG24" s="7">
        <f t="shared" si="205"/>
        <v>30.07</v>
      </c>
      <c r="BH24" s="7">
        <f t="shared" si="205"/>
        <v>30.07</v>
      </c>
      <c r="BI24" s="7">
        <f t="shared" si="205"/>
        <v>30.07</v>
      </c>
      <c r="BJ24" s="7">
        <f t="shared" si="205"/>
        <v>30.07</v>
      </c>
      <c r="BK24" s="7">
        <f t="shared" si="205"/>
        <v>30.07</v>
      </c>
      <c r="BL24" s="7">
        <f t="shared" si="205"/>
        <v>30.07</v>
      </c>
      <c r="BM24" s="7">
        <f t="shared" si="205"/>
        <v>30.07</v>
      </c>
      <c r="BN24" s="7">
        <f t="shared" si="205"/>
        <v>30.07</v>
      </c>
      <c r="BO24" s="7">
        <f t="shared" ref="BO24:CT24" si="206">ROUND(BO16*BO20,2)</f>
        <v>30.07</v>
      </c>
      <c r="BP24" s="7">
        <f t="shared" si="206"/>
        <v>30.58</v>
      </c>
      <c r="BQ24" s="7">
        <f t="shared" si="206"/>
        <v>30.58</v>
      </c>
      <c r="BR24" s="7">
        <f t="shared" si="206"/>
        <v>30.58</v>
      </c>
      <c r="BS24" s="7">
        <f t="shared" si="206"/>
        <v>30.58</v>
      </c>
      <c r="BT24" s="7">
        <f t="shared" si="206"/>
        <v>30.58</v>
      </c>
      <c r="BU24" s="7">
        <f t="shared" si="206"/>
        <v>30.58</v>
      </c>
      <c r="BV24" s="7">
        <f t="shared" si="206"/>
        <v>30.58</v>
      </c>
      <c r="BW24" s="7">
        <f t="shared" si="206"/>
        <v>30.58</v>
      </c>
      <c r="BX24" s="7">
        <f t="shared" si="206"/>
        <v>30.58</v>
      </c>
      <c r="BY24" s="7">
        <f t="shared" si="206"/>
        <v>30.58</v>
      </c>
      <c r="BZ24" s="7">
        <f t="shared" si="206"/>
        <v>30.58</v>
      </c>
      <c r="CA24" s="7">
        <f t="shared" si="206"/>
        <v>30.58</v>
      </c>
      <c r="CB24" s="7">
        <f t="shared" si="206"/>
        <v>34.659999999999997</v>
      </c>
      <c r="CC24" s="7">
        <f t="shared" si="206"/>
        <v>34.659999999999997</v>
      </c>
      <c r="CD24" s="7">
        <f t="shared" si="206"/>
        <v>34.659999999999997</v>
      </c>
      <c r="CE24" s="7">
        <f t="shared" si="206"/>
        <v>34.659999999999997</v>
      </c>
      <c r="CF24" s="7">
        <f t="shared" si="206"/>
        <v>34.659999999999997</v>
      </c>
      <c r="CG24" s="7">
        <f t="shared" si="206"/>
        <v>34.659999999999997</v>
      </c>
      <c r="CH24" s="7">
        <f t="shared" si="206"/>
        <v>34.659999999999997</v>
      </c>
      <c r="CI24" s="7">
        <f t="shared" si="206"/>
        <v>34.659999999999997</v>
      </c>
      <c r="CJ24" s="7">
        <f t="shared" si="206"/>
        <v>34.659999999999997</v>
      </c>
      <c r="CK24" s="7">
        <f t="shared" si="206"/>
        <v>34.659999999999997</v>
      </c>
      <c r="CL24" s="7">
        <f t="shared" si="206"/>
        <v>34.659999999999997</v>
      </c>
      <c r="CM24" s="7">
        <f t="shared" si="206"/>
        <v>34.659999999999997</v>
      </c>
      <c r="CN24" s="7">
        <f t="shared" si="206"/>
        <v>36.39</v>
      </c>
      <c r="CO24" s="7">
        <f t="shared" si="206"/>
        <v>36.39</v>
      </c>
      <c r="CP24" s="7">
        <f t="shared" si="206"/>
        <v>36.39</v>
      </c>
      <c r="CQ24" s="7">
        <f t="shared" si="206"/>
        <v>36.39</v>
      </c>
      <c r="CR24" s="7">
        <f t="shared" si="206"/>
        <v>36.39</v>
      </c>
      <c r="CS24" s="7">
        <f t="shared" si="206"/>
        <v>36.39</v>
      </c>
      <c r="CT24" s="7">
        <f t="shared" si="206"/>
        <v>36.39</v>
      </c>
      <c r="CU24" s="7">
        <f t="shared" ref="CU24:DZ24" si="207">ROUND(CU16*CU20,2)</f>
        <v>36.39</v>
      </c>
      <c r="CV24" s="7">
        <f t="shared" si="207"/>
        <v>36.39</v>
      </c>
      <c r="CW24" s="7">
        <f t="shared" si="207"/>
        <v>36.39</v>
      </c>
      <c r="CX24" s="7">
        <f t="shared" si="207"/>
        <v>36.39</v>
      </c>
      <c r="CY24" s="7">
        <f t="shared" si="207"/>
        <v>36.39</v>
      </c>
      <c r="CZ24" s="7">
        <f t="shared" si="207"/>
        <v>38.21</v>
      </c>
      <c r="DA24" s="7">
        <f t="shared" si="207"/>
        <v>38.21</v>
      </c>
      <c r="DB24" s="7">
        <f t="shared" si="207"/>
        <v>38.21</v>
      </c>
      <c r="DC24" s="7">
        <f t="shared" si="207"/>
        <v>38.21</v>
      </c>
      <c r="DD24" s="7">
        <f t="shared" si="207"/>
        <v>38.21</v>
      </c>
      <c r="DE24" s="7">
        <f t="shared" si="207"/>
        <v>38.21</v>
      </c>
      <c r="DF24" s="7">
        <f t="shared" si="207"/>
        <v>38.21</v>
      </c>
      <c r="DG24" s="7">
        <f t="shared" si="207"/>
        <v>38.21</v>
      </c>
      <c r="DH24" s="7">
        <f t="shared" si="207"/>
        <v>38.21</v>
      </c>
      <c r="DI24" s="7">
        <f t="shared" si="207"/>
        <v>38.21</v>
      </c>
      <c r="DJ24" s="7">
        <f t="shared" si="207"/>
        <v>38.21</v>
      </c>
      <c r="DK24" s="7">
        <f t="shared" si="207"/>
        <v>38.21</v>
      </c>
      <c r="DL24" s="7">
        <f t="shared" si="207"/>
        <v>41.65</v>
      </c>
      <c r="DM24" s="7">
        <f t="shared" si="207"/>
        <v>41.65</v>
      </c>
      <c r="DN24" s="7">
        <f t="shared" si="207"/>
        <v>41.65</v>
      </c>
      <c r="DO24" s="7">
        <f t="shared" si="207"/>
        <v>41.65</v>
      </c>
      <c r="DP24" s="7">
        <f t="shared" si="207"/>
        <v>41.65</v>
      </c>
      <c r="DQ24" s="7">
        <f t="shared" si="207"/>
        <v>41.65</v>
      </c>
      <c r="DR24" s="7">
        <f t="shared" si="207"/>
        <v>41.65</v>
      </c>
      <c r="DS24" s="7">
        <f t="shared" si="207"/>
        <v>41.65</v>
      </c>
      <c r="DT24" s="7">
        <f t="shared" si="207"/>
        <v>41.65</v>
      </c>
      <c r="DU24" s="7">
        <f t="shared" si="207"/>
        <v>41.65</v>
      </c>
      <c r="DV24" s="7">
        <f t="shared" si="207"/>
        <v>41.65</v>
      </c>
      <c r="DW24" s="7">
        <f t="shared" si="207"/>
        <v>41.65</v>
      </c>
      <c r="DX24" s="7">
        <f t="shared" si="207"/>
        <v>44.98</v>
      </c>
      <c r="DY24" s="7">
        <f t="shared" si="207"/>
        <v>44.98</v>
      </c>
      <c r="DZ24" s="7">
        <f t="shared" si="207"/>
        <v>44.98</v>
      </c>
      <c r="EA24" s="7">
        <f t="shared" ref="EA24:EI24" si="208">ROUND(EA16*EA20,2)</f>
        <v>44.98</v>
      </c>
      <c r="EB24" s="7">
        <f t="shared" si="208"/>
        <v>44.98</v>
      </c>
      <c r="EC24" s="7">
        <f t="shared" si="208"/>
        <v>44.98</v>
      </c>
      <c r="ED24" s="7">
        <f t="shared" si="208"/>
        <v>44.98</v>
      </c>
      <c r="EE24" s="7">
        <f t="shared" si="208"/>
        <v>44.98</v>
      </c>
      <c r="EF24" s="7">
        <f t="shared" si="208"/>
        <v>44.98</v>
      </c>
      <c r="EG24" s="7">
        <f t="shared" si="208"/>
        <v>44.98</v>
      </c>
      <c r="EH24" s="7">
        <f t="shared" si="208"/>
        <v>44.98</v>
      </c>
      <c r="EI24" s="7">
        <f t="shared" si="208"/>
        <v>44.98</v>
      </c>
      <c r="EJ24" s="7">
        <f t="shared" ref="EJ24:FZ24" si="209">ROUND(EJ16*EJ20,2)</f>
        <v>43.8</v>
      </c>
      <c r="EK24" s="7">
        <f t="shared" si="209"/>
        <v>43.8</v>
      </c>
      <c r="EL24" s="7">
        <f t="shared" si="209"/>
        <v>43.8</v>
      </c>
      <c r="EM24" s="7">
        <f t="shared" si="209"/>
        <v>43.8</v>
      </c>
      <c r="EN24" s="7">
        <f t="shared" si="209"/>
        <v>43.8</v>
      </c>
      <c r="EO24" s="7">
        <f t="shared" si="209"/>
        <v>43.8</v>
      </c>
      <c r="EP24" s="7">
        <f t="shared" si="209"/>
        <v>43.8</v>
      </c>
      <c r="EQ24" s="7">
        <f t="shared" si="209"/>
        <v>43.8</v>
      </c>
      <c r="ER24" s="7">
        <f t="shared" si="209"/>
        <v>43.8</v>
      </c>
      <c r="ES24" s="7">
        <f t="shared" si="209"/>
        <v>43.8</v>
      </c>
      <c r="ET24" s="7">
        <f t="shared" si="209"/>
        <v>43.8</v>
      </c>
      <c r="EU24" s="7">
        <f t="shared" si="209"/>
        <v>43.8</v>
      </c>
      <c r="EV24" s="7">
        <f t="shared" si="209"/>
        <v>38.99</v>
      </c>
      <c r="EW24" s="7">
        <f t="shared" si="209"/>
        <v>38.99</v>
      </c>
      <c r="EX24" s="7">
        <f t="shared" si="209"/>
        <v>38.99</v>
      </c>
      <c r="EY24" s="7">
        <f t="shared" si="209"/>
        <v>38.99</v>
      </c>
      <c r="EZ24" s="7">
        <f t="shared" si="209"/>
        <v>38.99</v>
      </c>
      <c r="FA24" s="7">
        <f t="shared" si="209"/>
        <v>38.99</v>
      </c>
      <c r="FB24" s="7">
        <f t="shared" si="209"/>
        <v>38.99</v>
      </c>
      <c r="FC24" s="7">
        <f t="shared" si="209"/>
        <v>38.99</v>
      </c>
      <c r="FD24" s="7">
        <f t="shared" si="209"/>
        <v>38.99</v>
      </c>
      <c r="FE24" s="7">
        <f t="shared" si="209"/>
        <v>38.99</v>
      </c>
      <c r="FF24" s="7">
        <f t="shared" si="209"/>
        <v>38.99</v>
      </c>
      <c r="FG24" s="7">
        <f t="shared" si="209"/>
        <v>38.99</v>
      </c>
      <c r="FH24" s="7">
        <f t="shared" si="209"/>
        <v>0</v>
      </c>
      <c r="FI24" s="7">
        <f t="shared" si="209"/>
        <v>0</v>
      </c>
      <c r="FJ24" s="7">
        <f t="shared" si="209"/>
        <v>0</v>
      </c>
      <c r="FK24" s="7">
        <f t="shared" si="209"/>
        <v>0</v>
      </c>
      <c r="FL24" s="7">
        <f t="shared" si="209"/>
        <v>0</v>
      </c>
      <c r="FM24" s="7">
        <f t="shared" si="209"/>
        <v>0</v>
      </c>
      <c r="FN24" s="7">
        <f t="shared" si="209"/>
        <v>0</v>
      </c>
      <c r="FO24" s="7">
        <f t="shared" si="209"/>
        <v>0</v>
      </c>
      <c r="FP24" s="7">
        <f t="shared" si="209"/>
        <v>0</v>
      </c>
      <c r="FQ24" s="7">
        <f t="shared" si="209"/>
        <v>0</v>
      </c>
      <c r="FR24" s="7">
        <f t="shared" si="209"/>
        <v>0</v>
      </c>
      <c r="FS24" s="7">
        <f t="shared" si="209"/>
        <v>0</v>
      </c>
      <c r="FT24" s="7">
        <f t="shared" si="209"/>
        <v>0</v>
      </c>
      <c r="FU24" s="7">
        <f t="shared" si="209"/>
        <v>0</v>
      </c>
      <c r="FV24" s="7">
        <f t="shared" si="209"/>
        <v>0</v>
      </c>
      <c r="FW24" s="7">
        <f t="shared" si="209"/>
        <v>0</v>
      </c>
      <c r="FX24" s="7">
        <f t="shared" si="209"/>
        <v>0</v>
      </c>
      <c r="FY24" s="7">
        <f t="shared" si="209"/>
        <v>0</v>
      </c>
      <c r="FZ24" s="7">
        <f t="shared" si="209"/>
        <v>0</v>
      </c>
      <c r="GA24" s="7">
        <f t="shared" ref="GA24:GK24" si="210">ROUND(GA16*GA20,2)</f>
        <v>0</v>
      </c>
      <c r="GB24" s="7">
        <f t="shared" si="210"/>
        <v>0</v>
      </c>
      <c r="GC24" s="7">
        <f t="shared" si="210"/>
        <v>0</v>
      </c>
      <c r="GD24" s="7">
        <f t="shared" si="210"/>
        <v>0</v>
      </c>
      <c r="GE24" s="7">
        <f t="shared" si="210"/>
        <v>0</v>
      </c>
      <c r="GF24" s="7">
        <f t="shared" si="210"/>
        <v>0</v>
      </c>
      <c r="GG24" s="7">
        <f t="shared" si="210"/>
        <v>0</v>
      </c>
      <c r="GH24" s="7">
        <f t="shared" si="210"/>
        <v>0</v>
      </c>
      <c r="GI24" s="7">
        <f t="shared" si="210"/>
        <v>0</v>
      </c>
      <c r="GJ24" s="7">
        <f t="shared" si="210"/>
        <v>0</v>
      </c>
      <c r="GK24" s="7">
        <f t="shared" si="210"/>
        <v>0</v>
      </c>
      <c r="GL24" s="7">
        <f t="shared" ref="GL24" si="211">ROUND(GL16*GL20,2)</f>
        <v>0</v>
      </c>
      <c r="GN24">
        <f t="shared" si="136"/>
        <v>8</v>
      </c>
      <c r="GO24">
        <f t="shared" si="137"/>
        <v>2033</v>
      </c>
      <c r="GP24" s="1">
        <f t="shared" si="138"/>
        <v>49096</v>
      </c>
      <c r="GQ24" s="1">
        <f t="shared" si="139"/>
        <v>49460</v>
      </c>
      <c r="GR24">
        <f t="shared" ref="GR24:GR25" si="212">SUMIFS($C$10:$FZ$10,$C$6:$FZ$6,GO24,$C$5:$FZ$5,GN24)</f>
        <v>8.5500000000000007</v>
      </c>
    </row>
    <row r="25" spans="1:200">
      <c r="A25" t="s">
        <v>17</v>
      </c>
      <c r="C25" s="7">
        <f>ROUND(SUMIF('Capacity Prices'!$H:$H,"="&amp;DATEVALUE('Monthly Capacity Value'!C$5&amp;"/1/"&amp;'Monthly Capacity Value'!C$6),'Capacity Prices'!$I:$I)*'Monthly Capacity Value'!C$17,2)</f>
        <v>0</v>
      </c>
      <c r="D25" s="7">
        <f>ROUND(SUMIF('Capacity Prices'!$H:$H,"="&amp;DATEVALUE('Monthly Capacity Value'!D$5&amp;"/1/"&amp;'Monthly Capacity Value'!D$6),'Capacity Prices'!$I:$I)*'Monthly Capacity Value'!D$17,2)</f>
        <v>82.37</v>
      </c>
      <c r="E25" s="7">
        <f>ROUND(SUMIF('Capacity Prices'!$H:$H,"="&amp;DATEVALUE('Monthly Capacity Value'!E$5&amp;"/1/"&amp;'Monthly Capacity Value'!E$6),'Capacity Prices'!$I:$I)*'Monthly Capacity Value'!E$17,2)</f>
        <v>82.37</v>
      </c>
      <c r="F25" s="7">
        <f>ROUND(SUMIF('Capacity Prices'!$H:$H,"="&amp;DATEVALUE('Monthly Capacity Value'!F$5&amp;"/1/"&amp;'Monthly Capacity Value'!F$6),'Capacity Prices'!$I:$I)*'Monthly Capacity Value'!F$17,2)</f>
        <v>82.37</v>
      </c>
      <c r="G25" s="7">
        <f>ROUND(SUMIF('Capacity Prices'!$H:$H,"="&amp;DATEVALUE('Monthly Capacity Value'!G$5&amp;"/1/"&amp;'Monthly Capacity Value'!G$6),'Capacity Prices'!$I:$I)*'Monthly Capacity Value'!G$17,2)</f>
        <v>82.37</v>
      </c>
      <c r="H25" s="7">
        <f>ROUND(SUMIF('Capacity Prices'!$H:$H,"="&amp;DATEVALUE('Monthly Capacity Value'!H$5&amp;"/1/"&amp;'Monthly Capacity Value'!H$6),'Capacity Prices'!$I:$I)*'Monthly Capacity Value'!H$17,2)</f>
        <v>87.41</v>
      </c>
      <c r="I25" s="7">
        <f>ROUND(SUMIF('Capacity Prices'!$H:$H,"="&amp;DATEVALUE('Monthly Capacity Value'!I$5&amp;"/1/"&amp;'Monthly Capacity Value'!I$6),'Capacity Prices'!$I:$I)*'Monthly Capacity Value'!I$17,2)</f>
        <v>87.41</v>
      </c>
      <c r="J25" s="7">
        <f>ROUND(SUMIF('Capacity Prices'!$H:$H,"="&amp;DATEVALUE('Monthly Capacity Value'!J$5&amp;"/1/"&amp;'Monthly Capacity Value'!J$6),'Capacity Prices'!$I:$I)*'Monthly Capacity Value'!J$17,2)</f>
        <v>87.41</v>
      </c>
      <c r="K25" s="7">
        <f>ROUND(SUMIF('Capacity Prices'!$H:$H,"="&amp;DATEVALUE('Monthly Capacity Value'!K$5&amp;"/1/"&amp;'Monthly Capacity Value'!K$6),'Capacity Prices'!$I:$I)*'Monthly Capacity Value'!K$17,2)</f>
        <v>87.41</v>
      </c>
      <c r="L25" s="7">
        <f>ROUND(SUMIF('Capacity Prices'!$H:$H,"="&amp;DATEVALUE('Monthly Capacity Value'!L$5&amp;"/1/"&amp;'Monthly Capacity Value'!L$6),'Capacity Prices'!$I:$I)*'Monthly Capacity Value'!L$17,2)</f>
        <v>87.41</v>
      </c>
      <c r="M25" s="7">
        <f>ROUND(SUMIF('Capacity Prices'!$H:$H,"="&amp;DATEVALUE('Monthly Capacity Value'!M$5&amp;"/1/"&amp;'Monthly Capacity Value'!M$6),'Capacity Prices'!$I:$I)*'Monthly Capacity Value'!M$17,2)</f>
        <v>87.41</v>
      </c>
      <c r="N25" s="7">
        <f>ROUND(SUMIF('Capacity Prices'!$H:$H,"="&amp;DATEVALUE('Monthly Capacity Value'!N$5&amp;"/1/"&amp;'Monthly Capacity Value'!N$6),'Capacity Prices'!$I:$I)*'Monthly Capacity Value'!N$17,2)</f>
        <v>87.41</v>
      </c>
      <c r="O25" s="7">
        <f>ROUND(SUMIF('Capacity Prices'!$H:$H,"="&amp;DATEVALUE('Monthly Capacity Value'!O$5&amp;"/1/"&amp;'Monthly Capacity Value'!O$6),'Capacity Prices'!$I:$I)*'Monthly Capacity Value'!O$17,2)</f>
        <v>87.41</v>
      </c>
      <c r="P25" s="7">
        <f>ROUND(SUMIF('Capacity Prices'!$H:$H,"="&amp;DATEVALUE('Monthly Capacity Value'!P$5&amp;"/1/"&amp;'Monthly Capacity Value'!P$6),'Capacity Prices'!$I:$I)*'Monthly Capacity Value'!P$17,2)</f>
        <v>87.41</v>
      </c>
      <c r="Q25" s="7">
        <f>ROUND(SUMIF('Capacity Prices'!$H:$H,"="&amp;DATEVALUE('Monthly Capacity Value'!Q$5&amp;"/1/"&amp;'Monthly Capacity Value'!Q$6),'Capacity Prices'!$I:$I)*'Monthly Capacity Value'!Q$17,2)</f>
        <v>87.41</v>
      </c>
      <c r="R25" s="7">
        <f>ROUND(SUMIF('Capacity Prices'!$H:$H,"="&amp;DATEVALUE('Monthly Capacity Value'!R$5&amp;"/1/"&amp;'Monthly Capacity Value'!R$6),'Capacity Prices'!$I:$I)*'Monthly Capacity Value'!R$17,2)</f>
        <v>87.41</v>
      </c>
      <c r="S25" s="7">
        <f>ROUND(SUMIF('Capacity Prices'!$H:$H,"="&amp;DATEVALUE('Monthly Capacity Value'!S$5&amp;"/1/"&amp;'Monthly Capacity Value'!S$6),'Capacity Prices'!$I:$I)*'Monthly Capacity Value'!S$17,2)</f>
        <v>87.41</v>
      </c>
      <c r="T25" s="7">
        <f>ROUND(SUMIF('Capacity Prices'!$H:$H,"="&amp;DATEVALUE('Monthly Capacity Value'!T$5&amp;"/1/"&amp;'Monthly Capacity Value'!T$6),'Capacity Prices'!$I:$I)*'Monthly Capacity Value'!T$17,2)</f>
        <v>93.58</v>
      </c>
      <c r="U25" s="7">
        <f>ROUND(SUMIF('Capacity Prices'!$H:$H,"="&amp;DATEVALUE('Monthly Capacity Value'!U$5&amp;"/1/"&amp;'Monthly Capacity Value'!U$6),'Capacity Prices'!$I:$I)*'Monthly Capacity Value'!U$17,2)</f>
        <v>93.58</v>
      </c>
      <c r="V25" s="7">
        <f>ROUND(SUMIF('Capacity Prices'!$H:$H,"="&amp;DATEVALUE('Monthly Capacity Value'!V$5&amp;"/1/"&amp;'Monthly Capacity Value'!V$6),'Capacity Prices'!$I:$I)*'Monthly Capacity Value'!V$17,2)</f>
        <v>93.58</v>
      </c>
      <c r="W25" s="7">
        <f>ROUND(SUMIF('Capacity Prices'!$H:$H,"="&amp;DATEVALUE('Monthly Capacity Value'!W$5&amp;"/1/"&amp;'Monthly Capacity Value'!W$6),'Capacity Prices'!$I:$I)*'Monthly Capacity Value'!W$17,2)</f>
        <v>93.58</v>
      </c>
      <c r="X25" s="7">
        <f>ROUND(SUMIF('Capacity Prices'!$H:$H,"="&amp;DATEVALUE('Monthly Capacity Value'!X$5&amp;"/1/"&amp;'Monthly Capacity Value'!X$6),'Capacity Prices'!$I:$I)*'Monthly Capacity Value'!X$17,2)</f>
        <v>93.58</v>
      </c>
      <c r="Y25" s="7">
        <f>ROUND(SUMIF('Capacity Prices'!$H:$H,"="&amp;DATEVALUE('Monthly Capacity Value'!Y$5&amp;"/1/"&amp;'Monthly Capacity Value'!Y$6),'Capacity Prices'!$I:$I)*'Monthly Capacity Value'!Y$17,2)</f>
        <v>93.58</v>
      </c>
      <c r="Z25" s="7">
        <f>ROUND(SUMIF('Capacity Prices'!$H:$H,"="&amp;DATEVALUE('Monthly Capacity Value'!Z$5&amp;"/1/"&amp;'Monthly Capacity Value'!Z$6),'Capacity Prices'!$I:$I)*'Monthly Capacity Value'!Z$17,2)</f>
        <v>93.58</v>
      </c>
      <c r="AA25" s="7">
        <f>ROUND(SUMIF('Capacity Prices'!$H:$H,"="&amp;DATEVALUE('Monthly Capacity Value'!AA$5&amp;"/1/"&amp;'Monthly Capacity Value'!AA$6),'Capacity Prices'!$I:$I)*'Monthly Capacity Value'!AA$17,2)</f>
        <v>93.58</v>
      </c>
      <c r="AB25" s="7">
        <f>ROUND(SUMIF('Capacity Prices'!$H:$H,"="&amp;DATEVALUE('Monthly Capacity Value'!AB$5&amp;"/1/"&amp;'Monthly Capacity Value'!AB$6),'Capacity Prices'!$I:$I)*'Monthly Capacity Value'!AB$17,2)</f>
        <v>92.63</v>
      </c>
      <c r="AC25" s="7">
        <f>ROUND(SUMIF('Capacity Prices'!$H:$H,"="&amp;DATEVALUE('Monthly Capacity Value'!AC$5&amp;"/1/"&amp;'Monthly Capacity Value'!AC$6),'Capacity Prices'!$I:$I)*'Monthly Capacity Value'!AC$17,2)</f>
        <v>92.63</v>
      </c>
      <c r="AD25" s="7">
        <f>ROUND(SUMIF('Capacity Prices'!$H:$H,"="&amp;DATEVALUE('Monthly Capacity Value'!AD$5&amp;"/1/"&amp;'Monthly Capacity Value'!AD$6),'Capacity Prices'!$I:$I)*'Monthly Capacity Value'!AD$17,2)</f>
        <v>92.63</v>
      </c>
      <c r="AE25" s="7">
        <f>ROUND(SUMIF('Capacity Prices'!$H:$H,"="&amp;DATEVALUE('Monthly Capacity Value'!AE$5&amp;"/1/"&amp;'Monthly Capacity Value'!AE$6),'Capacity Prices'!$I:$I)*'Monthly Capacity Value'!AE$17,2)</f>
        <v>92.63</v>
      </c>
      <c r="AF25" s="7">
        <f>ROUND(SUMIF('Capacity Prices'!$H:$H,"="&amp;DATEVALUE('Monthly Capacity Value'!AF$5&amp;"/1/"&amp;'Monthly Capacity Value'!AF$6),'Capacity Prices'!$I:$I)*'Monthly Capacity Value'!AF$17,2)</f>
        <v>94.48</v>
      </c>
      <c r="AG25" s="7">
        <f>ROUND(SUMIF('Capacity Prices'!$H:$H,"="&amp;DATEVALUE('Monthly Capacity Value'!AG$5&amp;"/1/"&amp;'Monthly Capacity Value'!AG$6),'Capacity Prices'!$I:$I)*'Monthly Capacity Value'!AG$17,2)</f>
        <v>94.48</v>
      </c>
      <c r="AH25" s="7">
        <f>ROUND(SUMIF('Capacity Prices'!$H:$H,"="&amp;DATEVALUE('Monthly Capacity Value'!AH$5&amp;"/1/"&amp;'Monthly Capacity Value'!AH$6),'Capacity Prices'!$I:$I)*'Monthly Capacity Value'!AH$17,2)</f>
        <v>94.48</v>
      </c>
      <c r="AI25" s="7">
        <f>ROUND(SUMIF('Capacity Prices'!$H:$H,"="&amp;DATEVALUE('Monthly Capacity Value'!AI$5&amp;"/1/"&amp;'Monthly Capacity Value'!AI$6),'Capacity Prices'!$I:$I)*'Monthly Capacity Value'!AI$17,2)</f>
        <v>94.48</v>
      </c>
      <c r="AJ25" s="7">
        <f>ROUND(SUMIF('Capacity Prices'!$H:$H,"="&amp;DATEVALUE('Monthly Capacity Value'!AJ$5&amp;"/1/"&amp;'Monthly Capacity Value'!AJ$6),'Capacity Prices'!$I:$I)*'Monthly Capacity Value'!AJ$17,2)</f>
        <v>94.48</v>
      </c>
      <c r="AK25" s="7">
        <f>ROUND(SUMIF('Capacity Prices'!$H:$H,"="&amp;DATEVALUE('Monthly Capacity Value'!AK$5&amp;"/1/"&amp;'Monthly Capacity Value'!AK$6),'Capacity Prices'!$I:$I)*'Monthly Capacity Value'!AK$17,2)</f>
        <v>94.48</v>
      </c>
      <c r="AL25" s="7">
        <f>ROUND(SUMIF('Capacity Prices'!$H:$H,"="&amp;DATEVALUE('Monthly Capacity Value'!AL$5&amp;"/1/"&amp;'Monthly Capacity Value'!AL$6),'Capacity Prices'!$I:$I)*'Monthly Capacity Value'!AL$17,2)</f>
        <v>94.48</v>
      </c>
      <c r="AM25" s="7">
        <f>ROUND(SUMIF('Capacity Prices'!$H:$H,"="&amp;DATEVALUE('Monthly Capacity Value'!AM$5&amp;"/1/"&amp;'Monthly Capacity Value'!AM$6),'Capacity Prices'!$I:$I)*'Monthly Capacity Value'!AM$17,2)</f>
        <v>94.48</v>
      </c>
      <c r="AN25" s="7">
        <f>ROUND(SUMIF('Capacity Prices'!$H:$H,"="&amp;DATEVALUE('Monthly Capacity Value'!AN$5&amp;"/1/"&amp;'Monthly Capacity Value'!AN$6),'Capacity Prices'!$I:$I)*'Monthly Capacity Value'!AN$17,2)</f>
        <v>94.48</v>
      </c>
      <c r="AO25" s="7">
        <f>ROUND(SUMIF('Capacity Prices'!$H:$H,"="&amp;DATEVALUE('Monthly Capacity Value'!AO$5&amp;"/1/"&amp;'Monthly Capacity Value'!AO$6),'Capacity Prices'!$I:$I)*'Monthly Capacity Value'!AO$17,2)</f>
        <v>94.48</v>
      </c>
      <c r="AP25" s="7">
        <f>ROUND(SUMIF('Capacity Prices'!$H:$H,"="&amp;DATEVALUE('Monthly Capacity Value'!AP$5&amp;"/1/"&amp;'Monthly Capacity Value'!AP$6),'Capacity Prices'!$I:$I)*'Monthly Capacity Value'!AP$17,2)</f>
        <v>94.48</v>
      </c>
      <c r="AQ25" s="7">
        <f>ROUND(SUMIF('Capacity Prices'!$H:$H,"="&amp;DATEVALUE('Monthly Capacity Value'!AQ$5&amp;"/1/"&amp;'Monthly Capacity Value'!AQ$6),'Capacity Prices'!$I:$I)*'Monthly Capacity Value'!AQ$17,2)</f>
        <v>94.48</v>
      </c>
      <c r="AR25" s="7">
        <f>ROUND(SUMIF('Capacity Prices'!$H:$H,"="&amp;DATEVALUE('Monthly Capacity Value'!AR$5&amp;"/1/"&amp;'Monthly Capacity Value'!AR$6),'Capacity Prices'!$I:$I)*'Monthly Capacity Value'!AR$17,2)</f>
        <v>96.37</v>
      </c>
      <c r="AS25" s="7">
        <f>ROUND(SUMIF('Capacity Prices'!$H:$H,"="&amp;DATEVALUE('Monthly Capacity Value'!AS$5&amp;"/1/"&amp;'Monthly Capacity Value'!AS$6),'Capacity Prices'!$I:$I)*'Monthly Capacity Value'!AS$17,2)</f>
        <v>96.37</v>
      </c>
      <c r="AT25" s="7">
        <f>ROUND(SUMIF('Capacity Prices'!$H:$H,"="&amp;DATEVALUE('Monthly Capacity Value'!AT$5&amp;"/1/"&amp;'Monthly Capacity Value'!AT$6),'Capacity Prices'!$I:$I)*'Monthly Capacity Value'!AT$17,2)</f>
        <v>96.37</v>
      </c>
      <c r="AU25" s="7">
        <f>ROUND(SUMIF('Capacity Prices'!$H:$H,"="&amp;DATEVALUE('Monthly Capacity Value'!AU$5&amp;"/1/"&amp;'Monthly Capacity Value'!AU$6),'Capacity Prices'!$I:$I)*'Monthly Capacity Value'!AU$17,2)</f>
        <v>96.37</v>
      </c>
      <c r="AV25" s="7">
        <f>ROUND(SUMIF('Capacity Prices'!$H:$H,"="&amp;DATEVALUE('Monthly Capacity Value'!AV$5&amp;"/1/"&amp;'Monthly Capacity Value'!AV$6),'Capacity Prices'!$I:$I)*'Monthly Capacity Value'!AV$17,2)</f>
        <v>96.37</v>
      </c>
      <c r="AW25" s="7">
        <f>ROUND(SUMIF('Capacity Prices'!$H:$H,"="&amp;DATEVALUE('Monthly Capacity Value'!AW$5&amp;"/1/"&amp;'Monthly Capacity Value'!AW$6),'Capacity Prices'!$I:$I)*'Monthly Capacity Value'!AW$17,2)</f>
        <v>96.37</v>
      </c>
      <c r="AX25" s="7">
        <f>ROUND(SUMIF('Capacity Prices'!$H:$H,"="&amp;DATEVALUE('Monthly Capacity Value'!AX$5&amp;"/1/"&amp;'Monthly Capacity Value'!AX$6),'Capacity Prices'!$I:$I)*'Monthly Capacity Value'!AX$17,2)</f>
        <v>96.37</v>
      </c>
      <c r="AY25" s="7">
        <f>ROUND(SUMIF('Capacity Prices'!$H:$H,"="&amp;DATEVALUE('Monthly Capacity Value'!AY$5&amp;"/1/"&amp;'Monthly Capacity Value'!AY$6),'Capacity Prices'!$I:$I)*'Monthly Capacity Value'!AY$17,2)</f>
        <v>96.37</v>
      </c>
      <c r="AZ25" s="7">
        <f>ROUND(SUMIF('Capacity Prices'!$H:$H,"="&amp;DATEVALUE('Monthly Capacity Value'!AZ$5&amp;"/1/"&amp;'Monthly Capacity Value'!AZ$6),'Capacity Prices'!$I:$I)*'Monthly Capacity Value'!AZ$17,2)</f>
        <v>96.37</v>
      </c>
      <c r="BA25" s="7">
        <f>ROUND(SUMIF('Capacity Prices'!$H:$H,"="&amp;DATEVALUE('Monthly Capacity Value'!BA$5&amp;"/1/"&amp;'Monthly Capacity Value'!BA$6),'Capacity Prices'!$I:$I)*'Monthly Capacity Value'!BA$17,2)</f>
        <v>96.37</v>
      </c>
      <c r="BB25" s="7">
        <f>ROUND(SUMIF('Capacity Prices'!$H:$H,"="&amp;DATEVALUE('Monthly Capacity Value'!BB$5&amp;"/1/"&amp;'Monthly Capacity Value'!BB$6),'Capacity Prices'!$I:$I)*'Monthly Capacity Value'!BB$17,2)</f>
        <v>96.37</v>
      </c>
      <c r="BC25" s="7">
        <f>ROUND(SUMIF('Capacity Prices'!$H:$H,"="&amp;DATEVALUE('Monthly Capacity Value'!BC$5&amp;"/1/"&amp;'Monthly Capacity Value'!BC$6),'Capacity Prices'!$I:$I)*'Monthly Capacity Value'!BC$17,2)</f>
        <v>96.37</v>
      </c>
      <c r="BD25" s="7">
        <f>ROUND(SUMIF('Capacity Prices'!$H:$H,"="&amp;DATEVALUE('Monthly Capacity Value'!BD$5&amp;"/1/"&amp;'Monthly Capacity Value'!BD$6),'Capacity Prices'!$I:$I)*'Monthly Capacity Value'!BD$17,2)</f>
        <v>98.3</v>
      </c>
      <c r="BE25" s="7">
        <f>ROUND(SUMIF('Capacity Prices'!$H:$H,"="&amp;DATEVALUE('Monthly Capacity Value'!BE$5&amp;"/1/"&amp;'Monthly Capacity Value'!BE$6),'Capacity Prices'!$I:$I)*'Monthly Capacity Value'!BE$17,2)</f>
        <v>98.3</v>
      </c>
      <c r="BF25" s="7">
        <f>ROUND(SUMIF('Capacity Prices'!$H:$H,"="&amp;DATEVALUE('Monthly Capacity Value'!BF$5&amp;"/1/"&amp;'Monthly Capacity Value'!BF$6),'Capacity Prices'!$I:$I)*'Monthly Capacity Value'!BF$17,2)</f>
        <v>98.3</v>
      </c>
      <c r="BG25" s="7">
        <f>ROUND(SUMIF('Capacity Prices'!$H:$H,"="&amp;DATEVALUE('Monthly Capacity Value'!BG$5&amp;"/1/"&amp;'Monthly Capacity Value'!BG$6),'Capacity Prices'!$I:$I)*'Monthly Capacity Value'!BG$17,2)</f>
        <v>98.3</v>
      </c>
      <c r="BH25" s="7">
        <f>ROUND(SUMIF('Capacity Prices'!$H:$H,"="&amp;DATEVALUE('Monthly Capacity Value'!BH$5&amp;"/1/"&amp;'Monthly Capacity Value'!BH$6),'Capacity Prices'!$I:$I)*'Monthly Capacity Value'!BH$17,2)</f>
        <v>98.3</v>
      </c>
      <c r="BI25" s="7">
        <f>ROUND(SUMIF('Capacity Prices'!$H:$H,"="&amp;DATEVALUE('Monthly Capacity Value'!BI$5&amp;"/1/"&amp;'Monthly Capacity Value'!BI$6),'Capacity Prices'!$I:$I)*'Monthly Capacity Value'!BI$17,2)</f>
        <v>98.3</v>
      </c>
      <c r="BJ25" s="7">
        <f>ROUND(SUMIF('Capacity Prices'!$H:$H,"="&amp;DATEVALUE('Monthly Capacity Value'!BJ$5&amp;"/1/"&amp;'Monthly Capacity Value'!BJ$6),'Capacity Prices'!$I:$I)*'Monthly Capacity Value'!BJ$17,2)</f>
        <v>98.3</v>
      </c>
      <c r="BK25" s="7">
        <f>ROUND(SUMIF('Capacity Prices'!$H:$H,"="&amp;DATEVALUE('Monthly Capacity Value'!BK$5&amp;"/1/"&amp;'Monthly Capacity Value'!BK$6),'Capacity Prices'!$I:$I)*'Monthly Capacity Value'!BK$17,2)</f>
        <v>98.3</v>
      </c>
      <c r="BL25" s="7">
        <f>ROUND(SUMIF('Capacity Prices'!$H:$H,"="&amp;DATEVALUE('Monthly Capacity Value'!BL$5&amp;"/1/"&amp;'Monthly Capacity Value'!BL$6),'Capacity Prices'!$I:$I)*'Monthly Capacity Value'!BL$17,2)</f>
        <v>98.3</v>
      </c>
      <c r="BM25" s="7">
        <f>ROUND(SUMIF('Capacity Prices'!$H:$H,"="&amp;DATEVALUE('Monthly Capacity Value'!BM$5&amp;"/1/"&amp;'Monthly Capacity Value'!BM$6),'Capacity Prices'!$I:$I)*'Monthly Capacity Value'!BM$17,2)</f>
        <v>98.3</v>
      </c>
      <c r="BN25" s="7">
        <f>ROUND(SUMIF('Capacity Prices'!$H:$H,"="&amp;DATEVALUE('Monthly Capacity Value'!BN$5&amp;"/1/"&amp;'Monthly Capacity Value'!BN$6),'Capacity Prices'!$I:$I)*'Monthly Capacity Value'!BN$17,2)</f>
        <v>98.3</v>
      </c>
      <c r="BO25" s="7">
        <f>ROUND(SUMIF('Capacity Prices'!$H:$H,"="&amp;DATEVALUE('Monthly Capacity Value'!BO$5&amp;"/1/"&amp;'Monthly Capacity Value'!BO$6),'Capacity Prices'!$I:$I)*'Monthly Capacity Value'!BO$17,2)</f>
        <v>98.3</v>
      </c>
      <c r="BP25" s="7">
        <f>ROUND(SUMIF('Capacity Prices'!$H:$H,"="&amp;DATEVALUE('Monthly Capacity Value'!BP$5&amp;"/1/"&amp;'Monthly Capacity Value'!BP$6),'Capacity Prices'!$I:$I)*'Monthly Capacity Value'!BP$17,2)</f>
        <v>100.26</v>
      </c>
      <c r="BQ25" s="7">
        <f>ROUND(SUMIF('Capacity Prices'!$H:$H,"="&amp;DATEVALUE('Monthly Capacity Value'!BQ$5&amp;"/1/"&amp;'Monthly Capacity Value'!BQ$6),'Capacity Prices'!$I:$I)*'Monthly Capacity Value'!BQ$17,2)</f>
        <v>100.26</v>
      </c>
      <c r="BR25" s="7">
        <f>ROUND(SUMIF('Capacity Prices'!$H:$H,"="&amp;DATEVALUE('Monthly Capacity Value'!BR$5&amp;"/1/"&amp;'Monthly Capacity Value'!BR$6),'Capacity Prices'!$I:$I)*'Monthly Capacity Value'!BR$17,2)</f>
        <v>100.26</v>
      </c>
      <c r="BS25" s="7">
        <f>ROUND(SUMIF('Capacity Prices'!$H:$H,"="&amp;DATEVALUE('Monthly Capacity Value'!BS$5&amp;"/1/"&amp;'Monthly Capacity Value'!BS$6),'Capacity Prices'!$I:$I)*'Monthly Capacity Value'!BS$17,2)</f>
        <v>100.26</v>
      </c>
      <c r="BT25" s="7">
        <f>ROUND(SUMIF('Capacity Prices'!$H:$H,"="&amp;DATEVALUE('Monthly Capacity Value'!BT$5&amp;"/1/"&amp;'Monthly Capacity Value'!BT$6),'Capacity Prices'!$I:$I)*'Monthly Capacity Value'!BT$17,2)</f>
        <v>100.26</v>
      </c>
      <c r="BU25" s="7">
        <f>ROUND(SUMIF('Capacity Prices'!$H:$H,"="&amp;DATEVALUE('Monthly Capacity Value'!BU$5&amp;"/1/"&amp;'Monthly Capacity Value'!BU$6),'Capacity Prices'!$I:$I)*'Monthly Capacity Value'!BU$17,2)</f>
        <v>100.26</v>
      </c>
      <c r="BV25" s="7">
        <f>ROUND(SUMIF('Capacity Prices'!$H:$H,"="&amp;DATEVALUE('Monthly Capacity Value'!BV$5&amp;"/1/"&amp;'Monthly Capacity Value'!BV$6),'Capacity Prices'!$I:$I)*'Monthly Capacity Value'!BV$17,2)</f>
        <v>100.26</v>
      </c>
      <c r="BW25" s="7">
        <f>ROUND(SUMIF('Capacity Prices'!$H:$H,"="&amp;DATEVALUE('Monthly Capacity Value'!BW$5&amp;"/1/"&amp;'Monthly Capacity Value'!BW$6),'Capacity Prices'!$I:$I)*'Monthly Capacity Value'!BW$17,2)</f>
        <v>100.26</v>
      </c>
      <c r="BX25" s="7">
        <f>ROUND(SUMIF('Capacity Prices'!$H:$H,"="&amp;DATEVALUE('Monthly Capacity Value'!BX$5&amp;"/1/"&amp;'Monthly Capacity Value'!BX$6),'Capacity Prices'!$I:$I)*'Monthly Capacity Value'!BX$17,2)</f>
        <v>99.24</v>
      </c>
      <c r="BY25" s="7">
        <f>ROUND(SUMIF('Capacity Prices'!$H:$H,"="&amp;DATEVALUE('Monthly Capacity Value'!BY$5&amp;"/1/"&amp;'Monthly Capacity Value'!BY$6),'Capacity Prices'!$I:$I)*'Monthly Capacity Value'!BY$17,2)</f>
        <v>99.24</v>
      </c>
      <c r="BZ25" s="7">
        <f>ROUND(SUMIF('Capacity Prices'!$H:$H,"="&amp;DATEVALUE('Monthly Capacity Value'!BZ$5&amp;"/1/"&amp;'Monthly Capacity Value'!BZ$6),'Capacity Prices'!$I:$I)*'Monthly Capacity Value'!BZ$17,2)</f>
        <v>99.24</v>
      </c>
      <c r="CA25" s="7">
        <f>ROUND(SUMIF('Capacity Prices'!$H:$H,"="&amp;DATEVALUE('Monthly Capacity Value'!CA$5&amp;"/1/"&amp;'Monthly Capacity Value'!CA$6),'Capacity Prices'!$I:$I)*'Monthly Capacity Value'!CA$17,2)</f>
        <v>99.24</v>
      </c>
      <c r="CB25" s="7">
        <f>ROUND(SUMIF('Capacity Prices'!$H:$H,"="&amp;DATEVALUE('Monthly Capacity Value'!CB$5&amp;"/1/"&amp;'Monthly Capacity Value'!CB$6),'Capacity Prices'!$I:$I)*'Monthly Capacity Value'!CB$17,2)</f>
        <v>101.23</v>
      </c>
      <c r="CC25" s="7">
        <f>ROUND(SUMIF('Capacity Prices'!$H:$H,"="&amp;DATEVALUE('Monthly Capacity Value'!CC$5&amp;"/1/"&amp;'Monthly Capacity Value'!CC$6),'Capacity Prices'!$I:$I)*'Monthly Capacity Value'!CC$17,2)</f>
        <v>101.23</v>
      </c>
      <c r="CD25" s="7">
        <f>ROUND(SUMIF('Capacity Prices'!$H:$H,"="&amp;DATEVALUE('Monthly Capacity Value'!CD$5&amp;"/1/"&amp;'Monthly Capacity Value'!CD$6),'Capacity Prices'!$I:$I)*'Monthly Capacity Value'!CD$17,2)</f>
        <v>101.23</v>
      </c>
      <c r="CE25" s="7">
        <f>ROUND(SUMIF('Capacity Prices'!$H:$H,"="&amp;DATEVALUE('Monthly Capacity Value'!CE$5&amp;"/1/"&amp;'Monthly Capacity Value'!CE$6),'Capacity Prices'!$I:$I)*'Monthly Capacity Value'!CE$17,2)</f>
        <v>101.23</v>
      </c>
      <c r="CF25" s="7">
        <f>ROUND(SUMIF('Capacity Prices'!$H:$H,"="&amp;DATEVALUE('Monthly Capacity Value'!CF$5&amp;"/1/"&amp;'Monthly Capacity Value'!CF$6),'Capacity Prices'!$I:$I)*'Monthly Capacity Value'!CF$17,2)</f>
        <v>101.23</v>
      </c>
      <c r="CG25" s="7">
        <f>ROUND(SUMIF('Capacity Prices'!$H:$H,"="&amp;DATEVALUE('Monthly Capacity Value'!CG$5&amp;"/1/"&amp;'Monthly Capacity Value'!CG$6),'Capacity Prices'!$I:$I)*'Monthly Capacity Value'!CG$17,2)</f>
        <v>101.23</v>
      </c>
      <c r="CH25" s="7">
        <f>ROUND(SUMIF('Capacity Prices'!$H:$H,"="&amp;DATEVALUE('Monthly Capacity Value'!CH$5&amp;"/1/"&amp;'Monthly Capacity Value'!CH$6),'Capacity Prices'!$I:$I)*'Monthly Capacity Value'!CH$17,2)</f>
        <v>101.23</v>
      </c>
      <c r="CI25" s="7">
        <f>ROUND(SUMIF('Capacity Prices'!$H:$H,"="&amp;DATEVALUE('Monthly Capacity Value'!CI$5&amp;"/1/"&amp;'Monthly Capacity Value'!CI$6),'Capacity Prices'!$I:$I)*'Monthly Capacity Value'!CI$17,2)</f>
        <v>101.23</v>
      </c>
      <c r="CJ25" s="7">
        <f>ROUND(SUMIF('Capacity Prices'!$H:$H,"="&amp;DATEVALUE('Monthly Capacity Value'!CJ$5&amp;"/1/"&amp;'Monthly Capacity Value'!CJ$6),'Capacity Prices'!$I:$I)*'Monthly Capacity Value'!CJ$17,2)</f>
        <v>101.23</v>
      </c>
      <c r="CK25" s="7">
        <f>ROUND(SUMIF('Capacity Prices'!$H:$H,"="&amp;DATEVALUE('Monthly Capacity Value'!CK$5&amp;"/1/"&amp;'Monthly Capacity Value'!CK$6),'Capacity Prices'!$I:$I)*'Monthly Capacity Value'!CK$17,2)</f>
        <v>101.23</v>
      </c>
      <c r="CL25" s="7">
        <f>ROUND(SUMIF('Capacity Prices'!$H:$H,"="&amp;DATEVALUE('Monthly Capacity Value'!CL$5&amp;"/1/"&amp;'Monthly Capacity Value'!CL$6),'Capacity Prices'!$I:$I)*'Monthly Capacity Value'!CL$17,2)</f>
        <v>101.23</v>
      </c>
      <c r="CM25" s="7">
        <f>ROUND(SUMIF('Capacity Prices'!$H:$H,"="&amp;DATEVALUE('Monthly Capacity Value'!CM$5&amp;"/1/"&amp;'Monthly Capacity Value'!CM$6),'Capacity Prices'!$I:$I)*'Monthly Capacity Value'!CM$17,2)</f>
        <v>101.23</v>
      </c>
      <c r="CN25" s="7">
        <f>ROUND(SUMIF('Capacity Prices'!$H:$H,"="&amp;DATEVALUE('Monthly Capacity Value'!CN$5&amp;"/1/"&amp;'Monthly Capacity Value'!CN$6),'Capacity Prices'!$I:$I)*'Monthly Capacity Value'!CN$17,2)</f>
        <v>103.25</v>
      </c>
      <c r="CO25" s="7">
        <f>ROUND(SUMIF('Capacity Prices'!$H:$H,"="&amp;DATEVALUE('Monthly Capacity Value'!CO$5&amp;"/1/"&amp;'Monthly Capacity Value'!CO$6),'Capacity Prices'!$I:$I)*'Monthly Capacity Value'!CO$17,2)</f>
        <v>103.25</v>
      </c>
      <c r="CP25" s="7">
        <f>ROUND(SUMIF('Capacity Prices'!$H:$H,"="&amp;DATEVALUE('Monthly Capacity Value'!CP$5&amp;"/1/"&amp;'Monthly Capacity Value'!CP$6),'Capacity Prices'!$I:$I)*'Monthly Capacity Value'!CP$17,2)</f>
        <v>103.25</v>
      </c>
      <c r="CQ25" s="7">
        <f>ROUND(SUMIF('Capacity Prices'!$H:$H,"="&amp;DATEVALUE('Monthly Capacity Value'!CQ$5&amp;"/1/"&amp;'Monthly Capacity Value'!CQ$6),'Capacity Prices'!$I:$I)*'Monthly Capacity Value'!CQ$17,2)</f>
        <v>103.25</v>
      </c>
      <c r="CR25" s="7">
        <f>ROUND(SUMIF('Capacity Prices'!$H:$H,"="&amp;DATEVALUE('Monthly Capacity Value'!CR$5&amp;"/1/"&amp;'Monthly Capacity Value'!CR$6),'Capacity Prices'!$I:$I)*'Monthly Capacity Value'!CR$17,2)</f>
        <v>103.25</v>
      </c>
      <c r="CS25" s="7">
        <f>ROUND(SUMIF('Capacity Prices'!$H:$H,"="&amp;DATEVALUE('Monthly Capacity Value'!CS$5&amp;"/1/"&amp;'Monthly Capacity Value'!CS$6),'Capacity Prices'!$I:$I)*'Monthly Capacity Value'!CS$17,2)</f>
        <v>103.25</v>
      </c>
      <c r="CT25" s="7">
        <f>ROUND(SUMIF('Capacity Prices'!$H:$H,"="&amp;DATEVALUE('Monthly Capacity Value'!CT$5&amp;"/1/"&amp;'Monthly Capacity Value'!CT$6),'Capacity Prices'!$I:$I)*'Monthly Capacity Value'!CT$17,2)</f>
        <v>103.25</v>
      </c>
      <c r="CU25" s="7">
        <f>ROUND(SUMIF('Capacity Prices'!$H:$H,"="&amp;DATEVALUE('Monthly Capacity Value'!CU$5&amp;"/1/"&amp;'Monthly Capacity Value'!CU$6),'Capacity Prices'!$I:$I)*'Monthly Capacity Value'!CU$17,2)</f>
        <v>103.25</v>
      </c>
      <c r="CV25" s="7">
        <f>ROUND(SUMIF('Capacity Prices'!$H:$H,"="&amp;DATEVALUE('Monthly Capacity Value'!CV$5&amp;"/1/"&amp;'Monthly Capacity Value'!CV$6),'Capacity Prices'!$I:$I)*'Monthly Capacity Value'!CV$17,2)</f>
        <v>102.18</v>
      </c>
      <c r="CW25" s="7">
        <f>ROUND(SUMIF('Capacity Prices'!$H:$H,"="&amp;DATEVALUE('Monthly Capacity Value'!CW$5&amp;"/1/"&amp;'Monthly Capacity Value'!CW$6),'Capacity Prices'!$I:$I)*'Monthly Capacity Value'!CW$17,2)</f>
        <v>102.18</v>
      </c>
      <c r="CX25" s="7">
        <f>ROUND(SUMIF('Capacity Prices'!$H:$H,"="&amp;DATEVALUE('Monthly Capacity Value'!CX$5&amp;"/1/"&amp;'Monthly Capacity Value'!CX$6),'Capacity Prices'!$I:$I)*'Monthly Capacity Value'!CX$17,2)</f>
        <v>102.18</v>
      </c>
      <c r="CY25" s="7">
        <f>ROUND(SUMIF('Capacity Prices'!$H:$H,"="&amp;DATEVALUE('Monthly Capacity Value'!CY$5&amp;"/1/"&amp;'Monthly Capacity Value'!CY$6),'Capacity Prices'!$I:$I)*'Monthly Capacity Value'!CY$17,2)</f>
        <v>102.18</v>
      </c>
      <c r="CZ25" s="7">
        <f>ROUND(SUMIF('Capacity Prices'!$H:$H,"="&amp;DATEVALUE('Monthly Capacity Value'!CZ$5&amp;"/1/"&amp;'Monthly Capacity Value'!CZ$6),'Capacity Prices'!$I:$I)*'Monthly Capacity Value'!CZ$17,2)</f>
        <v>104.23</v>
      </c>
      <c r="DA25" s="7">
        <f>ROUND(SUMIF('Capacity Prices'!$H:$H,"="&amp;DATEVALUE('Monthly Capacity Value'!DA$5&amp;"/1/"&amp;'Monthly Capacity Value'!DA$6),'Capacity Prices'!$I:$I)*'Monthly Capacity Value'!DA$17,2)</f>
        <v>104.23</v>
      </c>
      <c r="DB25" s="7">
        <f>ROUND(SUMIF('Capacity Prices'!$H:$H,"="&amp;DATEVALUE('Monthly Capacity Value'!DB$5&amp;"/1/"&amp;'Monthly Capacity Value'!DB$6),'Capacity Prices'!$I:$I)*'Monthly Capacity Value'!DB$17,2)</f>
        <v>104.23</v>
      </c>
      <c r="DC25" s="7">
        <f>ROUND(SUMIF('Capacity Prices'!$H:$H,"="&amp;DATEVALUE('Monthly Capacity Value'!DC$5&amp;"/1/"&amp;'Monthly Capacity Value'!DC$6),'Capacity Prices'!$I:$I)*'Monthly Capacity Value'!DC$17,2)</f>
        <v>104.23</v>
      </c>
      <c r="DD25" s="7">
        <f>ROUND(SUMIF('Capacity Prices'!$H:$H,"="&amp;DATEVALUE('Monthly Capacity Value'!DD$5&amp;"/1/"&amp;'Monthly Capacity Value'!DD$6),'Capacity Prices'!$I:$I)*'Monthly Capacity Value'!DD$17,2)</f>
        <v>104.23</v>
      </c>
      <c r="DE25" s="7">
        <f>ROUND(SUMIF('Capacity Prices'!$H:$H,"="&amp;DATEVALUE('Monthly Capacity Value'!DE$5&amp;"/1/"&amp;'Monthly Capacity Value'!DE$6),'Capacity Prices'!$I:$I)*'Monthly Capacity Value'!DE$17,2)</f>
        <v>104.23</v>
      </c>
      <c r="DF25" s="7">
        <f>ROUND(SUMIF('Capacity Prices'!$H:$H,"="&amp;DATEVALUE('Monthly Capacity Value'!DF$5&amp;"/1/"&amp;'Monthly Capacity Value'!DF$6),'Capacity Prices'!$I:$I)*'Monthly Capacity Value'!DF$17,2)</f>
        <v>104.23</v>
      </c>
      <c r="DG25" s="7">
        <f>ROUND(SUMIF('Capacity Prices'!$H:$H,"="&amp;DATEVALUE('Monthly Capacity Value'!DG$5&amp;"/1/"&amp;'Monthly Capacity Value'!DG$6),'Capacity Prices'!$I:$I)*'Monthly Capacity Value'!DG$17,2)</f>
        <v>104.23</v>
      </c>
      <c r="DH25" s="7">
        <f>ROUND(SUMIF('Capacity Prices'!$H:$H,"="&amp;DATEVALUE('Monthly Capacity Value'!DH$5&amp;"/1/"&amp;'Monthly Capacity Value'!DH$6),'Capacity Prices'!$I:$I)*'Monthly Capacity Value'!DH$17,2)</f>
        <v>104.23</v>
      </c>
      <c r="DI25" s="7">
        <f>ROUND(SUMIF('Capacity Prices'!$H:$H,"="&amp;DATEVALUE('Monthly Capacity Value'!DI$5&amp;"/1/"&amp;'Monthly Capacity Value'!DI$6),'Capacity Prices'!$I:$I)*'Monthly Capacity Value'!DI$17,2)</f>
        <v>104.23</v>
      </c>
      <c r="DJ25" s="7">
        <f>ROUND(SUMIF('Capacity Prices'!$H:$H,"="&amp;DATEVALUE('Monthly Capacity Value'!DJ$5&amp;"/1/"&amp;'Monthly Capacity Value'!DJ$6),'Capacity Prices'!$I:$I)*'Monthly Capacity Value'!DJ$17,2)</f>
        <v>104.23</v>
      </c>
      <c r="DK25" s="7">
        <f>ROUND(SUMIF('Capacity Prices'!$H:$H,"="&amp;DATEVALUE('Monthly Capacity Value'!DK$5&amp;"/1/"&amp;'Monthly Capacity Value'!DK$6),'Capacity Prices'!$I:$I)*'Monthly Capacity Value'!DK$17,2)</f>
        <v>104.23</v>
      </c>
      <c r="DL25" s="7">
        <f>ROUND(SUMIF('Capacity Prices'!$H:$H,"="&amp;DATEVALUE('Monthly Capacity Value'!DL$5&amp;"/1/"&amp;'Monthly Capacity Value'!DL$6),'Capacity Prices'!$I:$I)*'Monthly Capacity Value'!DL$17,2)</f>
        <v>106.31</v>
      </c>
      <c r="DM25" s="7">
        <f>ROUND(SUMIF('Capacity Prices'!$H:$H,"="&amp;DATEVALUE('Monthly Capacity Value'!DM$5&amp;"/1/"&amp;'Monthly Capacity Value'!DM$6),'Capacity Prices'!$I:$I)*'Monthly Capacity Value'!DM$17,2)</f>
        <v>106.31</v>
      </c>
      <c r="DN25" s="7">
        <f>ROUND(SUMIF('Capacity Prices'!$H:$H,"="&amp;DATEVALUE('Monthly Capacity Value'!DN$5&amp;"/1/"&amp;'Monthly Capacity Value'!DN$6),'Capacity Prices'!$I:$I)*'Monthly Capacity Value'!DN$17,2)</f>
        <v>106.31</v>
      </c>
      <c r="DO25" s="7">
        <f>ROUND(SUMIF('Capacity Prices'!$H:$H,"="&amp;DATEVALUE('Monthly Capacity Value'!DO$5&amp;"/1/"&amp;'Monthly Capacity Value'!DO$6),'Capacity Prices'!$I:$I)*'Monthly Capacity Value'!DO$17,2)</f>
        <v>106.31</v>
      </c>
      <c r="DP25" s="7">
        <f>ROUND(SUMIF('Capacity Prices'!$H:$H,"="&amp;DATEVALUE('Monthly Capacity Value'!DP$5&amp;"/1/"&amp;'Monthly Capacity Value'!DP$6),'Capacity Prices'!$I:$I)*'Monthly Capacity Value'!DP$17,2)</f>
        <v>106.31</v>
      </c>
      <c r="DQ25" s="7">
        <f>ROUND(SUMIF('Capacity Prices'!$H:$H,"="&amp;DATEVALUE('Monthly Capacity Value'!DQ$5&amp;"/1/"&amp;'Monthly Capacity Value'!DQ$6),'Capacity Prices'!$I:$I)*'Monthly Capacity Value'!DQ$17,2)</f>
        <v>106.31</v>
      </c>
      <c r="DR25" s="7">
        <f>ROUND(SUMIF('Capacity Prices'!$H:$H,"="&amp;DATEVALUE('Monthly Capacity Value'!DR$5&amp;"/1/"&amp;'Monthly Capacity Value'!DR$6),'Capacity Prices'!$I:$I)*'Monthly Capacity Value'!DR$17,2)</f>
        <v>106.31</v>
      </c>
      <c r="DS25" s="7">
        <f>ROUND(SUMIF('Capacity Prices'!$H:$H,"="&amp;DATEVALUE('Monthly Capacity Value'!DS$5&amp;"/1/"&amp;'Monthly Capacity Value'!DS$6),'Capacity Prices'!$I:$I)*'Monthly Capacity Value'!DS$17,2)</f>
        <v>106.31</v>
      </c>
      <c r="DT25" s="7">
        <f>ROUND(SUMIF('Capacity Prices'!$H:$H,"="&amp;DATEVALUE('Monthly Capacity Value'!DT$5&amp;"/1/"&amp;'Monthly Capacity Value'!DT$6),'Capacity Prices'!$I:$I)*'Monthly Capacity Value'!DT$17,2)</f>
        <v>99.95</v>
      </c>
      <c r="DU25" s="7">
        <f>ROUND(SUMIF('Capacity Prices'!$H:$H,"="&amp;DATEVALUE('Monthly Capacity Value'!DU$5&amp;"/1/"&amp;'Monthly Capacity Value'!DU$6),'Capacity Prices'!$I:$I)*'Monthly Capacity Value'!DU$17,2)</f>
        <v>99.95</v>
      </c>
      <c r="DV25" s="7">
        <f>ROUND(SUMIF('Capacity Prices'!$H:$H,"="&amp;DATEVALUE('Monthly Capacity Value'!DV$5&amp;"/1/"&amp;'Monthly Capacity Value'!DV$6),'Capacity Prices'!$I:$I)*'Monthly Capacity Value'!DV$17,2)</f>
        <v>99.95</v>
      </c>
      <c r="DW25" s="7">
        <f>ROUND(SUMIF('Capacity Prices'!$H:$H,"="&amp;DATEVALUE('Monthly Capacity Value'!DW$5&amp;"/1/"&amp;'Monthly Capacity Value'!DW$6),'Capacity Prices'!$I:$I)*'Monthly Capacity Value'!DW$17,2)</f>
        <v>99.95</v>
      </c>
      <c r="DX25" s="7">
        <f>ROUND(SUMIF('Capacity Prices'!$H:$H,"="&amp;DATEVALUE('Monthly Capacity Value'!DX$5&amp;"/1/"&amp;'Monthly Capacity Value'!DX$6),'Capacity Prices'!$I:$I)*'Monthly Capacity Value'!DX$17,2)</f>
        <v>101.95</v>
      </c>
      <c r="DY25" s="7">
        <f>ROUND(SUMIF('Capacity Prices'!$H:$H,"="&amp;DATEVALUE('Monthly Capacity Value'!DY$5&amp;"/1/"&amp;'Monthly Capacity Value'!DY$6),'Capacity Prices'!$I:$I)*'Monthly Capacity Value'!DY$17,2)</f>
        <v>101.95</v>
      </c>
      <c r="DZ25" s="7">
        <f>ROUND(SUMIF('Capacity Prices'!$H:$H,"="&amp;DATEVALUE('Monthly Capacity Value'!DZ$5&amp;"/1/"&amp;'Monthly Capacity Value'!DZ$6),'Capacity Prices'!$I:$I)*'Monthly Capacity Value'!DZ$17,2)</f>
        <v>101.95</v>
      </c>
      <c r="EA25" s="7">
        <f>ROUND(SUMIF('Capacity Prices'!$H:$H,"="&amp;DATEVALUE('Monthly Capacity Value'!EA$5&amp;"/1/"&amp;'Monthly Capacity Value'!EA$6),'Capacity Prices'!$I:$I)*'Monthly Capacity Value'!EA$17,2)</f>
        <v>101.95</v>
      </c>
      <c r="EB25" s="7">
        <f>ROUND(SUMIF('Capacity Prices'!$H:$H,"="&amp;DATEVALUE('Monthly Capacity Value'!EB$5&amp;"/1/"&amp;'Monthly Capacity Value'!EB$6),'Capacity Prices'!$I:$I)*'Monthly Capacity Value'!EB$17,2)</f>
        <v>101.95</v>
      </c>
      <c r="EC25" s="7">
        <f>ROUND(SUMIF('Capacity Prices'!$H:$H,"="&amp;DATEVALUE('Monthly Capacity Value'!EC$5&amp;"/1/"&amp;'Monthly Capacity Value'!EC$6),'Capacity Prices'!$I:$I)*'Monthly Capacity Value'!EC$17,2)</f>
        <v>101.95</v>
      </c>
      <c r="ED25" s="7">
        <f>ROUND(SUMIF('Capacity Prices'!$H:$H,"="&amp;DATEVALUE('Monthly Capacity Value'!ED$5&amp;"/1/"&amp;'Monthly Capacity Value'!ED$6),'Capacity Prices'!$I:$I)*'Monthly Capacity Value'!ED$17,2)</f>
        <v>101.95</v>
      </c>
      <c r="EE25" s="7">
        <f>ROUND(SUMIF('Capacity Prices'!$H:$H,"="&amp;DATEVALUE('Monthly Capacity Value'!EE$5&amp;"/1/"&amp;'Monthly Capacity Value'!EE$6),'Capacity Prices'!$I:$I)*'Monthly Capacity Value'!EE$17,2)</f>
        <v>101.95</v>
      </c>
      <c r="EF25" s="7">
        <f>ROUND(SUMIF('Capacity Prices'!$H:$H,"="&amp;DATEVALUE('Monthly Capacity Value'!EF$5&amp;"/1/"&amp;'Monthly Capacity Value'!EF$6),'Capacity Prices'!$I:$I)*'Monthly Capacity Value'!EF$17,2)</f>
        <v>88.53</v>
      </c>
      <c r="EG25" s="7">
        <f>ROUND(SUMIF('Capacity Prices'!$H:$H,"="&amp;DATEVALUE('Monthly Capacity Value'!EG$5&amp;"/1/"&amp;'Monthly Capacity Value'!EG$6),'Capacity Prices'!$I:$I)*'Monthly Capacity Value'!EG$17,2)</f>
        <v>88.53</v>
      </c>
      <c r="EH25" s="7">
        <f>ROUND(SUMIF('Capacity Prices'!$H:$H,"="&amp;DATEVALUE('Monthly Capacity Value'!EH$5&amp;"/1/"&amp;'Monthly Capacity Value'!EH$6),'Capacity Prices'!$I:$I)*'Monthly Capacity Value'!EH$17,2)</f>
        <v>88.53</v>
      </c>
      <c r="EI25" s="7">
        <f>ROUND(SUMIF('Capacity Prices'!$H:$H,"="&amp;DATEVALUE('Monthly Capacity Value'!EI$5&amp;"/1/"&amp;'Monthly Capacity Value'!EI$6),'Capacity Prices'!$I:$I)*'Monthly Capacity Value'!EI$17,2)</f>
        <v>88.53</v>
      </c>
      <c r="EJ25" s="7">
        <f>ROUND(SUMIF('Capacity Prices'!$H:$H,"="&amp;DATEVALUE('Monthly Capacity Value'!EJ$5&amp;"/1/"&amp;'Monthly Capacity Value'!EJ$6),'Capacity Prices'!$I:$I)*'Monthly Capacity Value'!EJ$17,2)</f>
        <v>90.3</v>
      </c>
      <c r="EK25" s="7">
        <f>ROUND(SUMIF('Capacity Prices'!$H:$H,"="&amp;DATEVALUE('Monthly Capacity Value'!EK$5&amp;"/1/"&amp;'Monthly Capacity Value'!EK$6),'Capacity Prices'!$I:$I)*'Monthly Capacity Value'!EK$17,2)</f>
        <v>90.3</v>
      </c>
      <c r="EL25" s="7">
        <f>ROUND(SUMIF('Capacity Prices'!$H:$H,"="&amp;DATEVALUE('Monthly Capacity Value'!EL$5&amp;"/1/"&amp;'Monthly Capacity Value'!EL$6),'Capacity Prices'!$I:$I)*'Monthly Capacity Value'!EL$17,2)</f>
        <v>90.3</v>
      </c>
      <c r="EM25" s="7">
        <f>ROUND(SUMIF('Capacity Prices'!$H:$H,"="&amp;DATEVALUE('Monthly Capacity Value'!EM$5&amp;"/1/"&amp;'Monthly Capacity Value'!EM$6),'Capacity Prices'!$I:$I)*'Monthly Capacity Value'!EM$17,2)</f>
        <v>90.3</v>
      </c>
      <c r="EN25" s="7">
        <f>ROUND(SUMIF('Capacity Prices'!$H:$H,"="&amp;DATEVALUE('Monthly Capacity Value'!EN$5&amp;"/1/"&amp;'Monthly Capacity Value'!EN$6),'Capacity Prices'!$I:$I)*'Monthly Capacity Value'!EN$17,2)</f>
        <v>90.3</v>
      </c>
      <c r="EO25" s="7">
        <f>ROUND(SUMIF('Capacity Prices'!$H:$H,"="&amp;DATEVALUE('Monthly Capacity Value'!EO$5&amp;"/1/"&amp;'Monthly Capacity Value'!EO$6),'Capacity Prices'!$I:$I)*'Monthly Capacity Value'!EO$17,2)</f>
        <v>90.3</v>
      </c>
      <c r="EP25" s="7">
        <f>ROUND(SUMIF('Capacity Prices'!$H:$H,"="&amp;DATEVALUE('Monthly Capacity Value'!EP$5&amp;"/1/"&amp;'Monthly Capacity Value'!EP$6),'Capacity Prices'!$I:$I)*'Monthly Capacity Value'!EP$17,2)</f>
        <v>90.3</v>
      </c>
      <c r="EQ25" s="7">
        <f>ROUND(SUMIF('Capacity Prices'!$H:$H,"="&amp;DATEVALUE('Monthly Capacity Value'!EQ$5&amp;"/1/"&amp;'Monthly Capacity Value'!EQ$6),'Capacity Prices'!$I:$I)*'Monthly Capacity Value'!EQ$17,2)</f>
        <v>90.3</v>
      </c>
      <c r="ER25" s="7">
        <f>ROUND(SUMIF('Capacity Prices'!$H:$H,"="&amp;DATEVALUE('Monthly Capacity Value'!ER$5&amp;"/1/"&amp;'Monthly Capacity Value'!ER$6),'Capacity Prices'!$I:$I)*'Monthly Capacity Value'!ER$17,2)</f>
        <v>71.150000000000006</v>
      </c>
      <c r="ES25" s="7">
        <f>ROUND(SUMIF('Capacity Prices'!$H:$H,"="&amp;DATEVALUE('Monthly Capacity Value'!ES$5&amp;"/1/"&amp;'Monthly Capacity Value'!ES$6),'Capacity Prices'!$I:$I)*'Monthly Capacity Value'!ES$17,2)</f>
        <v>71.150000000000006</v>
      </c>
      <c r="ET25" s="7">
        <f>ROUND(SUMIF('Capacity Prices'!$H:$H,"="&amp;DATEVALUE('Monthly Capacity Value'!ET$5&amp;"/1/"&amp;'Monthly Capacity Value'!ET$6),'Capacity Prices'!$I:$I)*'Monthly Capacity Value'!ET$17,2)</f>
        <v>71.150000000000006</v>
      </c>
      <c r="EU25" s="7">
        <f>ROUND(SUMIF('Capacity Prices'!$H:$H,"="&amp;DATEVALUE('Monthly Capacity Value'!EU$5&amp;"/1/"&amp;'Monthly Capacity Value'!EU$6),'Capacity Prices'!$I:$I)*'Monthly Capacity Value'!EU$17,2)</f>
        <v>71.150000000000006</v>
      </c>
      <c r="EV25" s="7">
        <f>ROUND(SUMIF('Capacity Prices'!$H:$H,"="&amp;DATEVALUE('Monthly Capacity Value'!EV$5&amp;"/1/"&amp;'Monthly Capacity Value'!EV$6),'Capacity Prices'!$I:$I)*'Monthly Capacity Value'!EV$17,2)</f>
        <v>72.569999999999993</v>
      </c>
      <c r="EW25" s="7">
        <f>ROUND(SUMIF('Capacity Prices'!$H:$H,"="&amp;DATEVALUE('Monthly Capacity Value'!EW$5&amp;"/1/"&amp;'Monthly Capacity Value'!EW$6),'Capacity Prices'!$I:$I)*'Monthly Capacity Value'!EW$17,2)</f>
        <v>72.569999999999993</v>
      </c>
      <c r="EX25" s="7">
        <f>ROUND(SUMIF('Capacity Prices'!$H:$H,"="&amp;DATEVALUE('Monthly Capacity Value'!EX$5&amp;"/1/"&amp;'Monthly Capacity Value'!EX$6),'Capacity Prices'!$I:$I)*'Monthly Capacity Value'!EX$17,2)</f>
        <v>72.569999999999993</v>
      </c>
      <c r="EY25" s="7">
        <f>ROUND(SUMIF('Capacity Prices'!$H:$H,"="&amp;DATEVALUE('Monthly Capacity Value'!EY$5&amp;"/1/"&amp;'Monthly Capacity Value'!EY$6),'Capacity Prices'!$I:$I)*'Monthly Capacity Value'!EY$17,2)</f>
        <v>72.569999999999993</v>
      </c>
      <c r="EZ25" s="7">
        <f>ROUND(SUMIF('Capacity Prices'!$H:$H,"="&amp;DATEVALUE('Monthly Capacity Value'!EZ$5&amp;"/1/"&amp;'Monthly Capacity Value'!EZ$6),'Capacity Prices'!$I:$I)*'Monthly Capacity Value'!EZ$17,2)</f>
        <v>72.569999999999993</v>
      </c>
      <c r="FA25" s="7">
        <f>ROUND(SUMIF('Capacity Prices'!$H:$H,"="&amp;DATEVALUE('Monthly Capacity Value'!FA$5&amp;"/1/"&amp;'Monthly Capacity Value'!FA$6),'Capacity Prices'!$I:$I)*'Monthly Capacity Value'!FA$17,2)</f>
        <v>72.569999999999993</v>
      </c>
      <c r="FB25" s="7">
        <f>ROUND(SUMIF('Capacity Prices'!$H:$H,"="&amp;DATEVALUE('Monthly Capacity Value'!FB$5&amp;"/1/"&amp;'Monthly Capacity Value'!FB$6),'Capacity Prices'!$I:$I)*'Monthly Capacity Value'!FB$17,2)</f>
        <v>72.569999999999993</v>
      </c>
      <c r="FC25" s="7">
        <f>ROUND(SUMIF('Capacity Prices'!$H:$H,"="&amp;DATEVALUE('Monthly Capacity Value'!FC$5&amp;"/1/"&amp;'Monthly Capacity Value'!FC$6),'Capacity Prices'!$I:$I)*'Monthly Capacity Value'!FC$17,2)</f>
        <v>72.569999999999993</v>
      </c>
      <c r="FD25" s="7">
        <f>ROUND(SUMIF('Capacity Prices'!$H:$H,"="&amp;DATEVALUE('Monthly Capacity Value'!FD$5&amp;"/1/"&amp;'Monthly Capacity Value'!FD$6),'Capacity Prices'!$I:$I)*'Monthly Capacity Value'!FD$17,2)</f>
        <v>46.96</v>
      </c>
      <c r="FE25" s="7">
        <f>ROUND(SUMIF('Capacity Prices'!$H:$H,"="&amp;DATEVALUE('Monthly Capacity Value'!FE$5&amp;"/1/"&amp;'Monthly Capacity Value'!FE$6),'Capacity Prices'!$I:$I)*'Monthly Capacity Value'!FE$17,2)</f>
        <v>46.96</v>
      </c>
      <c r="FF25" s="7">
        <f>ROUND(SUMIF('Capacity Prices'!$H:$H,"="&amp;DATEVALUE('Monthly Capacity Value'!FF$5&amp;"/1/"&amp;'Monthly Capacity Value'!FF$6),'Capacity Prices'!$I:$I)*'Monthly Capacity Value'!FF$17,2)</f>
        <v>46.96</v>
      </c>
      <c r="FG25" s="7">
        <f>ROUND(SUMIF('Capacity Prices'!$H:$H,"="&amp;DATEVALUE('Monthly Capacity Value'!FG$5&amp;"/1/"&amp;'Monthly Capacity Value'!FG$6),'Capacity Prices'!$I:$I)*'Monthly Capacity Value'!FG$17,2)</f>
        <v>46.96</v>
      </c>
      <c r="FH25" s="7">
        <f>ROUND(SUMIF('Capacity Prices'!$H:$H,"="&amp;DATEVALUE('Monthly Capacity Value'!FH$5&amp;"/1/"&amp;'Monthly Capacity Value'!FH$6),'Capacity Prices'!$I:$I)*'Monthly Capacity Value'!FH$17,2)</f>
        <v>47.9</v>
      </c>
      <c r="FI25" s="7">
        <f>ROUND(SUMIF('Capacity Prices'!$H:$H,"="&amp;DATEVALUE('Monthly Capacity Value'!FI$5&amp;"/1/"&amp;'Monthly Capacity Value'!FI$6),'Capacity Prices'!$I:$I)*'Monthly Capacity Value'!FI$17,2)</f>
        <v>47.9</v>
      </c>
      <c r="FJ25" s="7">
        <f>ROUND(SUMIF('Capacity Prices'!$H:$H,"="&amp;DATEVALUE('Monthly Capacity Value'!FJ$5&amp;"/1/"&amp;'Monthly Capacity Value'!FJ$6),'Capacity Prices'!$I:$I)*'Monthly Capacity Value'!FJ$17,2)</f>
        <v>47.9</v>
      </c>
      <c r="FK25" s="7">
        <f>ROUND(SUMIF('Capacity Prices'!$H:$H,"="&amp;DATEVALUE('Monthly Capacity Value'!FK$5&amp;"/1/"&amp;'Monthly Capacity Value'!FK$6),'Capacity Prices'!$I:$I)*'Monthly Capacity Value'!FK$17,2)</f>
        <v>47.9</v>
      </c>
      <c r="FL25" s="7">
        <f>ROUND(SUMIF('Capacity Prices'!$H:$H,"="&amp;DATEVALUE('Monthly Capacity Value'!FL$5&amp;"/1/"&amp;'Monthly Capacity Value'!FL$6),'Capacity Prices'!$I:$I)*'Monthly Capacity Value'!FL$17,2)</f>
        <v>47.9</v>
      </c>
      <c r="FM25" s="7">
        <f>ROUND(SUMIF('Capacity Prices'!$H:$H,"="&amp;DATEVALUE('Monthly Capacity Value'!FM$5&amp;"/1/"&amp;'Monthly Capacity Value'!FM$6),'Capacity Prices'!$I:$I)*'Monthly Capacity Value'!FM$17,2)</f>
        <v>47.9</v>
      </c>
      <c r="FN25" s="7">
        <f>ROUND(SUMIF('Capacity Prices'!$H:$H,"="&amp;DATEVALUE('Monthly Capacity Value'!FN$5&amp;"/1/"&amp;'Monthly Capacity Value'!FN$6),'Capacity Prices'!$I:$I)*'Monthly Capacity Value'!FN$17,2)</f>
        <v>47.9</v>
      </c>
      <c r="FO25" s="7">
        <f>ROUND(SUMIF('Capacity Prices'!$H:$H,"="&amp;DATEVALUE('Monthly Capacity Value'!FO$5&amp;"/1/"&amp;'Monthly Capacity Value'!FO$6),'Capacity Prices'!$I:$I)*'Monthly Capacity Value'!FO$17,2)</f>
        <v>47.9</v>
      </c>
      <c r="FP25" s="7">
        <f>ROUND(SUMIF('Capacity Prices'!$H:$H,"="&amp;DATEVALUE('Monthly Capacity Value'!FP$5&amp;"/1/"&amp;'Monthly Capacity Value'!FP$6),'Capacity Prices'!$I:$I)*'Monthly Capacity Value'!FP$17,2)</f>
        <v>16.73</v>
      </c>
      <c r="FQ25" s="7">
        <f>ROUND(SUMIF('Capacity Prices'!$H:$H,"="&amp;DATEVALUE('Monthly Capacity Value'!FQ$5&amp;"/1/"&amp;'Monthly Capacity Value'!FQ$6),'Capacity Prices'!$I:$I)*'Monthly Capacity Value'!FQ$17,2)</f>
        <v>16.73</v>
      </c>
      <c r="FR25" s="7">
        <f>ROUND(SUMIF('Capacity Prices'!$H:$H,"="&amp;DATEVALUE('Monthly Capacity Value'!FR$5&amp;"/1/"&amp;'Monthly Capacity Value'!FR$6),'Capacity Prices'!$I:$I)*'Monthly Capacity Value'!FR$17,2)</f>
        <v>16.73</v>
      </c>
      <c r="FS25" s="7">
        <f>ROUND(SUMIF('Capacity Prices'!$H:$H,"="&amp;DATEVALUE('Monthly Capacity Value'!FS$5&amp;"/1/"&amp;'Monthly Capacity Value'!FS$6),'Capacity Prices'!$I:$I)*'Monthly Capacity Value'!FS$17,2)</f>
        <v>16.73</v>
      </c>
      <c r="FT25" s="7">
        <f>ROUND(SUMIF('Capacity Prices'!$H:$H,"="&amp;DATEVALUE('Monthly Capacity Value'!FT$5&amp;"/1/"&amp;'Monthly Capacity Value'!FT$6),'Capacity Prices'!$I:$I)*'Monthly Capacity Value'!FT$17,2)</f>
        <v>17.07</v>
      </c>
      <c r="FU25" s="7">
        <f>ROUND(SUMIF('Capacity Prices'!$H:$H,"="&amp;DATEVALUE('Monthly Capacity Value'!FU$5&amp;"/1/"&amp;'Monthly Capacity Value'!FU$6),'Capacity Prices'!$I:$I)*'Monthly Capacity Value'!FU$17,2)</f>
        <v>17.07</v>
      </c>
      <c r="FV25" s="7">
        <f>ROUND(SUMIF('Capacity Prices'!$H:$H,"="&amp;DATEVALUE('Monthly Capacity Value'!FV$5&amp;"/1/"&amp;'Monthly Capacity Value'!FV$6),'Capacity Prices'!$I:$I)*'Monthly Capacity Value'!FV$17,2)</f>
        <v>17.07</v>
      </c>
      <c r="FW25" s="7">
        <f>ROUND(SUMIF('Capacity Prices'!$H:$H,"="&amp;DATEVALUE('Monthly Capacity Value'!FW$5&amp;"/1/"&amp;'Monthly Capacity Value'!FW$6),'Capacity Prices'!$I:$I)*'Monthly Capacity Value'!FW$17,2)</f>
        <v>17.07</v>
      </c>
      <c r="FX25" s="7">
        <f>ROUND(SUMIF('Capacity Prices'!$H:$H,"="&amp;DATEVALUE('Monthly Capacity Value'!FX$5&amp;"/1/"&amp;'Monthly Capacity Value'!FX$6),'Capacity Prices'!$I:$I)*'Monthly Capacity Value'!FX$17,2)</f>
        <v>17.07</v>
      </c>
      <c r="FY25" s="7">
        <f>ROUND(SUMIF('Capacity Prices'!$H:$H,"="&amp;DATEVALUE('Monthly Capacity Value'!FY$5&amp;"/1/"&amp;'Monthly Capacity Value'!FY$6),'Capacity Prices'!$I:$I)*'Monthly Capacity Value'!FY$17,2)</f>
        <v>17.07</v>
      </c>
      <c r="FZ25" s="7">
        <f>ROUND(SUMIF('Capacity Prices'!$H:$H,"="&amp;DATEVALUE('Monthly Capacity Value'!FZ$5&amp;"/1/"&amp;'Monthly Capacity Value'!FZ$6),'Capacity Prices'!$I:$I)*'Monthly Capacity Value'!FZ$17,2)</f>
        <v>17.07</v>
      </c>
      <c r="GA25" s="7">
        <v>0</v>
      </c>
      <c r="GB25" s="7">
        <v>0</v>
      </c>
      <c r="GC25" s="7">
        <v>0</v>
      </c>
      <c r="GD25" s="7">
        <v>0</v>
      </c>
      <c r="GE25" s="7">
        <v>0</v>
      </c>
      <c r="GF25" s="7">
        <v>0</v>
      </c>
      <c r="GG25" s="7">
        <v>0</v>
      </c>
      <c r="GH25" s="7">
        <v>0</v>
      </c>
      <c r="GI25" s="7">
        <v>0</v>
      </c>
      <c r="GJ25" s="7">
        <v>0</v>
      </c>
      <c r="GK25" s="7">
        <v>0</v>
      </c>
      <c r="GL25" s="7">
        <v>0</v>
      </c>
      <c r="GN25">
        <f t="shared" si="136"/>
        <v>8</v>
      </c>
      <c r="GO25">
        <f t="shared" si="137"/>
        <v>2034</v>
      </c>
      <c r="GP25" s="1">
        <f t="shared" si="138"/>
        <v>49461</v>
      </c>
      <c r="GQ25" s="1">
        <f t="shared" si="139"/>
        <v>49826</v>
      </c>
      <c r="GR25">
        <f t="shared" si="212"/>
        <v>7.4249999999999998</v>
      </c>
    </row>
    <row r="26" spans="1:200" ht="15.75" thickBot="1">
      <c r="A26" t="s">
        <v>64</v>
      </c>
      <c r="C26" s="19">
        <f>SUM(C23:C25)</f>
        <v>11.85</v>
      </c>
      <c r="D26" s="19">
        <f t="shared" ref="D26:BO26" si="213">SUM(D23:D25)</f>
        <v>98.600000000000009</v>
      </c>
      <c r="E26" s="19">
        <f t="shared" si="213"/>
        <v>95.460000000000008</v>
      </c>
      <c r="F26" s="19">
        <f t="shared" si="213"/>
        <v>90.160000000000011</v>
      </c>
      <c r="G26" s="19">
        <f t="shared" si="213"/>
        <v>93.240000000000009</v>
      </c>
      <c r="H26" s="19">
        <f t="shared" si="213"/>
        <v>93.85</v>
      </c>
      <c r="I26" s="19">
        <f t="shared" si="213"/>
        <v>94.77</v>
      </c>
      <c r="J26" s="19">
        <f t="shared" si="213"/>
        <v>96.56</v>
      </c>
      <c r="K26" s="19">
        <f t="shared" si="213"/>
        <v>98.33</v>
      </c>
      <c r="L26" s="19">
        <f t="shared" si="213"/>
        <v>93.05</v>
      </c>
      <c r="M26" s="19">
        <f t="shared" si="213"/>
        <v>93.72</v>
      </c>
      <c r="N26" s="19">
        <f t="shared" si="213"/>
        <v>96.47999999999999</v>
      </c>
      <c r="O26" s="19">
        <f t="shared" si="213"/>
        <v>99.07</v>
      </c>
      <c r="P26" s="19">
        <f t="shared" si="213"/>
        <v>103.17999999999999</v>
      </c>
      <c r="Q26" s="19">
        <f t="shared" si="213"/>
        <v>100.41</v>
      </c>
      <c r="R26" s="19">
        <f t="shared" si="213"/>
        <v>95.14</v>
      </c>
      <c r="S26" s="19">
        <f t="shared" si="213"/>
        <v>98.17</v>
      </c>
      <c r="T26" s="19">
        <f t="shared" si="213"/>
        <v>126.5</v>
      </c>
      <c r="U26" s="19">
        <f t="shared" si="213"/>
        <v>127.5</v>
      </c>
      <c r="V26" s="19">
        <f t="shared" si="213"/>
        <v>129.21</v>
      </c>
      <c r="W26" s="19">
        <f t="shared" si="213"/>
        <v>130.82999999999998</v>
      </c>
      <c r="X26" s="19">
        <f t="shared" si="213"/>
        <v>125.77</v>
      </c>
      <c r="Y26" s="19">
        <f t="shared" si="213"/>
        <v>126.6</v>
      </c>
      <c r="Z26" s="19">
        <f t="shared" si="213"/>
        <v>129.22</v>
      </c>
      <c r="AA26" s="19">
        <f t="shared" si="213"/>
        <v>130.97</v>
      </c>
      <c r="AB26" s="19">
        <f t="shared" si="213"/>
        <v>133.76</v>
      </c>
      <c r="AC26" s="19">
        <f t="shared" si="213"/>
        <v>132.19</v>
      </c>
      <c r="AD26" s="19">
        <f t="shared" si="213"/>
        <v>126.85</v>
      </c>
      <c r="AE26" s="19">
        <f t="shared" si="213"/>
        <v>129.84</v>
      </c>
      <c r="AF26" s="19">
        <f t="shared" si="213"/>
        <v>126.22</v>
      </c>
      <c r="AG26" s="19">
        <f t="shared" si="213"/>
        <v>126.91</v>
      </c>
      <c r="AH26" s="19">
        <f t="shared" si="213"/>
        <v>128.5</v>
      </c>
      <c r="AI26" s="19">
        <f t="shared" si="213"/>
        <v>130.38999999999999</v>
      </c>
      <c r="AJ26" s="19">
        <f t="shared" si="213"/>
        <v>125.52000000000001</v>
      </c>
      <c r="AK26" s="19">
        <f t="shared" si="213"/>
        <v>126.11000000000001</v>
      </c>
      <c r="AL26" s="19">
        <f t="shared" si="213"/>
        <v>127.69</v>
      </c>
      <c r="AM26" s="19">
        <f t="shared" si="213"/>
        <v>130.05000000000001</v>
      </c>
      <c r="AN26" s="19">
        <f t="shared" si="213"/>
        <v>133.5</v>
      </c>
      <c r="AO26" s="19">
        <f t="shared" si="213"/>
        <v>132.84</v>
      </c>
      <c r="AP26" s="19">
        <f t="shared" si="213"/>
        <v>127.25</v>
      </c>
      <c r="AQ26" s="19">
        <f t="shared" si="213"/>
        <v>130.22</v>
      </c>
      <c r="AR26" s="19">
        <f t="shared" si="213"/>
        <v>127.9</v>
      </c>
      <c r="AS26" s="19">
        <f t="shared" si="213"/>
        <v>128.53</v>
      </c>
      <c r="AT26" s="19">
        <f t="shared" si="213"/>
        <v>130.07</v>
      </c>
      <c r="AU26" s="19">
        <f t="shared" si="213"/>
        <v>131.9</v>
      </c>
      <c r="AV26" s="19">
        <f t="shared" si="213"/>
        <v>127.28</v>
      </c>
      <c r="AW26" s="19">
        <f t="shared" si="213"/>
        <v>127.97</v>
      </c>
      <c r="AX26" s="19">
        <f t="shared" si="213"/>
        <v>129.16</v>
      </c>
      <c r="AY26" s="19">
        <f t="shared" si="213"/>
        <v>131.35000000000002</v>
      </c>
      <c r="AZ26" s="19">
        <f t="shared" si="213"/>
        <v>134.59</v>
      </c>
      <c r="BA26" s="19">
        <f t="shared" si="213"/>
        <v>134.78</v>
      </c>
      <c r="BB26" s="19">
        <f t="shared" si="213"/>
        <v>129.32</v>
      </c>
      <c r="BC26" s="19">
        <f t="shared" si="213"/>
        <v>132.71</v>
      </c>
      <c r="BD26" s="19">
        <f t="shared" si="213"/>
        <v>134.79</v>
      </c>
      <c r="BE26" s="19">
        <f t="shared" si="213"/>
        <v>135.38</v>
      </c>
      <c r="BF26" s="19">
        <f t="shared" si="213"/>
        <v>136.99</v>
      </c>
      <c r="BG26" s="19">
        <f t="shared" si="213"/>
        <v>138.87</v>
      </c>
      <c r="BH26" s="19">
        <f t="shared" si="213"/>
        <v>134.04</v>
      </c>
      <c r="BI26" s="19">
        <f t="shared" si="213"/>
        <v>134.53</v>
      </c>
      <c r="BJ26" s="19">
        <f t="shared" si="213"/>
        <v>135.34</v>
      </c>
      <c r="BK26" s="19">
        <f t="shared" si="213"/>
        <v>146.1</v>
      </c>
      <c r="BL26" s="19">
        <f t="shared" si="213"/>
        <v>146.82999999999998</v>
      </c>
      <c r="BM26" s="19">
        <f t="shared" si="213"/>
        <v>144.07999999999998</v>
      </c>
      <c r="BN26" s="19">
        <f t="shared" si="213"/>
        <v>136.56</v>
      </c>
      <c r="BO26" s="19">
        <f t="shared" si="213"/>
        <v>142.55000000000001</v>
      </c>
      <c r="BP26" s="19">
        <f t="shared" ref="BP26:EA26" si="214">SUM(BP23:BP25)</f>
        <v>139.97</v>
      </c>
      <c r="BQ26" s="19">
        <f t="shared" si="214"/>
        <v>140.38</v>
      </c>
      <c r="BR26" s="19">
        <f t="shared" si="214"/>
        <v>142.27000000000001</v>
      </c>
      <c r="BS26" s="19">
        <f t="shared" si="214"/>
        <v>143.9</v>
      </c>
      <c r="BT26" s="19">
        <f t="shared" si="214"/>
        <v>139.25</v>
      </c>
      <c r="BU26" s="19">
        <f t="shared" si="214"/>
        <v>140.41</v>
      </c>
      <c r="BV26" s="19">
        <f t="shared" si="214"/>
        <v>142.82</v>
      </c>
      <c r="BW26" s="19">
        <f t="shared" si="214"/>
        <v>148.68</v>
      </c>
      <c r="BX26" s="19">
        <f t="shared" si="214"/>
        <v>148.39999999999998</v>
      </c>
      <c r="BY26" s="19">
        <f t="shared" si="214"/>
        <v>145.74</v>
      </c>
      <c r="BZ26" s="19">
        <f t="shared" si="214"/>
        <v>138.32</v>
      </c>
      <c r="CA26" s="19">
        <f t="shared" si="214"/>
        <v>144.97999999999999</v>
      </c>
      <c r="CB26" s="19">
        <f t="shared" si="214"/>
        <v>145.63999999999999</v>
      </c>
      <c r="CC26" s="19">
        <f t="shared" si="214"/>
        <v>145.96</v>
      </c>
      <c r="CD26" s="19">
        <f t="shared" si="214"/>
        <v>147.94</v>
      </c>
      <c r="CE26" s="19">
        <f t="shared" si="214"/>
        <v>149.62</v>
      </c>
      <c r="CF26" s="19">
        <f t="shared" si="214"/>
        <v>144.71</v>
      </c>
      <c r="CG26" s="19">
        <f t="shared" si="214"/>
        <v>145.78</v>
      </c>
      <c r="CH26" s="19">
        <f t="shared" si="214"/>
        <v>147.97</v>
      </c>
      <c r="CI26" s="19">
        <f t="shared" si="214"/>
        <v>153.79</v>
      </c>
      <c r="CJ26" s="19">
        <f t="shared" si="214"/>
        <v>154.54</v>
      </c>
      <c r="CK26" s="19">
        <f t="shared" si="214"/>
        <v>151.97</v>
      </c>
      <c r="CL26" s="19">
        <f t="shared" si="214"/>
        <v>144.63999999999999</v>
      </c>
      <c r="CM26" s="19">
        <f t="shared" si="214"/>
        <v>151.91</v>
      </c>
      <c r="CN26" s="19">
        <f t="shared" si="214"/>
        <v>149.96</v>
      </c>
      <c r="CO26" s="19">
        <f t="shared" si="214"/>
        <v>150.23000000000002</v>
      </c>
      <c r="CP26" s="19">
        <f t="shared" si="214"/>
        <v>152.31</v>
      </c>
      <c r="CQ26" s="19">
        <f t="shared" si="214"/>
        <v>154.02000000000001</v>
      </c>
      <c r="CR26" s="19">
        <f t="shared" si="214"/>
        <v>148.87</v>
      </c>
      <c r="CS26" s="19">
        <f t="shared" si="214"/>
        <v>149.85</v>
      </c>
      <c r="CT26" s="19">
        <f t="shared" si="214"/>
        <v>151.85</v>
      </c>
      <c r="CU26" s="19">
        <f t="shared" si="214"/>
        <v>157.63</v>
      </c>
      <c r="CV26" s="19">
        <f t="shared" si="214"/>
        <v>157.32</v>
      </c>
      <c r="CW26" s="19">
        <f t="shared" si="214"/>
        <v>154.84</v>
      </c>
      <c r="CX26" s="19">
        <f t="shared" si="214"/>
        <v>147.52000000000001</v>
      </c>
      <c r="CY26" s="19">
        <f t="shared" si="214"/>
        <v>155.28</v>
      </c>
      <c r="CZ26" s="19">
        <f t="shared" si="214"/>
        <v>153.23000000000002</v>
      </c>
      <c r="DA26" s="19">
        <f t="shared" si="214"/>
        <v>153.49</v>
      </c>
      <c r="DB26" s="19">
        <f t="shared" si="214"/>
        <v>155.73000000000002</v>
      </c>
      <c r="DC26" s="19">
        <f t="shared" si="214"/>
        <v>157.53</v>
      </c>
      <c r="DD26" s="19">
        <f t="shared" si="214"/>
        <v>152.18</v>
      </c>
      <c r="DE26" s="19">
        <f t="shared" si="214"/>
        <v>153.06</v>
      </c>
      <c r="DF26" s="19">
        <f t="shared" si="214"/>
        <v>154.85000000000002</v>
      </c>
      <c r="DG26" s="19">
        <f t="shared" si="214"/>
        <v>160.60000000000002</v>
      </c>
      <c r="DH26" s="19">
        <f t="shared" si="214"/>
        <v>161.38</v>
      </c>
      <c r="DI26" s="19">
        <f t="shared" si="214"/>
        <v>159.03</v>
      </c>
      <c r="DJ26" s="19">
        <f t="shared" si="214"/>
        <v>151.68</v>
      </c>
      <c r="DK26" s="19">
        <f t="shared" si="214"/>
        <v>160.09</v>
      </c>
      <c r="DL26" s="19">
        <f t="shared" si="214"/>
        <v>159.36000000000001</v>
      </c>
      <c r="DM26" s="19">
        <f t="shared" si="214"/>
        <v>159.55000000000001</v>
      </c>
      <c r="DN26" s="19">
        <f t="shared" si="214"/>
        <v>161.9</v>
      </c>
      <c r="DO26" s="19">
        <f t="shared" si="214"/>
        <v>163.71</v>
      </c>
      <c r="DP26" s="19">
        <f t="shared" si="214"/>
        <v>158.13999999999999</v>
      </c>
      <c r="DQ26" s="19">
        <f t="shared" si="214"/>
        <v>158.93</v>
      </c>
      <c r="DR26" s="19">
        <f t="shared" si="214"/>
        <v>160.52000000000001</v>
      </c>
      <c r="DS26" s="19">
        <f t="shared" si="214"/>
        <v>147.96</v>
      </c>
      <c r="DT26" s="19">
        <f t="shared" si="214"/>
        <v>141.6</v>
      </c>
      <c r="DU26" s="19">
        <f t="shared" si="214"/>
        <v>141.6</v>
      </c>
      <c r="DV26" s="19">
        <f t="shared" si="214"/>
        <v>141.6</v>
      </c>
      <c r="DW26" s="19">
        <f t="shared" si="214"/>
        <v>141.6</v>
      </c>
      <c r="DX26" s="19">
        <f t="shared" si="214"/>
        <v>146.93</v>
      </c>
      <c r="DY26" s="19">
        <f t="shared" si="214"/>
        <v>146.93</v>
      </c>
      <c r="DZ26" s="19">
        <f t="shared" si="214"/>
        <v>146.93</v>
      </c>
      <c r="EA26" s="19">
        <f t="shared" si="214"/>
        <v>146.93</v>
      </c>
      <c r="EB26" s="19">
        <f t="shared" ref="EB26:EI26" si="215">SUM(EB23:EB25)</f>
        <v>146.93</v>
      </c>
      <c r="EC26" s="19">
        <f t="shared" si="215"/>
        <v>146.93</v>
      </c>
      <c r="ED26" s="19">
        <f t="shared" si="215"/>
        <v>146.93</v>
      </c>
      <c r="EE26" s="19">
        <f t="shared" si="215"/>
        <v>146.93</v>
      </c>
      <c r="EF26" s="19">
        <f t="shared" si="215"/>
        <v>133.51</v>
      </c>
      <c r="EG26" s="19">
        <f t="shared" si="215"/>
        <v>133.51</v>
      </c>
      <c r="EH26" s="19">
        <f t="shared" si="215"/>
        <v>133.51</v>
      </c>
      <c r="EI26" s="19">
        <f t="shared" si="215"/>
        <v>133.51</v>
      </c>
      <c r="EJ26" s="19">
        <f t="shared" ref="EJ26:FZ26" si="216">SUM(EJ23:EJ25)</f>
        <v>134.1</v>
      </c>
      <c r="EK26" s="19">
        <f t="shared" si="216"/>
        <v>134.1</v>
      </c>
      <c r="EL26" s="19">
        <f t="shared" si="216"/>
        <v>134.1</v>
      </c>
      <c r="EM26" s="19">
        <f t="shared" si="216"/>
        <v>134.1</v>
      </c>
      <c r="EN26" s="19">
        <f t="shared" si="216"/>
        <v>134.1</v>
      </c>
      <c r="EO26" s="19">
        <f t="shared" si="216"/>
        <v>134.1</v>
      </c>
      <c r="EP26" s="19">
        <f t="shared" si="216"/>
        <v>134.1</v>
      </c>
      <c r="EQ26" s="19">
        <f t="shared" si="216"/>
        <v>134.1</v>
      </c>
      <c r="ER26" s="19">
        <f t="shared" si="216"/>
        <v>114.95</v>
      </c>
      <c r="ES26" s="19">
        <f t="shared" si="216"/>
        <v>114.95</v>
      </c>
      <c r="ET26" s="19">
        <f t="shared" si="216"/>
        <v>114.95</v>
      </c>
      <c r="EU26" s="19">
        <f t="shared" si="216"/>
        <v>114.95</v>
      </c>
      <c r="EV26" s="19">
        <f t="shared" si="216"/>
        <v>111.56</v>
      </c>
      <c r="EW26" s="19">
        <f t="shared" si="216"/>
        <v>111.56</v>
      </c>
      <c r="EX26" s="19">
        <f t="shared" si="216"/>
        <v>111.56</v>
      </c>
      <c r="EY26" s="19">
        <f t="shared" si="216"/>
        <v>111.56</v>
      </c>
      <c r="EZ26" s="19">
        <f t="shared" si="216"/>
        <v>111.56</v>
      </c>
      <c r="FA26" s="19">
        <f t="shared" si="216"/>
        <v>111.56</v>
      </c>
      <c r="FB26" s="19">
        <f t="shared" si="216"/>
        <v>111.56</v>
      </c>
      <c r="FC26" s="19">
        <f t="shared" si="216"/>
        <v>111.56</v>
      </c>
      <c r="FD26" s="19">
        <f t="shared" si="216"/>
        <v>85.95</v>
      </c>
      <c r="FE26" s="19">
        <f t="shared" si="216"/>
        <v>85.95</v>
      </c>
      <c r="FF26" s="19">
        <f t="shared" si="216"/>
        <v>85.95</v>
      </c>
      <c r="FG26" s="19">
        <f t="shared" si="216"/>
        <v>85.95</v>
      </c>
      <c r="FH26" s="19">
        <f t="shared" si="216"/>
        <v>47.9</v>
      </c>
      <c r="FI26" s="19">
        <f t="shared" si="216"/>
        <v>47.9</v>
      </c>
      <c r="FJ26" s="19">
        <f t="shared" si="216"/>
        <v>47.9</v>
      </c>
      <c r="FK26" s="19">
        <f t="shared" si="216"/>
        <v>47.9</v>
      </c>
      <c r="FL26" s="19">
        <f t="shared" si="216"/>
        <v>47.9</v>
      </c>
      <c r="FM26" s="19">
        <f t="shared" si="216"/>
        <v>47.9</v>
      </c>
      <c r="FN26" s="19">
        <f t="shared" si="216"/>
        <v>47.9</v>
      </c>
      <c r="FO26" s="19">
        <f t="shared" si="216"/>
        <v>47.9</v>
      </c>
      <c r="FP26" s="19">
        <f t="shared" si="216"/>
        <v>16.73</v>
      </c>
      <c r="FQ26" s="19">
        <f t="shared" si="216"/>
        <v>16.73</v>
      </c>
      <c r="FR26" s="19">
        <f t="shared" si="216"/>
        <v>16.73</v>
      </c>
      <c r="FS26" s="19">
        <f t="shared" si="216"/>
        <v>16.73</v>
      </c>
      <c r="FT26" s="19">
        <f t="shared" si="216"/>
        <v>17.07</v>
      </c>
      <c r="FU26" s="19">
        <f t="shared" si="216"/>
        <v>17.07</v>
      </c>
      <c r="FV26" s="19">
        <f t="shared" si="216"/>
        <v>17.07</v>
      </c>
      <c r="FW26" s="19">
        <f t="shared" si="216"/>
        <v>17.07</v>
      </c>
      <c r="FX26" s="19">
        <f t="shared" si="216"/>
        <v>17.07</v>
      </c>
      <c r="FY26" s="19">
        <f t="shared" si="216"/>
        <v>17.07</v>
      </c>
      <c r="FZ26" s="19">
        <f t="shared" si="216"/>
        <v>17.07</v>
      </c>
      <c r="GA26" s="19">
        <f t="shared" ref="GA26:GK26" si="217">SUM(GA23:GA25)</f>
        <v>0</v>
      </c>
      <c r="GB26" s="19">
        <f t="shared" si="217"/>
        <v>0</v>
      </c>
      <c r="GC26" s="19">
        <f t="shared" si="217"/>
        <v>0</v>
      </c>
      <c r="GD26" s="19">
        <f t="shared" si="217"/>
        <v>0</v>
      </c>
      <c r="GE26" s="19">
        <f t="shared" si="217"/>
        <v>0</v>
      </c>
      <c r="GF26" s="19">
        <f>SUM(GF23:GF25)</f>
        <v>0</v>
      </c>
      <c r="GG26" s="19">
        <f t="shared" si="217"/>
        <v>0</v>
      </c>
      <c r="GH26" s="19">
        <f t="shared" si="217"/>
        <v>0</v>
      </c>
      <c r="GI26" s="19">
        <f t="shared" si="217"/>
        <v>0</v>
      </c>
      <c r="GJ26" s="19">
        <f t="shared" si="217"/>
        <v>0</v>
      </c>
      <c r="GK26" s="19">
        <f t="shared" si="217"/>
        <v>0</v>
      </c>
      <c r="GL26" s="19">
        <f t="shared" ref="GL26" si="218">SUM(GL23:GL25)</f>
        <v>0</v>
      </c>
    </row>
    <row r="27" spans="1:200" ht="15.75" thickTop="1"/>
    <row r="28" spans="1:200">
      <c r="A28" s="4" t="s">
        <v>2</v>
      </c>
      <c r="B28" s="4" t="s">
        <v>68</v>
      </c>
      <c r="C28" s="4">
        <v>1</v>
      </c>
      <c r="D28" s="4">
        <f>C28+1</f>
        <v>2</v>
      </c>
      <c r="E28" s="4">
        <f t="shared" ref="E28:N28" si="219">D28+1</f>
        <v>3</v>
      </c>
      <c r="F28" s="4">
        <f t="shared" si="219"/>
        <v>4</v>
      </c>
      <c r="G28" s="4">
        <f t="shared" si="219"/>
        <v>5</v>
      </c>
      <c r="H28" s="4">
        <f t="shared" si="219"/>
        <v>6</v>
      </c>
      <c r="I28" s="4">
        <f t="shared" si="219"/>
        <v>7</v>
      </c>
      <c r="J28" s="4">
        <f t="shared" si="219"/>
        <v>8</v>
      </c>
      <c r="K28" s="4">
        <f t="shared" si="219"/>
        <v>9</v>
      </c>
      <c r="L28" s="4">
        <f t="shared" si="219"/>
        <v>10</v>
      </c>
      <c r="M28" s="4">
        <f t="shared" si="219"/>
        <v>11</v>
      </c>
      <c r="N28" s="4">
        <f t="shared" si="219"/>
        <v>12</v>
      </c>
      <c r="O28" s="4">
        <f t="shared" ref="O28" si="220">N28+1</f>
        <v>13</v>
      </c>
      <c r="P28" s="4">
        <f t="shared" ref="P28" si="221">O28+1</f>
        <v>14</v>
      </c>
      <c r="Q28" s="4">
        <f t="shared" ref="Q28" si="222">P28+1</f>
        <v>15</v>
      </c>
      <c r="R28" s="4">
        <v>16</v>
      </c>
    </row>
    <row r="29" spans="1:200">
      <c r="A29" s="5" t="s">
        <v>61</v>
      </c>
    </row>
    <row r="30" spans="1:200">
      <c r="A30" s="58" t="s">
        <v>62</v>
      </c>
      <c r="B30" s="59">
        <f>NPV('Rev Req''t'!G16,C30:R30)</f>
        <v>1904.5141387568833</v>
      </c>
      <c r="C30" s="59">
        <f>SUMIF($4:$4,C$28,23:23)*2</f>
        <v>229.44</v>
      </c>
      <c r="D30" s="59">
        <f t="shared" ref="D30:R30" si="223">SUMIF($4:$4,D$28,23:23)*2</f>
        <v>226.58000000000004</v>
      </c>
      <c r="E30" s="59">
        <f t="shared" si="223"/>
        <v>216.26000000000002</v>
      </c>
      <c r="F30" s="59">
        <f t="shared" si="223"/>
        <v>207.83999999999997</v>
      </c>
      <c r="G30" s="59">
        <f t="shared" si="223"/>
        <v>209.70000000000002</v>
      </c>
      <c r="H30" s="59">
        <f t="shared" si="223"/>
        <v>294.77999999999997</v>
      </c>
      <c r="I30" s="59">
        <f t="shared" si="223"/>
        <v>304.78000000000003</v>
      </c>
      <c r="J30" s="59">
        <f t="shared" si="223"/>
        <v>314.02000000000004</v>
      </c>
      <c r="K30" s="59">
        <f t="shared" si="223"/>
        <v>323.32</v>
      </c>
      <c r="L30" s="59">
        <f t="shared" si="223"/>
        <v>333.94</v>
      </c>
      <c r="M30" s="59">
        <f t="shared" si="223"/>
        <v>0</v>
      </c>
      <c r="N30" s="59">
        <f t="shared" si="223"/>
        <v>0</v>
      </c>
      <c r="O30" s="59">
        <f t="shared" si="223"/>
        <v>0</v>
      </c>
      <c r="P30" s="59">
        <f t="shared" si="223"/>
        <v>0</v>
      </c>
      <c r="Q30" s="59">
        <f t="shared" si="223"/>
        <v>0</v>
      </c>
      <c r="R30" s="59">
        <f t="shared" si="223"/>
        <v>0</v>
      </c>
      <c r="S30" s="14"/>
    </row>
    <row r="31" spans="1:200">
      <c r="A31" t="s">
        <v>63</v>
      </c>
      <c r="B31" s="14">
        <f>NPV('Rev Req''t'!G16,C31:R31)</f>
        <v>3098.0160336900408</v>
      </c>
      <c r="C31" s="14">
        <f t="shared" ref="C31:R31" si="224">SUMIF($4:$4,C$28,24:24)</f>
        <v>0</v>
      </c>
      <c r="D31" s="14">
        <f t="shared" si="224"/>
        <v>186.2</v>
      </c>
      <c r="E31" s="14">
        <f t="shared" si="224"/>
        <v>311.36</v>
      </c>
      <c r="F31" s="14">
        <f t="shared" si="224"/>
        <v>305.76</v>
      </c>
      <c r="G31" s="14">
        <f t="shared" si="224"/>
        <v>337.89</v>
      </c>
      <c r="H31" s="14">
        <f t="shared" si="224"/>
        <v>364.40999999999991</v>
      </c>
      <c r="I31" s="14">
        <f t="shared" si="224"/>
        <v>395.51999999999987</v>
      </c>
      <c r="J31" s="14">
        <f t="shared" si="224"/>
        <v>428.02999999999992</v>
      </c>
      <c r="K31" s="14">
        <f t="shared" si="224"/>
        <v>449.4199999999999</v>
      </c>
      <c r="L31" s="14">
        <f t="shared" si="224"/>
        <v>482.59999999999991</v>
      </c>
      <c r="M31" s="14">
        <f t="shared" si="224"/>
        <v>523.11</v>
      </c>
      <c r="N31" s="14">
        <f t="shared" si="224"/>
        <v>531.5</v>
      </c>
      <c r="O31" s="14">
        <f t="shared" si="224"/>
        <v>491.93000000000006</v>
      </c>
      <c r="P31" s="14">
        <f t="shared" si="224"/>
        <v>194.95000000000002</v>
      </c>
      <c r="Q31" s="14">
        <f t="shared" si="224"/>
        <v>0</v>
      </c>
      <c r="R31" s="14">
        <f t="shared" si="224"/>
        <v>0</v>
      </c>
    </row>
    <row r="32" spans="1:200">
      <c r="A32" t="s">
        <v>17</v>
      </c>
      <c r="B32" s="14">
        <f>NPV('Rev Req''t'!G16,C32:R32)</f>
        <v>10389.748587167842</v>
      </c>
      <c r="C32" s="14">
        <f t="shared" ref="C32:R32" si="225">SUMIF($4:$4,C$28,25:25)</f>
        <v>941.3499999999998</v>
      </c>
      <c r="D32" s="14">
        <f t="shared" si="225"/>
        <v>1092.1100000000001</v>
      </c>
      <c r="E32" s="14">
        <f t="shared" si="225"/>
        <v>1125.46</v>
      </c>
      <c r="F32" s="14">
        <f t="shared" si="225"/>
        <v>1146.9899999999998</v>
      </c>
      <c r="G32" s="14">
        <f t="shared" si="225"/>
        <v>1169.9499999999998</v>
      </c>
      <c r="H32" s="14">
        <f t="shared" si="225"/>
        <v>1193.32</v>
      </c>
      <c r="I32" s="14">
        <f t="shared" si="225"/>
        <v>1205.8300000000002</v>
      </c>
      <c r="J32" s="14">
        <f t="shared" si="225"/>
        <v>1228.9000000000001</v>
      </c>
      <c r="K32" s="14">
        <f t="shared" si="225"/>
        <v>1241.5800000000002</v>
      </c>
      <c r="L32" s="14">
        <f t="shared" si="225"/>
        <v>1265.3199999999997</v>
      </c>
      <c r="M32" s="14">
        <f t="shared" si="225"/>
        <v>1219.7600000000002</v>
      </c>
      <c r="N32" s="14">
        <f t="shared" si="225"/>
        <v>1088.1699999999996</v>
      </c>
      <c r="O32" s="14">
        <f t="shared" si="225"/>
        <v>882.88999999999965</v>
      </c>
      <c r="P32" s="14">
        <f t="shared" si="225"/>
        <v>595.70999999999992</v>
      </c>
      <c r="Q32" s="14">
        <f t="shared" si="225"/>
        <v>234.30999999999997</v>
      </c>
      <c r="R32" s="14">
        <f t="shared" si="225"/>
        <v>0</v>
      </c>
    </row>
    <row r="33" spans="1:18" ht="15.75" thickBot="1">
      <c r="A33" t="s">
        <v>67</v>
      </c>
      <c r="B33" s="20">
        <f>SUM(B30:B32)</f>
        <v>15392.278759614766</v>
      </c>
      <c r="C33" s="20">
        <f>SUM(C30:C32)</f>
        <v>1170.7899999999997</v>
      </c>
      <c r="D33" s="20">
        <f t="shared" ref="D33:N33" si="226">SUM(D30:D32)</f>
        <v>1504.89</v>
      </c>
      <c r="E33" s="20">
        <f t="shared" si="226"/>
        <v>1653.08</v>
      </c>
      <c r="F33" s="20">
        <f t="shared" si="226"/>
        <v>1660.5899999999997</v>
      </c>
      <c r="G33" s="20">
        <f t="shared" si="226"/>
        <v>1717.54</v>
      </c>
      <c r="H33" s="20">
        <f t="shared" si="226"/>
        <v>1852.5099999999998</v>
      </c>
      <c r="I33" s="20">
        <f t="shared" si="226"/>
        <v>1906.13</v>
      </c>
      <c r="J33" s="20">
        <f t="shared" si="226"/>
        <v>1970.95</v>
      </c>
      <c r="K33" s="20">
        <f t="shared" si="226"/>
        <v>2014.3200000000002</v>
      </c>
      <c r="L33" s="20">
        <f t="shared" si="226"/>
        <v>2081.8599999999997</v>
      </c>
      <c r="M33" s="20">
        <f t="shared" si="226"/>
        <v>1742.8700000000003</v>
      </c>
      <c r="N33" s="20">
        <f t="shared" si="226"/>
        <v>1619.6699999999996</v>
      </c>
      <c r="O33" s="20">
        <f t="shared" ref="O33:R33" si="227">SUM(O30:O32)</f>
        <v>1374.8199999999997</v>
      </c>
      <c r="P33" s="20">
        <f t="shared" si="227"/>
        <v>790.66</v>
      </c>
      <c r="Q33" s="20">
        <f t="shared" si="227"/>
        <v>234.30999999999997</v>
      </c>
      <c r="R33" s="20">
        <f t="shared" si="227"/>
        <v>0</v>
      </c>
    </row>
    <row r="34" spans="1:18" ht="15.75" thickTop="1"/>
    <row r="35" spans="1:18">
      <c r="A35" t="s">
        <v>92</v>
      </c>
    </row>
    <row r="36" spans="1:18">
      <c r="A36" t="s">
        <v>93</v>
      </c>
    </row>
    <row r="37" spans="1:18">
      <c r="A37" t="s">
        <v>78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R111"/>
  <sheetViews>
    <sheetView zoomScaleNormal="100" workbookViewId="0"/>
  </sheetViews>
  <sheetFormatPr defaultColWidth="8.7109375" defaultRowHeight="12.75"/>
  <cols>
    <col min="1" max="1" width="3" style="65" customWidth="1"/>
    <col min="2" max="2" width="52.140625" style="65" bestFit="1" customWidth="1"/>
    <col min="3" max="3" width="8.42578125" style="65" customWidth="1"/>
    <col min="4" max="4" width="6.42578125" style="65" bestFit="1" customWidth="1"/>
    <col min="5" max="5" width="12.7109375" style="65" bestFit="1" customWidth="1"/>
    <col min="6" max="6" width="16" style="65" customWidth="1"/>
    <col min="7" max="7" width="18" style="65" customWidth="1"/>
    <col min="8" max="8" width="20.28515625" style="65" bestFit="1" customWidth="1"/>
    <col min="9" max="9" width="16.7109375" style="65" customWidth="1"/>
    <col min="10" max="16" width="13.140625" style="65" bestFit="1" customWidth="1"/>
    <col min="17" max="17" width="10.140625" style="65" bestFit="1" customWidth="1"/>
    <col min="18" max="18" width="13.7109375" style="65" bestFit="1" customWidth="1"/>
    <col min="19" max="16384" width="8.7109375" style="65"/>
  </cols>
  <sheetData>
    <row r="1" spans="2:16">
      <c r="I1" s="66"/>
      <c r="J1" s="66"/>
      <c r="K1" s="66"/>
    </row>
    <row r="2" spans="2:16">
      <c r="I2" s="66"/>
      <c r="J2" s="67"/>
      <c r="K2" s="68"/>
    </row>
    <row r="3" spans="2:16">
      <c r="I3" s="66"/>
      <c r="J3" s="67"/>
      <c r="K3" s="68"/>
      <c r="L3" s="66"/>
      <c r="M3" s="66"/>
      <c r="N3" s="66"/>
      <c r="O3" s="66"/>
      <c r="P3" s="66"/>
    </row>
    <row r="4" spans="2:16">
      <c r="B4" s="36" t="s">
        <v>94</v>
      </c>
      <c r="C4" s="37"/>
      <c r="I4" s="66"/>
      <c r="J4" s="67"/>
      <c r="K4" s="68"/>
      <c r="L4" s="66"/>
      <c r="M4" s="66"/>
      <c r="N4" s="66"/>
      <c r="O4" s="66"/>
      <c r="P4" s="66"/>
    </row>
    <row r="5" spans="2:16">
      <c r="B5" s="38" t="s">
        <v>95</v>
      </c>
      <c r="C5" s="39">
        <v>0.21</v>
      </c>
      <c r="I5" s="66"/>
      <c r="J5" s="67"/>
      <c r="K5" s="68"/>
      <c r="L5" s="66"/>
      <c r="M5" s="66"/>
      <c r="N5" s="66"/>
      <c r="O5" s="66"/>
      <c r="P5" s="66"/>
    </row>
    <row r="6" spans="2:16">
      <c r="B6" s="38" t="s">
        <v>96</v>
      </c>
      <c r="C6" s="40">
        <v>8.5000000000000006E-2</v>
      </c>
      <c r="I6" s="66"/>
      <c r="J6" s="67"/>
      <c r="K6" s="68"/>
      <c r="L6" s="66"/>
      <c r="M6" s="66"/>
      <c r="N6" s="66"/>
      <c r="O6" s="66"/>
      <c r="P6" s="66"/>
    </row>
    <row r="7" spans="2:16">
      <c r="B7" s="38" t="s">
        <v>97</v>
      </c>
      <c r="C7" s="41">
        <f>C6+(C5*(1-C6))</f>
        <v>0.27715000000000001</v>
      </c>
      <c r="I7" s="66"/>
      <c r="J7" s="66"/>
      <c r="K7" s="66"/>
      <c r="L7" s="66"/>
      <c r="M7" s="66"/>
      <c r="N7" s="66"/>
      <c r="O7" s="66"/>
      <c r="P7" s="66"/>
    </row>
    <row r="8" spans="2:16">
      <c r="I8" s="66"/>
      <c r="J8" s="69"/>
      <c r="K8" s="66"/>
      <c r="L8" s="66"/>
      <c r="M8" s="66"/>
      <c r="N8" s="66"/>
      <c r="O8" s="66"/>
      <c r="P8" s="66"/>
    </row>
    <row r="9" spans="2:16">
      <c r="B9" s="42" t="s">
        <v>98</v>
      </c>
      <c r="C9" s="43"/>
      <c r="D9" s="38"/>
      <c r="E9" s="38"/>
      <c r="F9" s="38"/>
      <c r="G9" s="38"/>
      <c r="I9" s="70"/>
      <c r="J9" s="69"/>
      <c r="K9" s="66"/>
      <c r="L9" s="66"/>
      <c r="M9" s="66"/>
      <c r="N9" s="66"/>
      <c r="O9" s="66"/>
      <c r="P9" s="66"/>
    </row>
    <row r="10" spans="2:16">
      <c r="B10" s="38"/>
      <c r="C10" s="164"/>
      <c r="D10" s="164"/>
      <c r="E10" s="164" t="s">
        <v>99</v>
      </c>
      <c r="F10" s="164" t="s">
        <v>99</v>
      </c>
      <c r="G10" s="164" t="s">
        <v>99</v>
      </c>
      <c r="I10" s="66"/>
      <c r="J10" s="69"/>
      <c r="K10" s="66"/>
      <c r="L10" s="66"/>
      <c r="M10" s="66"/>
      <c r="N10" s="66"/>
      <c r="O10" s="66"/>
      <c r="P10" s="66"/>
    </row>
    <row r="11" spans="2:16">
      <c r="B11" s="38"/>
      <c r="C11" s="165" t="s">
        <v>100</v>
      </c>
      <c r="D11" s="165" t="s">
        <v>101</v>
      </c>
      <c r="E11" s="165" t="s">
        <v>102</v>
      </c>
      <c r="F11" s="165" t="s">
        <v>103</v>
      </c>
      <c r="G11" s="165" t="s">
        <v>104</v>
      </c>
      <c r="I11" s="66"/>
      <c r="J11" s="69"/>
      <c r="K11" s="66"/>
      <c r="L11" s="66"/>
      <c r="M11" s="66"/>
      <c r="N11" s="66"/>
      <c r="O11" s="66"/>
      <c r="P11" s="66"/>
    </row>
    <row r="12" spans="2:16">
      <c r="B12" s="44"/>
      <c r="C12" s="166"/>
      <c r="D12" s="166"/>
      <c r="E12" s="166"/>
      <c r="F12" s="166"/>
      <c r="G12" s="166"/>
      <c r="I12" s="66"/>
      <c r="J12" s="69"/>
      <c r="K12" s="66"/>
      <c r="L12" s="66"/>
      <c r="M12" s="66"/>
      <c r="N12" s="66"/>
      <c r="O12" s="66"/>
      <c r="P12" s="66"/>
    </row>
    <row r="13" spans="2:16" ht="15">
      <c r="B13" s="38" t="s">
        <v>105</v>
      </c>
      <c r="C13" s="167">
        <v>0.50419999999999998</v>
      </c>
      <c r="D13" s="167">
        <v>8.5731762295081962E-2</v>
      </c>
      <c r="E13" s="168">
        <f>(C13*D13)/(1-C7)</f>
        <v>5.9799342255212454E-2</v>
      </c>
      <c r="F13" s="168">
        <f>C13*D13</f>
        <v>4.3225954549180323E-2</v>
      </c>
      <c r="G13" s="169">
        <f>F13</f>
        <v>4.3225954549180323E-2</v>
      </c>
      <c r="I13" s="66"/>
      <c r="J13" s="69"/>
      <c r="K13" s="66"/>
      <c r="L13" s="66"/>
      <c r="M13" s="66"/>
      <c r="N13" s="66"/>
      <c r="O13" s="66"/>
      <c r="P13" s="66"/>
    </row>
    <row r="14" spans="2:16">
      <c r="B14" s="38" t="s">
        <v>106</v>
      </c>
      <c r="C14" s="167">
        <v>0</v>
      </c>
      <c r="D14" s="167">
        <v>0</v>
      </c>
      <c r="E14" s="170">
        <v>0</v>
      </c>
      <c r="F14" s="170">
        <v>0</v>
      </c>
      <c r="G14" s="170">
        <v>0</v>
      </c>
      <c r="I14" s="66"/>
      <c r="J14" s="69"/>
      <c r="K14" s="66"/>
      <c r="L14" s="66"/>
      <c r="M14" s="66"/>
      <c r="N14" s="66"/>
      <c r="O14" s="66"/>
      <c r="P14" s="66"/>
    </row>
    <row r="15" spans="2:16" ht="15">
      <c r="B15" s="38" t="s">
        <v>107</v>
      </c>
      <c r="C15" s="167">
        <v>0.49580000000000002</v>
      </c>
      <c r="D15" s="167">
        <v>4.7333355685460154E-2</v>
      </c>
      <c r="E15" s="171">
        <f>C15*D15</f>
        <v>2.3467877748851146E-2</v>
      </c>
      <c r="F15" s="171">
        <f>C15*D15</f>
        <v>2.3467877748851146E-2</v>
      </c>
      <c r="G15" s="172">
        <f>F15*(1-C7)</f>
        <v>1.6963755430757052E-2</v>
      </c>
      <c r="I15" s="66"/>
      <c r="J15" s="69"/>
      <c r="K15" s="66"/>
      <c r="L15" s="66"/>
      <c r="M15" s="66"/>
      <c r="N15" s="66"/>
      <c r="O15" s="66"/>
      <c r="P15" s="66"/>
    </row>
    <row r="16" spans="2:16">
      <c r="B16" s="38"/>
      <c r="C16" s="38"/>
      <c r="D16" s="38"/>
      <c r="E16" s="43">
        <f>SUM(E13:E15)</f>
        <v>8.32672200040636E-2</v>
      </c>
      <c r="F16" s="43">
        <f>SUM(F13:F15)</f>
        <v>6.6693832298031469E-2</v>
      </c>
      <c r="G16" s="45">
        <f>SUM(G13:G15)</f>
        <v>6.0189709979937375E-2</v>
      </c>
      <c r="I16" s="66"/>
      <c r="J16" s="69"/>
      <c r="K16" s="66"/>
      <c r="L16" s="66"/>
      <c r="M16" s="66"/>
      <c r="N16" s="66"/>
      <c r="O16" s="66"/>
      <c r="P16" s="66"/>
    </row>
    <row r="17" spans="2:17">
      <c r="G17" s="71"/>
      <c r="I17" s="66"/>
      <c r="J17" s="69"/>
      <c r="K17" s="66"/>
      <c r="L17" s="66"/>
      <c r="M17" s="66"/>
      <c r="N17" s="66"/>
      <c r="O17" s="66"/>
      <c r="P17" s="66"/>
    </row>
    <row r="19" spans="2:17">
      <c r="B19" s="72"/>
      <c r="C19" s="72"/>
      <c r="D19" s="72"/>
      <c r="E19" s="72"/>
      <c r="F19" s="72"/>
      <c r="G19" s="72">
        <v>1</v>
      </c>
      <c r="H19" s="72">
        <f t="shared" ref="H19:P19" si="0">G19+1</f>
        <v>2</v>
      </c>
      <c r="I19" s="72">
        <f t="shared" si="0"/>
        <v>3</v>
      </c>
      <c r="J19" s="72">
        <f t="shared" si="0"/>
        <v>4</v>
      </c>
      <c r="K19" s="72">
        <f t="shared" si="0"/>
        <v>5</v>
      </c>
      <c r="L19" s="72">
        <f t="shared" si="0"/>
        <v>6</v>
      </c>
      <c r="M19" s="72">
        <f t="shared" si="0"/>
        <v>7</v>
      </c>
      <c r="N19" s="72">
        <f t="shared" si="0"/>
        <v>8</v>
      </c>
      <c r="O19" s="72">
        <f t="shared" si="0"/>
        <v>9</v>
      </c>
      <c r="P19" s="72">
        <f t="shared" si="0"/>
        <v>10</v>
      </c>
      <c r="Q19" s="73"/>
    </row>
    <row r="20" spans="2:17">
      <c r="B20" s="74" t="s">
        <v>108</v>
      </c>
      <c r="C20" s="75"/>
      <c r="D20" s="75"/>
      <c r="E20" s="75"/>
      <c r="F20" s="76">
        <v>16300</v>
      </c>
      <c r="Q20" s="73"/>
    </row>
    <row r="21" spans="2:17">
      <c r="B21" s="74" t="s">
        <v>109</v>
      </c>
      <c r="C21" s="46">
        <v>0.06</v>
      </c>
      <c r="D21" s="75"/>
      <c r="E21" s="75"/>
      <c r="F21" s="77">
        <f>F20*C21*0</f>
        <v>0</v>
      </c>
      <c r="Q21" s="73"/>
    </row>
    <row r="22" spans="2:17">
      <c r="B22" s="74" t="s">
        <v>110</v>
      </c>
      <c r="C22" s="46">
        <v>7.5700000000000003E-2</v>
      </c>
      <c r="D22" s="75"/>
      <c r="E22" s="75"/>
      <c r="F22" s="78">
        <f>F20*C22</f>
        <v>1233.9100000000001</v>
      </c>
      <c r="G22" s="79"/>
      <c r="Q22" s="73"/>
    </row>
    <row r="23" spans="2:17">
      <c r="B23" s="65" t="s">
        <v>111</v>
      </c>
      <c r="C23" s="75"/>
      <c r="D23" s="75"/>
      <c r="E23" s="75"/>
      <c r="F23" s="80">
        <f>F22+F20</f>
        <v>17533.91</v>
      </c>
      <c r="G23" s="79"/>
      <c r="Q23" s="73"/>
    </row>
    <row r="24" spans="2:17">
      <c r="G24" s="81"/>
      <c r="H24" s="81"/>
      <c r="I24" s="81"/>
      <c r="J24" s="81"/>
      <c r="K24" s="82"/>
      <c r="L24" s="82"/>
      <c r="M24" s="82"/>
      <c r="N24" s="82"/>
      <c r="O24" s="82"/>
      <c r="P24" s="82"/>
      <c r="Q24" s="83"/>
    </row>
    <row r="25" spans="2:17">
      <c r="B25" s="74" t="s">
        <v>112</v>
      </c>
      <c r="C25" s="84"/>
      <c r="D25" s="74"/>
      <c r="G25" s="85">
        <f t="shared" ref="G25:P25" si="1">$F23/10</f>
        <v>1753.3910000000001</v>
      </c>
      <c r="H25" s="85">
        <f t="shared" si="1"/>
        <v>1753.3910000000001</v>
      </c>
      <c r="I25" s="85">
        <f t="shared" si="1"/>
        <v>1753.3910000000001</v>
      </c>
      <c r="J25" s="85">
        <f t="shared" si="1"/>
        <v>1753.3910000000001</v>
      </c>
      <c r="K25" s="85">
        <f t="shared" si="1"/>
        <v>1753.3910000000001</v>
      </c>
      <c r="L25" s="85">
        <f t="shared" si="1"/>
        <v>1753.3910000000001</v>
      </c>
      <c r="M25" s="85">
        <f t="shared" si="1"/>
        <v>1753.3910000000001</v>
      </c>
      <c r="N25" s="85">
        <f t="shared" si="1"/>
        <v>1753.3910000000001</v>
      </c>
      <c r="O25" s="85">
        <f t="shared" si="1"/>
        <v>1753.3910000000001</v>
      </c>
      <c r="P25" s="85">
        <f t="shared" si="1"/>
        <v>1753.3910000000001</v>
      </c>
      <c r="Q25" s="86"/>
    </row>
    <row r="26" spans="2:17">
      <c r="B26" s="65" t="s">
        <v>113</v>
      </c>
      <c r="C26" s="87"/>
      <c r="F26" s="81"/>
      <c r="G26" s="81">
        <f>F23</f>
        <v>17533.91</v>
      </c>
      <c r="H26" s="81">
        <f>G27</f>
        <v>15780.519</v>
      </c>
      <c r="I26" s="81">
        <f t="shared" ref="I26:P26" si="2">H27</f>
        <v>14027.128000000001</v>
      </c>
      <c r="J26" s="81">
        <f t="shared" si="2"/>
        <v>12273.737000000001</v>
      </c>
      <c r="K26" s="81">
        <f t="shared" si="2"/>
        <v>10520.346000000001</v>
      </c>
      <c r="L26" s="81">
        <f t="shared" si="2"/>
        <v>8766.9550000000017</v>
      </c>
      <c r="M26" s="81">
        <f t="shared" si="2"/>
        <v>7013.5640000000021</v>
      </c>
      <c r="N26" s="81">
        <f t="shared" si="2"/>
        <v>5260.1730000000025</v>
      </c>
      <c r="O26" s="81">
        <f t="shared" si="2"/>
        <v>3506.7820000000024</v>
      </c>
      <c r="P26" s="81">
        <f t="shared" si="2"/>
        <v>1753.3910000000024</v>
      </c>
      <c r="Q26" s="88"/>
    </row>
    <row r="27" spans="2:17">
      <c r="B27" s="65" t="s">
        <v>114</v>
      </c>
      <c r="C27" s="87"/>
      <c r="G27" s="89">
        <f>G26-G25</f>
        <v>15780.519</v>
      </c>
      <c r="H27" s="89">
        <f t="shared" ref="H27:P27" si="3">H26-H25</f>
        <v>14027.128000000001</v>
      </c>
      <c r="I27" s="89">
        <f t="shared" si="3"/>
        <v>12273.737000000001</v>
      </c>
      <c r="J27" s="89">
        <f t="shared" si="3"/>
        <v>10520.346000000001</v>
      </c>
      <c r="K27" s="89">
        <f t="shared" si="3"/>
        <v>8766.9550000000017</v>
      </c>
      <c r="L27" s="89">
        <f t="shared" si="3"/>
        <v>7013.5640000000021</v>
      </c>
      <c r="M27" s="89">
        <f t="shared" si="3"/>
        <v>5260.1730000000025</v>
      </c>
      <c r="N27" s="89">
        <f t="shared" si="3"/>
        <v>3506.7820000000024</v>
      </c>
      <c r="O27" s="89">
        <f t="shared" si="3"/>
        <v>1753.3910000000024</v>
      </c>
      <c r="P27" s="89">
        <f t="shared" si="3"/>
        <v>2.2737367544323206E-12</v>
      </c>
      <c r="Q27" s="88"/>
    </row>
    <row r="28" spans="2:17">
      <c r="B28" s="74" t="s">
        <v>115</v>
      </c>
      <c r="G28" s="90">
        <v>0.14299999999999999</v>
      </c>
      <c r="H28" s="90">
        <v>0.245</v>
      </c>
      <c r="I28" s="90">
        <v>0.17499999999999999</v>
      </c>
      <c r="J28" s="90">
        <v>0.125</v>
      </c>
      <c r="K28" s="90">
        <v>8.8999999999999996E-2</v>
      </c>
      <c r="L28" s="90">
        <v>8.8999999999999996E-2</v>
      </c>
      <c r="M28" s="90">
        <v>8.8999999999999996E-2</v>
      </c>
      <c r="N28" s="90">
        <v>4.4999999999999998E-2</v>
      </c>
      <c r="O28" s="90">
        <v>0</v>
      </c>
      <c r="P28" s="90">
        <v>0</v>
      </c>
      <c r="Q28" s="91"/>
    </row>
    <row r="29" spans="2:17">
      <c r="B29" s="65" t="s">
        <v>116</v>
      </c>
      <c r="C29" s="87"/>
      <c r="G29" s="81">
        <f>G28*$F23</f>
        <v>2507.3491299999996</v>
      </c>
      <c r="H29" s="81">
        <f t="shared" ref="H29:P29" si="4">H28*$F23</f>
        <v>4295.8079499999994</v>
      </c>
      <c r="I29" s="81">
        <f t="shared" si="4"/>
        <v>3068.4342499999998</v>
      </c>
      <c r="J29" s="81">
        <f t="shared" si="4"/>
        <v>2191.73875</v>
      </c>
      <c r="K29" s="81">
        <f t="shared" si="4"/>
        <v>1560.5179899999998</v>
      </c>
      <c r="L29" s="81">
        <f t="shared" si="4"/>
        <v>1560.5179899999998</v>
      </c>
      <c r="M29" s="81">
        <f t="shared" si="4"/>
        <v>1560.5179899999998</v>
      </c>
      <c r="N29" s="81">
        <f t="shared" si="4"/>
        <v>789.02594999999997</v>
      </c>
      <c r="O29" s="81">
        <f t="shared" si="4"/>
        <v>0</v>
      </c>
      <c r="P29" s="81">
        <f t="shared" si="4"/>
        <v>0</v>
      </c>
      <c r="Q29" s="83"/>
    </row>
    <row r="30" spans="2:17">
      <c r="B30" s="65" t="s">
        <v>117</v>
      </c>
      <c r="C30" s="92"/>
      <c r="G30" s="89">
        <f>-$C7*(G29-G25)</f>
        <v>-208.95949572949988</v>
      </c>
      <c r="H30" s="89">
        <f t="shared" ref="H30:P30" si="5">-$C7*(H29-H25)</f>
        <v>-704.63085769249983</v>
      </c>
      <c r="I30" s="89">
        <f t="shared" si="5"/>
        <v>-364.46423673749996</v>
      </c>
      <c r="J30" s="89">
        <f t="shared" si="5"/>
        <v>-121.48807891249997</v>
      </c>
      <c r="K30" s="89">
        <f t="shared" si="5"/>
        <v>53.454754721500073</v>
      </c>
      <c r="L30" s="89">
        <f t="shared" si="5"/>
        <v>53.454754721500073</v>
      </c>
      <c r="M30" s="89">
        <f t="shared" si="5"/>
        <v>53.454754721500073</v>
      </c>
      <c r="N30" s="89">
        <f t="shared" si="5"/>
        <v>267.27377360750006</v>
      </c>
      <c r="O30" s="89">
        <f t="shared" si="5"/>
        <v>485.95231565000006</v>
      </c>
      <c r="P30" s="89">
        <f t="shared" si="5"/>
        <v>485.95231565000006</v>
      </c>
      <c r="Q30" s="88"/>
    </row>
    <row r="31" spans="2:17">
      <c r="B31" s="65" t="s">
        <v>118</v>
      </c>
      <c r="C31" s="92"/>
      <c r="G31" s="89">
        <v>0</v>
      </c>
      <c r="H31" s="89">
        <f>G32</f>
        <v>-208.95949572949988</v>
      </c>
      <c r="I31" s="89">
        <f>H32</f>
        <v>-913.59035342199968</v>
      </c>
      <c r="J31" s="89">
        <f t="shared" ref="J31:P31" si="6">I32</f>
        <v>-1278.0545901594996</v>
      </c>
      <c r="K31" s="89">
        <f t="shared" si="6"/>
        <v>-1399.5426690719996</v>
      </c>
      <c r="L31" s="89">
        <f t="shared" si="6"/>
        <v>-1346.0879143504997</v>
      </c>
      <c r="M31" s="89">
        <f t="shared" si="6"/>
        <v>-1292.6331596289997</v>
      </c>
      <c r="N31" s="89">
        <f t="shared" si="6"/>
        <v>-1239.1784049074997</v>
      </c>
      <c r="O31" s="89">
        <f t="shared" si="6"/>
        <v>-971.90463129999966</v>
      </c>
      <c r="P31" s="89">
        <f t="shared" si="6"/>
        <v>-485.9523156499996</v>
      </c>
      <c r="Q31" s="88"/>
    </row>
    <row r="32" spans="2:17">
      <c r="B32" s="65" t="s">
        <v>181</v>
      </c>
      <c r="C32" s="92"/>
      <c r="G32" s="89">
        <f>G30</f>
        <v>-208.95949572949988</v>
      </c>
      <c r="H32" s="89">
        <f>H30+H31</f>
        <v>-913.59035342199968</v>
      </c>
      <c r="I32" s="89">
        <f t="shared" ref="I32:P32" si="7">I30+I31</f>
        <v>-1278.0545901594996</v>
      </c>
      <c r="J32" s="89">
        <f t="shared" si="7"/>
        <v>-1399.5426690719996</v>
      </c>
      <c r="K32" s="89">
        <f t="shared" si="7"/>
        <v>-1346.0879143504997</v>
      </c>
      <c r="L32" s="89">
        <f t="shared" si="7"/>
        <v>-1292.6331596289997</v>
      </c>
      <c r="M32" s="89">
        <f t="shared" si="7"/>
        <v>-1239.1784049074997</v>
      </c>
      <c r="N32" s="89">
        <f t="shared" si="7"/>
        <v>-971.90463129999966</v>
      </c>
      <c r="O32" s="89">
        <f t="shared" si="7"/>
        <v>-485.9523156499996</v>
      </c>
      <c r="P32" s="89">
        <f t="shared" si="7"/>
        <v>4.5474735088646412E-13</v>
      </c>
      <c r="Q32" s="88"/>
    </row>
    <row r="33" spans="2:17">
      <c r="B33" s="74" t="s">
        <v>119</v>
      </c>
      <c r="C33" s="92"/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85">
        <v>0</v>
      </c>
      <c r="M33" s="85">
        <v>0</v>
      </c>
      <c r="N33" s="85">
        <v>0</v>
      </c>
      <c r="O33" s="85">
        <v>0</v>
      </c>
      <c r="P33" s="85">
        <v>0</v>
      </c>
      <c r="Q33" s="93"/>
    </row>
    <row r="34" spans="2:17">
      <c r="B34" s="65" t="s">
        <v>120</v>
      </c>
      <c r="C34" s="92"/>
      <c r="F34" s="81"/>
      <c r="G34" s="89">
        <f>(G26+G27)/2+(G31+G32)/2</f>
        <v>16552.734752135253</v>
      </c>
      <c r="H34" s="89">
        <f t="shared" ref="H34:P34" si="8">(H26+H27)/2+(H31+H32)/2</f>
        <v>14342.548575424251</v>
      </c>
      <c r="I34" s="89">
        <f t="shared" si="8"/>
        <v>12054.610028209252</v>
      </c>
      <c r="J34" s="89">
        <f t="shared" si="8"/>
        <v>10058.242870384252</v>
      </c>
      <c r="K34" s="89">
        <f t="shared" si="8"/>
        <v>8270.8352082887523</v>
      </c>
      <c r="L34" s="89">
        <f t="shared" si="8"/>
        <v>6570.8989630102524</v>
      </c>
      <c r="M34" s="89">
        <f t="shared" si="8"/>
        <v>4870.9627177317525</v>
      </c>
      <c r="N34" s="89">
        <f t="shared" si="8"/>
        <v>3277.935981896253</v>
      </c>
      <c r="O34" s="89">
        <f t="shared" si="8"/>
        <v>1901.1580265250025</v>
      </c>
      <c r="P34" s="89">
        <f t="shared" si="8"/>
        <v>633.71934217500279</v>
      </c>
      <c r="Q34" s="88"/>
    </row>
    <row r="35" spans="2:17">
      <c r="B35" s="94" t="s">
        <v>139</v>
      </c>
      <c r="C35" s="92"/>
      <c r="G35" s="95">
        <f>$F16*G34</f>
        <v>1103.9653156327061</v>
      </c>
      <c r="H35" s="95">
        <f t="shared" ref="H35:P35" si="9">$F16*H34</f>
        <v>956.55952941571513</v>
      </c>
      <c r="I35" s="95">
        <f t="shared" si="9"/>
        <v>803.96813963955628</v>
      </c>
      <c r="J35" s="95">
        <f t="shared" si="9"/>
        <v>670.82276321027803</v>
      </c>
      <c r="K35" s="95">
        <f t="shared" si="9"/>
        <v>551.61369634626419</v>
      </c>
      <c r="L35" s="95">
        <f t="shared" si="9"/>
        <v>438.23843348631465</v>
      </c>
      <c r="M35" s="95">
        <f t="shared" si="9"/>
        <v>324.8631706263651</v>
      </c>
      <c r="N35" s="95">
        <f t="shared" si="9"/>
        <v>218.61811266027181</v>
      </c>
      <c r="O35" s="95">
        <f t="shared" si="9"/>
        <v>126.79551459311497</v>
      </c>
      <c r="P35" s="95">
        <f t="shared" si="9"/>
        <v>42.265171531038455</v>
      </c>
      <c r="Q35" s="88"/>
    </row>
    <row r="36" spans="2:17">
      <c r="B36" s="72" t="s">
        <v>121</v>
      </c>
      <c r="C36" s="96"/>
      <c r="D36" s="72"/>
      <c r="E36" s="72"/>
      <c r="F36" s="97">
        <f>G34*E16</f>
        <v>1378.3002062749554</v>
      </c>
      <c r="G36" s="98">
        <f>+G80</f>
        <v>274.49223993956394</v>
      </c>
      <c r="H36" s="98">
        <f t="shared" ref="H36:P36" si="10">+H80</f>
        <v>238.02964715930034</v>
      </c>
      <c r="I36" s="98">
        <f t="shared" si="10"/>
        <v>198.92797481253348</v>
      </c>
      <c r="J36" s="98">
        <f t="shared" si="10"/>
        <v>166.22285084015326</v>
      </c>
      <c r="K36" s="98">
        <f t="shared" si="10"/>
        <v>137.48525320275004</v>
      </c>
      <c r="L36" s="98">
        <f t="shared" si="10"/>
        <v>108.96662007766272</v>
      </c>
      <c r="M36" s="98">
        <f t="shared" si="10"/>
        <v>80.447986952575391</v>
      </c>
      <c r="N36" s="98">
        <f t="shared" si="10"/>
        <v>54.308088231429807</v>
      </c>
      <c r="O36" s="98">
        <f t="shared" si="10"/>
        <v>31.820629554620886</v>
      </c>
      <c r="P36" s="98">
        <f t="shared" si="10"/>
        <v>11.60687651820688</v>
      </c>
      <c r="Q36" s="88"/>
    </row>
    <row r="37" spans="2:17">
      <c r="B37" s="99" t="s">
        <v>122</v>
      </c>
      <c r="F37" s="79">
        <f>+-F23</f>
        <v>-17533.91</v>
      </c>
      <c r="G37" s="85">
        <f>G25+G36+G35</f>
        <v>3131.84855557227</v>
      </c>
      <c r="H37" s="85">
        <f t="shared" ref="H37:P37" si="11">H25+H36+H35</f>
        <v>2947.9801765750153</v>
      </c>
      <c r="I37" s="85">
        <f t="shared" si="11"/>
        <v>2756.2871144520896</v>
      </c>
      <c r="J37" s="85">
        <f t="shared" si="11"/>
        <v>2590.4366140504317</v>
      </c>
      <c r="K37" s="85">
        <f t="shared" si="11"/>
        <v>2442.4899495490145</v>
      </c>
      <c r="L37" s="85">
        <f t="shared" si="11"/>
        <v>2300.5960535639774</v>
      </c>
      <c r="M37" s="85">
        <f t="shared" si="11"/>
        <v>2158.7021575789404</v>
      </c>
      <c r="N37" s="85">
        <f t="shared" si="11"/>
        <v>2026.3172008917018</v>
      </c>
      <c r="O37" s="85">
        <f t="shared" si="11"/>
        <v>1912.007144147736</v>
      </c>
      <c r="P37" s="85">
        <f t="shared" si="11"/>
        <v>1807.2630480492455</v>
      </c>
      <c r="Q37" s="88"/>
    </row>
    <row r="38" spans="2:17" ht="13.5" thickBot="1">
      <c r="B38" s="66"/>
      <c r="C38" s="100"/>
      <c r="D38" s="101"/>
      <c r="E38" s="101"/>
      <c r="G38" s="102"/>
      <c r="H38" s="102"/>
      <c r="I38" s="103"/>
      <c r="J38" s="103"/>
      <c r="K38" s="103"/>
      <c r="L38" s="103"/>
      <c r="M38" s="103"/>
      <c r="N38" s="103"/>
      <c r="O38" s="103"/>
      <c r="P38" s="103"/>
      <c r="Q38" s="88"/>
    </row>
    <row r="39" spans="2:17">
      <c r="B39" s="104" t="s">
        <v>123</v>
      </c>
      <c r="C39" s="105"/>
      <c r="D39" s="106"/>
      <c r="E39" s="107">
        <f>NPV(G16,G37:P37)</f>
        <v>18224.450745144917</v>
      </c>
      <c r="G39" s="108"/>
      <c r="H39" s="82"/>
      <c r="Q39" s="109"/>
    </row>
    <row r="40" spans="2:17" s="66" customFormat="1" ht="13.5" thickBot="1">
      <c r="B40" s="110" t="s">
        <v>124</v>
      </c>
      <c r="C40" s="111"/>
      <c r="D40" s="112"/>
      <c r="E40" s="113">
        <f>E39/(1-0.01025)</f>
        <v>18413.185900626337</v>
      </c>
      <c r="F40" s="81"/>
      <c r="G40" s="114">
        <f>G35+G36</f>
        <v>1378.4575555722699</v>
      </c>
      <c r="H40" s="114">
        <f t="shared" ref="H40:P40" si="12">H35+H36</f>
        <v>1194.5891765750155</v>
      </c>
      <c r="I40" s="114">
        <f t="shared" si="12"/>
        <v>1002.8961144520897</v>
      </c>
      <c r="J40" s="114">
        <f t="shared" si="12"/>
        <v>837.04561405043125</v>
      </c>
      <c r="K40" s="114">
        <f t="shared" si="12"/>
        <v>689.09894954901426</v>
      </c>
      <c r="L40" s="114">
        <f t="shared" si="12"/>
        <v>547.20505356397734</v>
      </c>
      <c r="M40" s="114">
        <f t="shared" si="12"/>
        <v>405.31115757894048</v>
      </c>
      <c r="N40" s="114">
        <f t="shared" si="12"/>
        <v>272.92620089170163</v>
      </c>
      <c r="O40" s="114">
        <f t="shared" si="12"/>
        <v>158.61614414773587</v>
      </c>
      <c r="P40" s="114">
        <f t="shared" si="12"/>
        <v>53.872048049245336</v>
      </c>
      <c r="Q40" s="115"/>
    </row>
    <row r="41" spans="2:17" s="66" customFormat="1">
      <c r="B41" s="65"/>
      <c r="C41" s="65"/>
      <c r="D41" s="65"/>
      <c r="E41" s="116"/>
      <c r="F41" s="65" t="s">
        <v>125</v>
      </c>
      <c r="G41" s="117">
        <f>G40/G34</f>
        <v>8.3276725943696589E-2</v>
      </c>
      <c r="H41" s="117">
        <f t="shared" ref="H41:P41" si="13">H40/H34</f>
        <v>8.3289881870919832E-2</v>
      </c>
      <c r="I41" s="117">
        <f t="shared" si="13"/>
        <v>8.3196064584851015E-2</v>
      </c>
      <c r="J41" s="117">
        <f t="shared" si="13"/>
        <v>8.3219865023845249E-2</v>
      </c>
      <c r="K41" s="117">
        <f t="shared" si="13"/>
        <v>8.3316730680164264E-2</v>
      </c>
      <c r="L41" s="117">
        <f t="shared" si="13"/>
        <v>8.327704575041775E-2</v>
      </c>
      <c r="M41" s="117">
        <f t="shared" si="13"/>
        <v>8.3209661224358661E-2</v>
      </c>
      <c r="N41" s="117">
        <f t="shared" si="13"/>
        <v>8.3261601934585844E-2</v>
      </c>
      <c r="O41" s="117">
        <f t="shared" si="13"/>
        <v>8.343133076510191E-2</v>
      </c>
      <c r="P41" s="117">
        <f t="shared" si="13"/>
        <v>8.5009316370792523E-2</v>
      </c>
      <c r="Q41" s="115"/>
    </row>
    <row r="42" spans="2:17">
      <c r="B42" s="65" t="s">
        <v>126</v>
      </c>
      <c r="F42" s="118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73"/>
    </row>
    <row r="43" spans="2:17">
      <c r="G43" s="120"/>
      <c r="H43" s="114"/>
      <c r="I43" s="114"/>
      <c r="J43" s="114"/>
      <c r="K43" s="114"/>
      <c r="L43" s="114"/>
      <c r="M43" s="114"/>
      <c r="N43" s="114"/>
      <c r="O43" s="114"/>
      <c r="P43" s="114"/>
      <c r="Q43" s="73"/>
    </row>
    <row r="44" spans="2:17"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73"/>
    </row>
    <row r="45" spans="2:17">
      <c r="E45" s="65" t="s">
        <v>127</v>
      </c>
      <c r="F45" s="79">
        <f>+F21</f>
        <v>0</v>
      </c>
      <c r="G45" s="81">
        <f>G38+G37+F21</f>
        <v>3131.84855557227</v>
      </c>
      <c r="H45" s="81">
        <f t="shared" ref="H45:P45" si="14">H38+H37</f>
        <v>2947.9801765750153</v>
      </c>
      <c r="I45" s="81">
        <f t="shared" si="14"/>
        <v>2756.2871144520896</v>
      </c>
      <c r="J45" s="81">
        <f t="shared" si="14"/>
        <v>2590.4366140504317</v>
      </c>
      <c r="K45" s="81">
        <f t="shared" si="14"/>
        <v>2442.4899495490145</v>
      </c>
      <c r="L45" s="81">
        <f t="shared" si="14"/>
        <v>2300.5960535639774</v>
      </c>
      <c r="M45" s="81">
        <f t="shared" si="14"/>
        <v>2158.7021575789404</v>
      </c>
      <c r="N45" s="81">
        <f t="shared" si="14"/>
        <v>2026.3172008917018</v>
      </c>
      <c r="O45" s="81">
        <f t="shared" si="14"/>
        <v>1912.007144147736</v>
      </c>
      <c r="P45" s="81">
        <f t="shared" si="14"/>
        <v>1807.2630480492455</v>
      </c>
      <c r="Q45" s="73"/>
    </row>
    <row r="46" spans="2:17" ht="13.5" thickBot="1">
      <c r="F46" s="114"/>
      <c r="Q46" s="73"/>
    </row>
    <row r="47" spans="2:17">
      <c r="B47" s="104" t="s">
        <v>123</v>
      </c>
      <c r="C47" s="105"/>
      <c r="D47" s="106"/>
      <c r="E47" s="107">
        <f>NPV(G16,G45:P45)</f>
        <v>18224.450745144917</v>
      </c>
      <c r="G47" s="79">
        <f>G48*500</f>
        <v>1581741.6947334697</v>
      </c>
      <c r="Q47" s="73"/>
    </row>
    <row r="48" spans="2:17" ht="13.5" thickBot="1">
      <c r="B48" s="110" t="s">
        <v>124</v>
      </c>
      <c r="C48" s="111"/>
      <c r="D48" s="112"/>
      <c r="E48" s="113">
        <f>E47/(1-0.01025)</f>
        <v>18413.185900626337</v>
      </c>
      <c r="F48" s="65" t="s">
        <v>128</v>
      </c>
      <c r="G48" s="121">
        <f>G45/(1-0.01)</f>
        <v>3163.4833894669396</v>
      </c>
      <c r="H48" s="121">
        <f t="shared" ref="H48:P48" si="15">H45/(1-0.01)</f>
        <v>2977.7577541161772</v>
      </c>
      <c r="I48" s="121">
        <f t="shared" si="15"/>
        <v>2784.1283984364541</v>
      </c>
      <c r="J48" s="121">
        <f t="shared" si="15"/>
        <v>2616.6026404549816</v>
      </c>
      <c r="K48" s="121">
        <f t="shared" si="15"/>
        <v>2467.1615652010246</v>
      </c>
      <c r="L48" s="121">
        <f t="shared" si="15"/>
        <v>2323.8343975393714</v>
      </c>
      <c r="M48" s="121">
        <f t="shared" si="15"/>
        <v>2180.5072298777177</v>
      </c>
      <c r="N48" s="121">
        <f t="shared" si="15"/>
        <v>2046.7850514057593</v>
      </c>
      <c r="O48" s="121">
        <f t="shared" si="15"/>
        <v>1931.3203476239757</v>
      </c>
      <c r="P48" s="121">
        <f t="shared" si="15"/>
        <v>1825.5182303527733</v>
      </c>
      <c r="Q48" s="73"/>
    </row>
    <row r="49" spans="2:18">
      <c r="B49" s="122" t="s">
        <v>129</v>
      </c>
      <c r="C49" s="122"/>
      <c r="D49" s="122"/>
      <c r="E49" s="123">
        <f>+E48/F20</f>
        <v>1.1296433067868918</v>
      </c>
      <c r="G49" s="79">
        <f>-G48</f>
        <v>-3163.4833894669396</v>
      </c>
      <c r="H49" s="79">
        <f t="shared" ref="H49:P49" si="16">-H48</f>
        <v>-2977.7577541161772</v>
      </c>
      <c r="I49" s="79">
        <f t="shared" si="16"/>
        <v>-2784.1283984364541</v>
      </c>
      <c r="J49" s="79">
        <f t="shared" si="16"/>
        <v>-2616.6026404549816</v>
      </c>
      <c r="K49" s="79">
        <f t="shared" si="16"/>
        <v>-2467.1615652010246</v>
      </c>
      <c r="L49" s="79">
        <f t="shared" si="16"/>
        <v>-2323.8343975393714</v>
      </c>
      <c r="M49" s="79">
        <f t="shared" si="16"/>
        <v>-2180.5072298777177</v>
      </c>
      <c r="N49" s="79">
        <f t="shared" si="16"/>
        <v>-2046.7850514057593</v>
      </c>
      <c r="O49" s="79">
        <f t="shared" si="16"/>
        <v>-1931.3203476239757</v>
      </c>
      <c r="P49" s="79">
        <f t="shared" si="16"/>
        <v>-1825.5182303527733</v>
      </c>
    </row>
    <row r="52" spans="2:18">
      <c r="G52" s="124"/>
    </row>
    <row r="53" spans="2:18">
      <c r="F53" s="125" t="s">
        <v>140</v>
      </c>
    </row>
    <row r="54" spans="2:18">
      <c r="F54" s="125" t="s">
        <v>141</v>
      </c>
      <c r="G54" s="81">
        <f>+G34*$F$16</f>
        <v>1103.9653156327061</v>
      </c>
      <c r="H54" s="81">
        <f t="shared" ref="H54:P54" si="17">+H34*$F$16</f>
        <v>956.55952941571513</v>
      </c>
      <c r="I54" s="81">
        <f t="shared" si="17"/>
        <v>803.96813963955628</v>
      </c>
      <c r="J54" s="81">
        <f t="shared" si="17"/>
        <v>670.82276321027803</v>
      </c>
      <c r="K54" s="81">
        <f t="shared" si="17"/>
        <v>551.61369634626419</v>
      </c>
      <c r="L54" s="81">
        <f t="shared" si="17"/>
        <v>438.23843348631465</v>
      </c>
      <c r="M54" s="81">
        <f t="shared" si="17"/>
        <v>324.8631706263651</v>
      </c>
      <c r="N54" s="81">
        <f t="shared" si="17"/>
        <v>218.61811266027181</v>
      </c>
      <c r="O54" s="81">
        <f t="shared" si="17"/>
        <v>126.79551459311497</v>
      </c>
      <c r="P54" s="81">
        <f t="shared" si="17"/>
        <v>42.265171531038455</v>
      </c>
    </row>
    <row r="55" spans="2:18">
      <c r="F55" s="125" t="s">
        <v>142</v>
      </c>
      <c r="G55" s="126">
        <f>-G34*$F$15</f>
        <v>-388.45755557227</v>
      </c>
      <c r="H55" s="126">
        <f t="shared" ref="H55:P55" si="18">-H34*$F$15</f>
        <v>-336.58917657501547</v>
      </c>
      <c r="I55" s="126">
        <f t="shared" si="18"/>
        <v>-282.89611445208976</v>
      </c>
      <c r="J55" s="126">
        <f t="shared" si="18"/>
        <v>-236.04561405043128</v>
      </c>
      <c r="K55" s="126">
        <f t="shared" si="18"/>
        <v>-194.09894954901424</v>
      </c>
      <c r="L55" s="126">
        <f t="shared" si="18"/>
        <v>-154.20505356397737</v>
      </c>
      <c r="M55" s="126">
        <f t="shared" si="18"/>
        <v>-114.3111575789405</v>
      </c>
      <c r="N55" s="126">
        <f t="shared" si="18"/>
        <v>-76.926200891701612</v>
      </c>
      <c r="O55" s="126">
        <f t="shared" si="18"/>
        <v>-44.616144147735859</v>
      </c>
      <c r="P55" s="126">
        <f t="shared" si="18"/>
        <v>-14.872048049245334</v>
      </c>
    </row>
    <row r="56" spans="2:18">
      <c r="F56" s="127" t="s">
        <v>143</v>
      </c>
      <c r="G56" s="128">
        <v>0</v>
      </c>
      <c r="H56" s="128">
        <v>0</v>
      </c>
      <c r="I56" s="128">
        <v>0</v>
      </c>
      <c r="J56" s="128">
        <v>0</v>
      </c>
      <c r="K56" s="128">
        <v>0</v>
      </c>
      <c r="L56" s="128">
        <v>0</v>
      </c>
      <c r="M56" s="128">
        <v>0</v>
      </c>
      <c r="N56" s="128">
        <v>0</v>
      </c>
      <c r="O56" s="128">
        <v>0</v>
      </c>
      <c r="P56" s="128">
        <v>0</v>
      </c>
    </row>
    <row r="57" spans="2:18">
      <c r="F57" s="127" t="s">
        <v>144</v>
      </c>
      <c r="G57" s="129">
        <v>0</v>
      </c>
      <c r="H57" s="129">
        <v>0</v>
      </c>
      <c r="I57" s="129">
        <v>0</v>
      </c>
      <c r="J57" s="129">
        <v>0</v>
      </c>
      <c r="K57" s="129">
        <v>0</v>
      </c>
      <c r="L57" s="129">
        <v>0</v>
      </c>
      <c r="M57" s="129">
        <v>0</v>
      </c>
      <c r="N57" s="129">
        <v>0</v>
      </c>
      <c r="O57" s="129">
        <v>0</v>
      </c>
      <c r="P57" s="129">
        <v>0</v>
      </c>
      <c r="Q57" s="114"/>
      <c r="R57" s="114"/>
    </row>
    <row r="58" spans="2:18">
      <c r="F58" s="125" t="s">
        <v>145</v>
      </c>
      <c r="G58" s="130">
        <f t="shared" ref="G58:P58" si="19">SUM(G54:G57)</f>
        <v>715.50776006043611</v>
      </c>
      <c r="H58" s="130">
        <f t="shared" si="19"/>
        <v>619.97035284069966</v>
      </c>
      <c r="I58" s="130">
        <f t="shared" si="19"/>
        <v>521.07202518746658</v>
      </c>
      <c r="J58" s="130">
        <f t="shared" si="19"/>
        <v>434.77714915984677</v>
      </c>
      <c r="K58" s="130">
        <f t="shared" si="19"/>
        <v>357.51474679724993</v>
      </c>
      <c r="L58" s="130">
        <f t="shared" si="19"/>
        <v>284.0333799223373</v>
      </c>
      <c r="M58" s="130">
        <f t="shared" si="19"/>
        <v>210.55201304742462</v>
      </c>
      <c r="N58" s="130">
        <f t="shared" si="19"/>
        <v>141.69191176857021</v>
      </c>
      <c r="O58" s="130">
        <f t="shared" si="19"/>
        <v>82.179370445379107</v>
      </c>
      <c r="P58" s="130">
        <f t="shared" si="19"/>
        <v>27.393123481793118</v>
      </c>
    </row>
    <row r="59" spans="2:18">
      <c r="F59" s="131" t="s">
        <v>146</v>
      </c>
      <c r="G59" s="132">
        <f>+$C$5</f>
        <v>0.21</v>
      </c>
      <c r="H59" s="132">
        <f t="shared" ref="H59:P59" si="20">+$C$5</f>
        <v>0.21</v>
      </c>
      <c r="I59" s="132">
        <f t="shared" si="20"/>
        <v>0.21</v>
      </c>
      <c r="J59" s="132">
        <f t="shared" si="20"/>
        <v>0.21</v>
      </c>
      <c r="K59" s="132">
        <f t="shared" si="20"/>
        <v>0.21</v>
      </c>
      <c r="L59" s="132">
        <f t="shared" si="20"/>
        <v>0.21</v>
      </c>
      <c r="M59" s="132">
        <f t="shared" si="20"/>
        <v>0.21</v>
      </c>
      <c r="N59" s="132">
        <f t="shared" si="20"/>
        <v>0.21</v>
      </c>
      <c r="O59" s="132">
        <f t="shared" si="20"/>
        <v>0.21</v>
      </c>
      <c r="P59" s="132">
        <f t="shared" si="20"/>
        <v>0.21</v>
      </c>
    </row>
    <row r="60" spans="2:18">
      <c r="F60" s="131"/>
      <c r="G60" s="128">
        <f>ROUND(G58*G59,0)</f>
        <v>150</v>
      </c>
      <c r="H60" s="128">
        <f t="shared" ref="H60:P60" si="21">ROUND(H58*H59,0)</f>
        <v>130</v>
      </c>
      <c r="I60" s="128">
        <f t="shared" si="21"/>
        <v>109</v>
      </c>
      <c r="J60" s="128">
        <f t="shared" si="21"/>
        <v>91</v>
      </c>
      <c r="K60" s="128">
        <f t="shared" si="21"/>
        <v>75</v>
      </c>
      <c r="L60" s="128">
        <f t="shared" si="21"/>
        <v>60</v>
      </c>
      <c r="M60" s="128">
        <f t="shared" si="21"/>
        <v>44</v>
      </c>
      <c r="N60" s="128">
        <f t="shared" si="21"/>
        <v>30</v>
      </c>
      <c r="O60" s="128">
        <f t="shared" si="21"/>
        <v>17</v>
      </c>
      <c r="P60" s="128">
        <f t="shared" si="21"/>
        <v>6</v>
      </c>
    </row>
    <row r="61" spans="2:18">
      <c r="F61" s="131" t="s">
        <v>147</v>
      </c>
      <c r="G61" s="133">
        <f>1-G59</f>
        <v>0.79</v>
      </c>
      <c r="H61" s="133">
        <f t="shared" ref="H61:P61" si="22">1-H59</f>
        <v>0.79</v>
      </c>
      <c r="I61" s="133">
        <f t="shared" si="22"/>
        <v>0.79</v>
      </c>
      <c r="J61" s="133">
        <f t="shared" si="22"/>
        <v>0.79</v>
      </c>
      <c r="K61" s="133">
        <f t="shared" si="22"/>
        <v>0.79</v>
      </c>
      <c r="L61" s="133">
        <f t="shared" si="22"/>
        <v>0.79</v>
      </c>
      <c r="M61" s="133">
        <f t="shared" si="22"/>
        <v>0.79</v>
      </c>
      <c r="N61" s="133">
        <f t="shared" si="22"/>
        <v>0.79</v>
      </c>
      <c r="O61" s="133">
        <f t="shared" si="22"/>
        <v>0.79</v>
      </c>
      <c r="P61" s="133">
        <f t="shared" si="22"/>
        <v>0.79</v>
      </c>
    </row>
    <row r="62" spans="2:18">
      <c r="F62" s="131"/>
      <c r="G62" s="128">
        <f>ROUND(G60/G61,0)</f>
        <v>190</v>
      </c>
      <c r="H62" s="128">
        <f t="shared" ref="H62:P62" si="23">ROUND(H60/H61,0)</f>
        <v>165</v>
      </c>
      <c r="I62" s="128">
        <f t="shared" si="23"/>
        <v>138</v>
      </c>
      <c r="J62" s="128">
        <f t="shared" si="23"/>
        <v>115</v>
      </c>
      <c r="K62" s="128">
        <f t="shared" si="23"/>
        <v>95</v>
      </c>
      <c r="L62" s="128">
        <f t="shared" si="23"/>
        <v>76</v>
      </c>
      <c r="M62" s="128">
        <f t="shared" si="23"/>
        <v>56</v>
      </c>
      <c r="N62" s="128">
        <f t="shared" si="23"/>
        <v>38</v>
      </c>
      <c r="O62" s="128">
        <f t="shared" si="23"/>
        <v>22</v>
      </c>
      <c r="P62" s="128">
        <f t="shared" si="23"/>
        <v>8</v>
      </c>
    </row>
    <row r="63" spans="2:18">
      <c r="F63" s="125" t="s">
        <v>148</v>
      </c>
      <c r="G63" s="129">
        <f>+H57</f>
        <v>0</v>
      </c>
      <c r="H63" s="129">
        <f t="shared" ref="H63:P63" si="24">+H57</f>
        <v>0</v>
      </c>
      <c r="I63" s="129">
        <f t="shared" si="24"/>
        <v>0</v>
      </c>
      <c r="J63" s="129">
        <f t="shared" si="24"/>
        <v>0</v>
      </c>
      <c r="K63" s="129">
        <f t="shared" si="24"/>
        <v>0</v>
      </c>
      <c r="L63" s="129">
        <f t="shared" si="24"/>
        <v>0</v>
      </c>
      <c r="M63" s="129">
        <f t="shared" si="24"/>
        <v>0</v>
      </c>
      <c r="N63" s="129">
        <f t="shared" si="24"/>
        <v>0</v>
      </c>
      <c r="O63" s="129">
        <f t="shared" si="24"/>
        <v>0</v>
      </c>
      <c r="P63" s="129">
        <f t="shared" si="24"/>
        <v>0</v>
      </c>
    </row>
    <row r="64" spans="2:18">
      <c r="F64" s="125" t="s">
        <v>149</v>
      </c>
      <c r="G64" s="134">
        <f t="shared" ref="G64:P64" si="25">SUM(G62:G63)</f>
        <v>190</v>
      </c>
      <c r="H64" s="135">
        <f t="shared" si="25"/>
        <v>165</v>
      </c>
      <c r="I64" s="135">
        <f t="shared" si="25"/>
        <v>138</v>
      </c>
      <c r="J64" s="135">
        <f t="shared" si="25"/>
        <v>115</v>
      </c>
      <c r="K64" s="135">
        <f t="shared" si="25"/>
        <v>95</v>
      </c>
      <c r="L64" s="135">
        <f t="shared" si="25"/>
        <v>76</v>
      </c>
      <c r="M64" s="135">
        <f t="shared" si="25"/>
        <v>56</v>
      </c>
      <c r="N64" s="135">
        <f t="shared" si="25"/>
        <v>38</v>
      </c>
      <c r="O64" s="135">
        <f t="shared" si="25"/>
        <v>22</v>
      </c>
      <c r="P64" s="135">
        <f t="shared" si="25"/>
        <v>8</v>
      </c>
    </row>
    <row r="65" spans="6:16">
      <c r="F65" s="125"/>
    </row>
    <row r="66" spans="6:16">
      <c r="F66" s="125" t="s">
        <v>141</v>
      </c>
      <c r="G66" s="81">
        <f t="shared" ref="G66:P66" si="26">+G54</f>
        <v>1103.9653156327061</v>
      </c>
      <c r="H66" s="81">
        <f t="shared" si="26"/>
        <v>956.55952941571513</v>
      </c>
      <c r="I66" s="81">
        <f t="shared" si="26"/>
        <v>803.96813963955628</v>
      </c>
      <c r="J66" s="81">
        <f t="shared" si="26"/>
        <v>670.82276321027803</v>
      </c>
      <c r="K66" s="81">
        <f t="shared" si="26"/>
        <v>551.61369634626419</v>
      </c>
      <c r="L66" s="81">
        <f t="shared" si="26"/>
        <v>438.23843348631465</v>
      </c>
      <c r="M66" s="81">
        <f t="shared" si="26"/>
        <v>324.8631706263651</v>
      </c>
      <c r="N66" s="81">
        <f t="shared" si="26"/>
        <v>218.61811266027181</v>
      </c>
      <c r="O66" s="81">
        <f t="shared" si="26"/>
        <v>126.79551459311497</v>
      </c>
      <c r="P66" s="81">
        <f t="shared" si="26"/>
        <v>42.265171531038455</v>
      </c>
    </row>
    <row r="67" spans="6:16">
      <c r="F67" s="125" t="s">
        <v>142</v>
      </c>
      <c r="G67" s="126">
        <f t="shared" ref="G67:P67" si="27">+G55</f>
        <v>-388.45755557227</v>
      </c>
      <c r="H67" s="126">
        <f t="shared" si="27"/>
        <v>-336.58917657501547</v>
      </c>
      <c r="I67" s="126">
        <f t="shared" si="27"/>
        <v>-282.89611445208976</v>
      </c>
      <c r="J67" s="126">
        <f t="shared" si="27"/>
        <v>-236.04561405043128</v>
      </c>
      <c r="K67" s="126">
        <f t="shared" si="27"/>
        <v>-194.09894954901424</v>
      </c>
      <c r="L67" s="126">
        <f t="shared" si="27"/>
        <v>-154.20505356397737</v>
      </c>
      <c r="M67" s="126">
        <f t="shared" si="27"/>
        <v>-114.3111575789405</v>
      </c>
      <c r="N67" s="126">
        <f t="shared" si="27"/>
        <v>-76.926200891701612</v>
      </c>
      <c r="O67" s="126">
        <f t="shared" si="27"/>
        <v>-44.616144147735859</v>
      </c>
      <c r="P67" s="126">
        <f t="shared" si="27"/>
        <v>-14.872048049245334</v>
      </c>
    </row>
    <row r="68" spans="6:16">
      <c r="F68" s="125" t="s">
        <v>150</v>
      </c>
      <c r="G68" s="126">
        <f>+G64</f>
        <v>190</v>
      </c>
      <c r="H68" s="126">
        <f t="shared" ref="H68:P68" si="28">+H64</f>
        <v>165</v>
      </c>
      <c r="I68" s="126">
        <f t="shared" si="28"/>
        <v>138</v>
      </c>
      <c r="J68" s="126">
        <f t="shared" si="28"/>
        <v>115</v>
      </c>
      <c r="K68" s="126">
        <f t="shared" si="28"/>
        <v>95</v>
      </c>
      <c r="L68" s="126">
        <f t="shared" si="28"/>
        <v>76</v>
      </c>
      <c r="M68" s="126">
        <f t="shared" si="28"/>
        <v>56</v>
      </c>
      <c r="N68" s="126">
        <f t="shared" si="28"/>
        <v>38</v>
      </c>
      <c r="O68" s="126">
        <f t="shared" si="28"/>
        <v>22</v>
      </c>
      <c r="P68" s="126">
        <f t="shared" si="28"/>
        <v>8</v>
      </c>
    </row>
    <row r="69" spans="6:16">
      <c r="F69" s="125" t="s">
        <v>151</v>
      </c>
      <c r="G69" s="128">
        <f t="shared" ref="G69:P69" si="29">+G56</f>
        <v>0</v>
      </c>
      <c r="H69" s="128">
        <f t="shared" si="29"/>
        <v>0</v>
      </c>
      <c r="I69" s="128">
        <f t="shared" si="29"/>
        <v>0</v>
      </c>
      <c r="J69" s="128">
        <f t="shared" si="29"/>
        <v>0</v>
      </c>
      <c r="K69" s="128">
        <f t="shared" si="29"/>
        <v>0</v>
      </c>
      <c r="L69" s="128">
        <f t="shared" si="29"/>
        <v>0</v>
      </c>
      <c r="M69" s="128">
        <f t="shared" si="29"/>
        <v>0</v>
      </c>
      <c r="N69" s="128">
        <f t="shared" si="29"/>
        <v>0</v>
      </c>
      <c r="O69" s="128">
        <f t="shared" si="29"/>
        <v>0</v>
      </c>
      <c r="P69" s="128">
        <f t="shared" si="29"/>
        <v>0</v>
      </c>
    </row>
    <row r="70" spans="6:16">
      <c r="F70" s="125" t="s">
        <v>152</v>
      </c>
      <c r="G70" s="136">
        <v>0</v>
      </c>
      <c r="H70" s="136">
        <v>0</v>
      </c>
      <c r="I70" s="136">
        <v>0</v>
      </c>
      <c r="J70" s="136">
        <v>0</v>
      </c>
      <c r="K70" s="136">
        <v>0</v>
      </c>
      <c r="L70" s="136">
        <v>0</v>
      </c>
      <c r="M70" s="136">
        <v>0</v>
      </c>
      <c r="N70" s="136">
        <v>0</v>
      </c>
      <c r="O70" s="136">
        <v>0</v>
      </c>
      <c r="P70" s="136">
        <v>0</v>
      </c>
    </row>
    <row r="71" spans="6:16">
      <c r="F71" s="125" t="s">
        <v>153</v>
      </c>
      <c r="G71" s="126">
        <f t="shared" ref="G71:P71" si="30">SUM(G66:G70)</f>
        <v>905.50776006043611</v>
      </c>
      <c r="H71" s="126">
        <f t="shared" si="30"/>
        <v>784.97035284069966</v>
      </c>
      <c r="I71" s="126">
        <f t="shared" si="30"/>
        <v>659.07202518746658</v>
      </c>
      <c r="J71" s="126">
        <f t="shared" si="30"/>
        <v>549.77714915984677</v>
      </c>
      <c r="K71" s="126">
        <f t="shared" si="30"/>
        <v>452.51474679724993</v>
      </c>
      <c r="L71" s="126">
        <f t="shared" si="30"/>
        <v>360.0333799223373</v>
      </c>
      <c r="M71" s="126">
        <f t="shared" si="30"/>
        <v>266.55201304742462</v>
      </c>
      <c r="N71" s="126">
        <f t="shared" si="30"/>
        <v>179.69191176857021</v>
      </c>
      <c r="O71" s="126">
        <f t="shared" si="30"/>
        <v>104.17937044537911</v>
      </c>
      <c r="P71" s="126">
        <f t="shared" si="30"/>
        <v>35.393123481793118</v>
      </c>
    </row>
    <row r="72" spans="6:16">
      <c r="F72" s="131" t="s">
        <v>154</v>
      </c>
      <c r="G72" s="133">
        <f>1-$C$6</f>
        <v>0.91500000000000004</v>
      </c>
      <c r="H72" s="133">
        <f t="shared" ref="H72:P72" si="31">1-$C$6</f>
        <v>0.91500000000000004</v>
      </c>
      <c r="I72" s="133">
        <f t="shared" si="31"/>
        <v>0.91500000000000004</v>
      </c>
      <c r="J72" s="133">
        <f t="shared" si="31"/>
        <v>0.91500000000000004</v>
      </c>
      <c r="K72" s="133">
        <f t="shared" si="31"/>
        <v>0.91500000000000004</v>
      </c>
      <c r="L72" s="133">
        <f t="shared" si="31"/>
        <v>0.91500000000000004</v>
      </c>
      <c r="M72" s="133">
        <f t="shared" si="31"/>
        <v>0.91500000000000004</v>
      </c>
      <c r="N72" s="133">
        <f t="shared" si="31"/>
        <v>0.91500000000000004</v>
      </c>
      <c r="O72" s="133">
        <f t="shared" si="31"/>
        <v>0.91500000000000004</v>
      </c>
      <c r="P72" s="133">
        <f t="shared" si="31"/>
        <v>0.91500000000000004</v>
      </c>
    </row>
    <row r="73" spans="6:16">
      <c r="F73" s="131"/>
      <c r="G73" s="128">
        <f>ROUND(G71/G72,0)</f>
        <v>990</v>
      </c>
      <c r="H73" s="128">
        <f t="shared" ref="H73:P73" si="32">ROUND(H71/H72,0)</f>
        <v>858</v>
      </c>
      <c r="I73" s="128">
        <f t="shared" si="32"/>
        <v>720</v>
      </c>
      <c r="J73" s="128">
        <f t="shared" si="32"/>
        <v>601</v>
      </c>
      <c r="K73" s="128">
        <f t="shared" si="32"/>
        <v>495</v>
      </c>
      <c r="L73" s="128">
        <f t="shared" si="32"/>
        <v>393</v>
      </c>
      <c r="M73" s="128">
        <f t="shared" si="32"/>
        <v>291</v>
      </c>
      <c r="N73" s="128">
        <f t="shared" si="32"/>
        <v>196</v>
      </c>
      <c r="O73" s="128">
        <f t="shared" si="32"/>
        <v>114</v>
      </c>
      <c r="P73" s="128">
        <f t="shared" si="32"/>
        <v>39</v>
      </c>
    </row>
    <row r="74" spans="6:16">
      <c r="F74" s="125" t="s">
        <v>155</v>
      </c>
      <c r="G74" s="126">
        <f t="shared" ref="G74:P74" si="33">-G66</f>
        <v>-1103.9653156327061</v>
      </c>
      <c r="H74" s="126">
        <f t="shared" si="33"/>
        <v>-956.55952941571513</v>
      </c>
      <c r="I74" s="126">
        <f t="shared" si="33"/>
        <v>-803.96813963955628</v>
      </c>
      <c r="J74" s="126">
        <f t="shared" si="33"/>
        <v>-670.82276321027803</v>
      </c>
      <c r="K74" s="126">
        <f t="shared" si="33"/>
        <v>-551.61369634626419</v>
      </c>
      <c r="L74" s="126">
        <f t="shared" si="33"/>
        <v>-438.23843348631465</v>
      </c>
      <c r="M74" s="126">
        <f t="shared" si="33"/>
        <v>-324.8631706263651</v>
      </c>
      <c r="N74" s="126">
        <f t="shared" si="33"/>
        <v>-218.61811266027181</v>
      </c>
      <c r="O74" s="126">
        <f t="shared" si="33"/>
        <v>-126.79551459311497</v>
      </c>
      <c r="P74" s="126">
        <f t="shared" si="33"/>
        <v>-42.265171531038455</v>
      </c>
    </row>
    <row r="75" spans="6:16">
      <c r="F75" s="125" t="s">
        <v>156</v>
      </c>
      <c r="G75" s="126">
        <f t="shared" ref="G75:P75" si="34">-G68</f>
        <v>-190</v>
      </c>
      <c r="H75" s="126">
        <f t="shared" si="34"/>
        <v>-165</v>
      </c>
      <c r="I75" s="126">
        <f t="shared" si="34"/>
        <v>-138</v>
      </c>
      <c r="J75" s="126">
        <f t="shared" si="34"/>
        <v>-115</v>
      </c>
      <c r="K75" s="126">
        <f t="shared" si="34"/>
        <v>-95</v>
      </c>
      <c r="L75" s="126">
        <f t="shared" si="34"/>
        <v>-76</v>
      </c>
      <c r="M75" s="126">
        <f t="shared" si="34"/>
        <v>-56</v>
      </c>
      <c r="N75" s="126">
        <f t="shared" si="34"/>
        <v>-38</v>
      </c>
      <c r="O75" s="126">
        <f t="shared" si="34"/>
        <v>-22</v>
      </c>
      <c r="P75" s="126">
        <f t="shared" si="34"/>
        <v>-8</v>
      </c>
    </row>
    <row r="76" spans="6:16">
      <c r="F76" s="125" t="s">
        <v>142</v>
      </c>
      <c r="G76" s="126">
        <f t="shared" ref="G76:P76" si="35">-G67</f>
        <v>388.45755557227</v>
      </c>
      <c r="H76" s="126">
        <f t="shared" si="35"/>
        <v>336.58917657501547</v>
      </c>
      <c r="I76" s="126">
        <f t="shared" si="35"/>
        <v>282.89611445208976</v>
      </c>
      <c r="J76" s="126">
        <f t="shared" si="35"/>
        <v>236.04561405043128</v>
      </c>
      <c r="K76" s="126">
        <f t="shared" si="35"/>
        <v>194.09894954901424</v>
      </c>
      <c r="L76" s="126">
        <f t="shared" si="35"/>
        <v>154.20505356397737</v>
      </c>
      <c r="M76" s="126">
        <f t="shared" si="35"/>
        <v>114.3111575789405</v>
      </c>
      <c r="N76" s="126">
        <f t="shared" si="35"/>
        <v>76.926200891701612</v>
      </c>
      <c r="O76" s="126">
        <f t="shared" si="35"/>
        <v>44.616144147735859</v>
      </c>
      <c r="P76" s="126">
        <f t="shared" si="35"/>
        <v>14.872048049245334</v>
      </c>
    </row>
    <row r="77" spans="6:16">
      <c r="F77" s="125" t="s">
        <v>157</v>
      </c>
      <c r="G77" s="129">
        <f t="shared" ref="G77:P77" si="36">-G69</f>
        <v>0</v>
      </c>
      <c r="H77" s="129">
        <f t="shared" si="36"/>
        <v>0</v>
      </c>
      <c r="I77" s="129">
        <f t="shared" si="36"/>
        <v>0</v>
      </c>
      <c r="J77" s="129">
        <f t="shared" si="36"/>
        <v>0</v>
      </c>
      <c r="K77" s="129">
        <f t="shared" si="36"/>
        <v>0</v>
      </c>
      <c r="L77" s="129">
        <f t="shared" si="36"/>
        <v>0</v>
      </c>
      <c r="M77" s="129">
        <f t="shared" si="36"/>
        <v>0</v>
      </c>
      <c r="N77" s="129">
        <f t="shared" si="36"/>
        <v>0</v>
      </c>
      <c r="O77" s="129">
        <f t="shared" si="36"/>
        <v>0</v>
      </c>
      <c r="P77" s="129">
        <f t="shared" si="36"/>
        <v>0</v>
      </c>
    </row>
    <row r="78" spans="6:16">
      <c r="F78" s="125" t="s">
        <v>158</v>
      </c>
      <c r="G78" s="134">
        <f t="shared" ref="G78:P78" si="37">SUM(G73:G77)</f>
        <v>84.492239939563945</v>
      </c>
      <c r="H78" s="135">
        <f t="shared" si="37"/>
        <v>73.029647159300339</v>
      </c>
      <c r="I78" s="135">
        <f t="shared" si="37"/>
        <v>60.927974812533478</v>
      </c>
      <c r="J78" s="135">
        <f t="shared" si="37"/>
        <v>51.222850840153257</v>
      </c>
      <c r="K78" s="135">
        <f t="shared" si="37"/>
        <v>42.485253202750044</v>
      </c>
      <c r="L78" s="135">
        <f t="shared" si="37"/>
        <v>32.966620077662725</v>
      </c>
      <c r="M78" s="135">
        <f t="shared" si="37"/>
        <v>24.447986952575391</v>
      </c>
      <c r="N78" s="135">
        <f t="shared" si="37"/>
        <v>16.308088231429807</v>
      </c>
      <c r="O78" s="135">
        <f t="shared" si="37"/>
        <v>9.8206295546208864</v>
      </c>
      <c r="P78" s="135">
        <f t="shared" si="37"/>
        <v>3.6068765182068798</v>
      </c>
    </row>
    <row r="79" spans="6:16">
      <c r="F79" s="125"/>
    </row>
    <row r="80" spans="6:16" ht="13.5" thickBot="1">
      <c r="F80" s="125" t="s">
        <v>159</v>
      </c>
      <c r="G80" s="137">
        <f t="shared" ref="G80:P80" si="38">+G78+G64</f>
        <v>274.49223993956394</v>
      </c>
      <c r="H80" s="137">
        <f t="shared" si="38"/>
        <v>238.02964715930034</v>
      </c>
      <c r="I80" s="137">
        <f t="shared" si="38"/>
        <v>198.92797481253348</v>
      </c>
      <c r="J80" s="137">
        <f t="shared" si="38"/>
        <v>166.22285084015326</v>
      </c>
      <c r="K80" s="137">
        <f t="shared" si="38"/>
        <v>137.48525320275004</v>
      </c>
      <c r="L80" s="137">
        <f t="shared" si="38"/>
        <v>108.96662007766272</v>
      </c>
      <c r="M80" s="137">
        <f t="shared" si="38"/>
        <v>80.447986952575391</v>
      </c>
      <c r="N80" s="137">
        <f t="shared" si="38"/>
        <v>54.308088231429807</v>
      </c>
      <c r="O80" s="137">
        <f t="shared" si="38"/>
        <v>31.820629554620886</v>
      </c>
      <c r="P80" s="137">
        <f t="shared" si="38"/>
        <v>11.60687651820688</v>
      </c>
    </row>
    <row r="81" spans="2:16" ht="13.5" thickTop="1">
      <c r="F81" s="125"/>
    </row>
    <row r="82" spans="2:16">
      <c r="B82" s="65">
        <f>103084-35718</f>
        <v>67366</v>
      </c>
      <c r="F82" s="125" t="s">
        <v>160</v>
      </c>
    </row>
    <row r="83" spans="2:16">
      <c r="B83" s="65">
        <f>12338+7402</f>
        <v>19740</v>
      </c>
      <c r="F83" s="125" t="s">
        <v>161</v>
      </c>
      <c r="G83" s="81">
        <f t="shared" ref="G83:P83" si="39">ROUND(+G54,0)</f>
        <v>1104</v>
      </c>
      <c r="H83" s="81">
        <f t="shared" si="39"/>
        <v>957</v>
      </c>
      <c r="I83" s="81">
        <f t="shared" si="39"/>
        <v>804</v>
      </c>
      <c r="J83" s="81">
        <f t="shared" si="39"/>
        <v>671</v>
      </c>
      <c r="K83" s="81">
        <f t="shared" si="39"/>
        <v>552</v>
      </c>
      <c r="L83" s="81">
        <f t="shared" si="39"/>
        <v>438</v>
      </c>
      <c r="M83" s="81">
        <f t="shared" si="39"/>
        <v>325</v>
      </c>
      <c r="N83" s="81">
        <f t="shared" si="39"/>
        <v>219</v>
      </c>
      <c r="O83" s="81">
        <f t="shared" si="39"/>
        <v>127</v>
      </c>
      <c r="P83" s="81">
        <f t="shared" si="39"/>
        <v>42</v>
      </c>
    </row>
    <row r="84" spans="2:16">
      <c r="F84" s="125" t="s">
        <v>162</v>
      </c>
      <c r="G84" s="126">
        <f t="shared" ref="G84:P84" si="40">+G64</f>
        <v>190</v>
      </c>
      <c r="H84" s="126">
        <f t="shared" si="40"/>
        <v>165</v>
      </c>
      <c r="I84" s="126">
        <f t="shared" si="40"/>
        <v>138</v>
      </c>
      <c r="J84" s="126">
        <f t="shared" si="40"/>
        <v>115</v>
      </c>
      <c r="K84" s="126">
        <f t="shared" si="40"/>
        <v>95</v>
      </c>
      <c r="L84" s="126">
        <f t="shared" si="40"/>
        <v>76</v>
      </c>
      <c r="M84" s="126">
        <f t="shared" si="40"/>
        <v>56</v>
      </c>
      <c r="N84" s="126">
        <f t="shared" si="40"/>
        <v>38</v>
      </c>
      <c r="O84" s="126">
        <f t="shared" si="40"/>
        <v>22</v>
      </c>
      <c r="P84" s="126">
        <f t="shared" si="40"/>
        <v>8</v>
      </c>
    </row>
    <row r="85" spans="2:16">
      <c r="F85" s="125" t="s">
        <v>163</v>
      </c>
      <c r="G85" s="126">
        <f>+G78</f>
        <v>84.492239939563945</v>
      </c>
      <c r="H85" s="126">
        <f t="shared" ref="H85:P85" si="41">+H78</f>
        <v>73.029647159300339</v>
      </c>
      <c r="I85" s="126">
        <f t="shared" si="41"/>
        <v>60.927974812533478</v>
      </c>
      <c r="J85" s="126">
        <f t="shared" si="41"/>
        <v>51.222850840153257</v>
      </c>
      <c r="K85" s="126">
        <f t="shared" si="41"/>
        <v>42.485253202750044</v>
      </c>
      <c r="L85" s="126">
        <f t="shared" si="41"/>
        <v>32.966620077662725</v>
      </c>
      <c r="M85" s="126">
        <f t="shared" si="41"/>
        <v>24.447986952575391</v>
      </c>
      <c r="N85" s="126">
        <f t="shared" si="41"/>
        <v>16.308088231429807</v>
      </c>
      <c r="O85" s="126">
        <f t="shared" si="41"/>
        <v>9.8206295546208864</v>
      </c>
      <c r="P85" s="126">
        <f t="shared" si="41"/>
        <v>3.6068765182068798</v>
      </c>
    </row>
    <row r="86" spans="2:16">
      <c r="F86" s="125" t="s">
        <v>164</v>
      </c>
      <c r="G86" s="126">
        <f t="shared" ref="G86:P86" si="42">+G67</f>
        <v>-388.45755557227</v>
      </c>
      <c r="H86" s="126">
        <f t="shared" si="42"/>
        <v>-336.58917657501547</v>
      </c>
      <c r="I86" s="126">
        <f t="shared" si="42"/>
        <v>-282.89611445208976</v>
      </c>
      <c r="J86" s="126">
        <f t="shared" si="42"/>
        <v>-236.04561405043128</v>
      </c>
      <c r="K86" s="126">
        <f t="shared" si="42"/>
        <v>-194.09894954901424</v>
      </c>
      <c r="L86" s="126">
        <f t="shared" si="42"/>
        <v>-154.20505356397737</v>
      </c>
      <c r="M86" s="126">
        <f t="shared" si="42"/>
        <v>-114.3111575789405</v>
      </c>
      <c r="N86" s="126">
        <f t="shared" si="42"/>
        <v>-76.926200891701612</v>
      </c>
      <c r="O86" s="126">
        <f t="shared" si="42"/>
        <v>-44.616144147735859</v>
      </c>
      <c r="P86" s="126">
        <f t="shared" si="42"/>
        <v>-14.872048049245334</v>
      </c>
    </row>
    <row r="87" spans="2:16">
      <c r="F87" s="125" t="s">
        <v>165</v>
      </c>
      <c r="G87" s="129">
        <f t="shared" ref="G87:P87" si="43">+G56</f>
        <v>0</v>
      </c>
      <c r="H87" s="129">
        <f t="shared" si="43"/>
        <v>0</v>
      </c>
      <c r="I87" s="129">
        <f t="shared" si="43"/>
        <v>0</v>
      </c>
      <c r="J87" s="129">
        <f t="shared" si="43"/>
        <v>0</v>
      </c>
      <c r="K87" s="129">
        <f t="shared" si="43"/>
        <v>0</v>
      </c>
      <c r="L87" s="129">
        <f t="shared" si="43"/>
        <v>0</v>
      </c>
      <c r="M87" s="129">
        <f t="shared" si="43"/>
        <v>0</v>
      </c>
      <c r="N87" s="129">
        <f t="shared" si="43"/>
        <v>0</v>
      </c>
      <c r="O87" s="129">
        <f t="shared" si="43"/>
        <v>0</v>
      </c>
      <c r="P87" s="129">
        <f t="shared" si="43"/>
        <v>0</v>
      </c>
    </row>
    <row r="88" spans="2:16">
      <c r="F88" s="125" t="s">
        <v>166</v>
      </c>
      <c r="G88" s="126">
        <f>SUM(G83:G87)</f>
        <v>990.03468436729395</v>
      </c>
      <c r="H88" s="126">
        <f t="shared" ref="H88:P88" si="44">SUM(H83:H87)</f>
        <v>858.44047058428487</v>
      </c>
      <c r="I88" s="126">
        <f t="shared" si="44"/>
        <v>720.03186036044372</v>
      </c>
      <c r="J88" s="126">
        <f t="shared" si="44"/>
        <v>601.17723678972197</v>
      </c>
      <c r="K88" s="126">
        <f t="shared" si="44"/>
        <v>495.38630365373581</v>
      </c>
      <c r="L88" s="126">
        <f t="shared" si="44"/>
        <v>392.76156651368535</v>
      </c>
      <c r="M88" s="126">
        <f t="shared" si="44"/>
        <v>291.1368293736349</v>
      </c>
      <c r="N88" s="126">
        <f t="shared" si="44"/>
        <v>196.38188733972817</v>
      </c>
      <c r="O88" s="126">
        <f t="shared" si="44"/>
        <v>114.20448540688503</v>
      </c>
      <c r="P88" s="126">
        <f t="shared" si="44"/>
        <v>38.734828468961545</v>
      </c>
    </row>
    <row r="89" spans="2:16">
      <c r="F89" s="125" t="s">
        <v>167</v>
      </c>
      <c r="G89" s="132">
        <f>+$C$7</f>
        <v>0.27715000000000001</v>
      </c>
      <c r="H89" s="132">
        <f t="shared" ref="H89:P89" si="45">+$C$7</f>
        <v>0.27715000000000001</v>
      </c>
      <c r="I89" s="132">
        <f t="shared" si="45"/>
        <v>0.27715000000000001</v>
      </c>
      <c r="J89" s="132">
        <f t="shared" si="45"/>
        <v>0.27715000000000001</v>
      </c>
      <c r="K89" s="132">
        <f t="shared" si="45"/>
        <v>0.27715000000000001</v>
      </c>
      <c r="L89" s="132">
        <f t="shared" si="45"/>
        <v>0.27715000000000001</v>
      </c>
      <c r="M89" s="132">
        <f t="shared" si="45"/>
        <v>0.27715000000000001</v>
      </c>
      <c r="N89" s="132">
        <f t="shared" si="45"/>
        <v>0.27715000000000001</v>
      </c>
      <c r="O89" s="132">
        <f t="shared" si="45"/>
        <v>0.27715000000000001</v>
      </c>
      <c r="P89" s="132">
        <f t="shared" si="45"/>
        <v>0.27715000000000001</v>
      </c>
    </row>
    <row r="90" spans="2:16">
      <c r="F90" s="125" t="s">
        <v>168</v>
      </c>
      <c r="G90" s="65">
        <f>ROUND(G88*G89,0)</f>
        <v>274</v>
      </c>
      <c r="H90" s="65">
        <f t="shared" ref="H90:P90" si="46">ROUND(H88*H89,0)</f>
        <v>238</v>
      </c>
      <c r="I90" s="65">
        <f t="shared" si="46"/>
        <v>200</v>
      </c>
      <c r="J90" s="65">
        <f t="shared" si="46"/>
        <v>167</v>
      </c>
      <c r="K90" s="65">
        <f t="shared" si="46"/>
        <v>137</v>
      </c>
      <c r="L90" s="65">
        <f t="shared" si="46"/>
        <v>109</v>
      </c>
      <c r="M90" s="65">
        <f t="shared" si="46"/>
        <v>81</v>
      </c>
      <c r="N90" s="65">
        <f t="shared" si="46"/>
        <v>54</v>
      </c>
      <c r="O90" s="65">
        <f t="shared" si="46"/>
        <v>32</v>
      </c>
      <c r="P90" s="65">
        <f t="shared" si="46"/>
        <v>11</v>
      </c>
    </row>
    <row r="91" spans="2:16">
      <c r="F91" s="125" t="s">
        <v>148</v>
      </c>
      <c r="G91" s="126">
        <f t="shared" ref="G91:P91" si="47">+G63</f>
        <v>0</v>
      </c>
      <c r="H91" s="126">
        <f t="shared" si="47"/>
        <v>0</v>
      </c>
      <c r="I91" s="126">
        <f t="shared" si="47"/>
        <v>0</v>
      </c>
      <c r="J91" s="126">
        <f t="shared" si="47"/>
        <v>0</v>
      </c>
      <c r="K91" s="126">
        <f t="shared" si="47"/>
        <v>0</v>
      </c>
      <c r="L91" s="126">
        <f t="shared" si="47"/>
        <v>0</v>
      </c>
      <c r="M91" s="126">
        <f t="shared" si="47"/>
        <v>0</v>
      </c>
      <c r="N91" s="126">
        <f t="shared" si="47"/>
        <v>0</v>
      </c>
      <c r="O91" s="126">
        <f t="shared" si="47"/>
        <v>0</v>
      </c>
      <c r="P91" s="126">
        <f t="shared" si="47"/>
        <v>0</v>
      </c>
    </row>
    <row r="92" spans="2:16" ht="13.5" thickBot="1">
      <c r="F92" s="65" t="s">
        <v>169</v>
      </c>
      <c r="G92" s="137">
        <f>SUM(G90:G91)</f>
        <v>274</v>
      </c>
      <c r="H92" s="137">
        <f t="shared" ref="H92:P92" si="48">SUM(H90:H91)</f>
        <v>238</v>
      </c>
      <c r="I92" s="137">
        <f t="shared" si="48"/>
        <v>200</v>
      </c>
      <c r="J92" s="137">
        <f t="shared" si="48"/>
        <v>167</v>
      </c>
      <c r="K92" s="137">
        <f t="shared" si="48"/>
        <v>137</v>
      </c>
      <c r="L92" s="137">
        <f t="shared" si="48"/>
        <v>109</v>
      </c>
      <c r="M92" s="137">
        <f t="shared" si="48"/>
        <v>81</v>
      </c>
      <c r="N92" s="137">
        <f t="shared" si="48"/>
        <v>54</v>
      </c>
      <c r="O92" s="137">
        <f t="shared" si="48"/>
        <v>32</v>
      </c>
      <c r="P92" s="137">
        <f t="shared" si="48"/>
        <v>11</v>
      </c>
    </row>
    <row r="93" spans="2:16" ht="13.5" thickTop="1">
      <c r="F93" s="65" t="s">
        <v>170</v>
      </c>
      <c r="G93" s="126">
        <f>+G92-G80</f>
        <v>-0.49223993956394452</v>
      </c>
      <c r="H93" s="126">
        <f t="shared" ref="H93:P93" si="49">+H92-H80</f>
        <v>-2.9647159300338899E-2</v>
      </c>
      <c r="I93" s="126">
        <f t="shared" si="49"/>
        <v>1.0720251874665223</v>
      </c>
      <c r="J93" s="126">
        <f t="shared" si="49"/>
        <v>0.77714915984674349</v>
      </c>
      <c r="K93" s="126">
        <f t="shared" si="49"/>
        <v>-0.48525320275004447</v>
      </c>
      <c r="L93" s="126">
        <f t="shared" si="49"/>
        <v>3.3379922337275048E-2</v>
      </c>
      <c r="M93" s="126">
        <f t="shared" si="49"/>
        <v>0.55201304742460877</v>
      </c>
      <c r="N93" s="126">
        <f t="shared" si="49"/>
        <v>-0.30808823142980657</v>
      </c>
      <c r="O93" s="126">
        <f t="shared" si="49"/>
        <v>0.17937044537911362</v>
      </c>
      <c r="P93" s="126">
        <f t="shared" si="49"/>
        <v>-0.60687651820687982</v>
      </c>
    </row>
    <row r="95" spans="2:16">
      <c r="F95" s="65" t="s">
        <v>166</v>
      </c>
      <c r="G95" s="126">
        <f>+G88-G87</f>
        <v>990.03468436729395</v>
      </c>
      <c r="H95" s="126">
        <f t="shared" ref="H95:P95" si="50">+H88-H87</f>
        <v>858.44047058428487</v>
      </c>
      <c r="I95" s="126">
        <f t="shared" si="50"/>
        <v>720.03186036044372</v>
      </c>
      <c r="J95" s="126">
        <f t="shared" si="50"/>
        <v>601.17723678972197</v>
      </c>
      <c r="K95" s="126">
        <f t="shared" si="50"/>
        <v>495.38630365373581</v>
      </c>
      <c r="L95" s="126">
        <f t="shared" si="50"/>
        <v>392.76156651368535</v>
      </c>
      <c r="M95" s="126">
        <f t="shared" si="50"/>
        <v>291.1368293736349</v>
      </c>
      <c r="N95" s="126">
        <f t="shared" si="50"/>
        <v>196.38188733972817</v>
      </c>
      <c r="O95" s="126">
        <f t="shared" si="50"/>
        <v>114.20448540688503</v>
      </c>
      <c r="P95" s="126">
        <f t="shared" si="50"/>
        <v>38.734828468961545</v>
      </c>
    </row>
    <row r="96" spans="2:16">
      <c r="F96" s="65" t="s">
        <v>171</v>
      </c>
      <c r="G96" s="126">
        <f>-G80</f>
        <v>-274.49223993956394</v>
      </c>
      <c r="H96" s="126">
        <f t="shared" ref="H96:P96" si="51">-H80</f>
        <v>-238.02964715930034</v>
      </c>
      <c r="I96" s="126">
        <f t="shared" si="51"/>
        <v>-198.92797481253348</v>
      </c>
      <c r="J96" s="126">
        <f t="shared" si="51"/>
        <v>-166.22285084015326</v>
      </c>
      <c r="K96" s="126">
        <f t="shared" si="51"/>
        <v>-137.48525320275004</v>
      </c>
      <c r="L96" s="126">
        <f t="shared" si="51"/>
        <v>-108.96662007766272</v>
      </c>
      <c r="M96" s="126">
        <f t="shared" si="51"/>
        <v>-80.447986952575391</v>
      </c>
      <c r="N96" s="126">
        <f t="shared" si="51"/>
        <v>-54.308088231429807</v>
      </c>
      <c r="O96" s="126">
        <f t="shared" si="51"/>
        <v>-31.820629554620886</v>
      </c>
      <c r="P96" s="126">
        <f t="shared" si="51"/>
        <v>-11.60687651820688</v>
      </c>
    </row>
    <row r="97" spans="6:16" ht="13.5" thickBot="1">
      <c r="F97" s="65" t="s">
        <v>172</v>
      </c>
      <c r="G97" s="137">
        <f>SUM(G95:G96)</f>
        <v>715.54244442773006</v>
      </c>
      <c r="H97" s="137">
        <f t="shared" ref="H97:P97" si="52">SUM(H95:H96)</f>
        <v>620.41082342498453</v>
      </c>
      <c r="I97" s="137">
        <f t="shared" si="52"/>
        <v>521.10388554791029</v>
      </c>
      <c r="J97" s="137">
        <f t="shared" si="52"/>
        <v>434.95438594956875</v>
      </c>
      <c r="K97" s="137">
        <f t="shared" si="52"/>
        <v>357.90105045098574</v>
      </c>
      <c r="L97" s="137">
        <f t="shared" si="52"/>
        <v>283.79494643602266</v>
      </c>
      <c r="M97" s="137">
        <f t="shared" si="52"/>
        <v>210.68884242105952</v>
      </c>
      <c r="N97" s="137">
        <f t="shared" si="52"/>
        <v>142.07379910829837</v>
      </c>
      <c r="O97" s="137">
        <f t="shared" si="52"/>
        <v>82.383855852264134</v>
      </c>
      <c r="P97" s="137">
        <f t="shared" si="52"/>
        <v>27.127951950754664</v>
      </c>
    </row>
    <row r="98" spans="6:16" ht="13.5" thickTop="1">
      <c r="G98" s="138"/>
      <c r="H98" s="138"/>
      <c r="I98" s="138"/>
      <c r="J98" s="138"/>
      <c r="K98" s="138"/>
      <c r="L98" s="138"/>
      <c r="M98" s="138"/>
      <c r="N98" s="138"/>
      <c r="O98" s="138"/>
      <c r="P98" s="138"/>
    </row>
    <row r="99" spans="6:16">
      <c r="G99" s="139">
        <f t="shared" ref="G99:P99" si="53">+G97/(G34*$C13)</f>
        <v>8.5735918157671009E-2</v>
      </c>
      <c r="H99" s="139">
        <f t="shared" si="53"/>
        <v>8.5792672174492907E-2</v>
      </c>
      <c r="I99" s="139">
        <f t="shared" si="53"/>
        <v>8.5737004266855876E-2</v>
      </c>
      <c r="J99" s="139">
        <f t="shared" si="53"/>
        <v>8.5766710825278994E-2</v>
      </c>
      <c r="K99" s="139">
        <f t="shared" si="53"/>
        <v>8.582439761519807E-2</v>
      </c>
      <c r="L99" s="139">
        <f t="shared" si="53"/>
        <v>8.5659794264502237E-2</v>
      </c>
      <c r="M99" s="139">
        <f t="shared" si="53"/>
        <v>8.5787475955405937E-2</v>
      </c>
      <c r="N99" s="139">
        <f t="shared" si="53"/>
        <v>8.5962826116752683E-2</v>
      </c>
      <c r="O99" s="139">
        <f t="shared" si="53"/>
        <v>8.5945087052875416E-2</v>
      </c>
      <c r="P99" s="139">
        <f t="shared" si="53"/>
        <v>8.4901859758355097E-2</v>
      </c>
    </row>
    <row r="101" spans="6:16">
      <c r="G101" s="82"/>
    </row>
    <row r="102" spans="6:16">
      <c r="F102" s="65" t="s">
        <v>173</v>
      </c>
    </row>
    <row r="103" spans="6:16">
      <c r="F103" s="65" t="s">
        <v>174</v>
      </c>
      <c r="G103" s="81">
        <f t="shared" ref="G103:P103" si="54">+G54+G25+G36</f>
        <v>3131.8485555722705</v>
      </c>
      <c r="H103" s="81">
        <f t="shared" si="54"/>
        <v>2947.9801765750153</v>
      </c>
      <c r="I103" s="81">
        <f t="shared" si="54"/>
        <v>2756.28711445209</v>
      </c>
      <c r="J103" s="81">
        <f t="shared" si="54"/>
        <v>2590.4366140504312</v>
      </c>
      <c r="K103" s="81">
        <f t="shared" si="54"/>
        <v>2442.489949549014</v>
      </c>
      <c r="L103" s="81">
        <f t="shared" si="54"/>
        <v>2300.5960535639774</v>
      </c>
      <c r="M103" s="81">
        <f t="shared" si="54"/>
        <v>2158.7021575789404</v>
      </c>
      <c r="N103" s="81">
        <f t="shared" si="54"/>
        <v>2026.3172008917018</v>
      </c>
      <c r="O103" s="81">
        <f t="shared" si="54"/>
        <v>1912.007144147736</v>
      </c>
      <c r="P103" s="81">
        <f t="shared" si="54"/>
        <v>1807.2630480492455</v>
      </c>
    </row>
    <row r="104" spans="6:16">
      <c r="F104" s="65" t="s">
        <v>175</v>
      </c>
      <c r="G104" s="81">
        <f t="shared" ref="G104:P104" si="55">-G25</f>
        <v>-1753.3910000000001</v>
      </c>
      <c r="H104" s="81">
        <f t="shared" si="55"/>
        <v>-1753.3910000000001</v>
      </c>
      <c r="I104" s="81">
        <f t="shared" si="55"/>
        <v>-1753.3910000000001</v>
      </c>
      <c r="J104" s="81">
        <f t="shared" si="55"/>
        <v>-1753.3910000000001</v>
      </c>
      <c r="K104" s="81">
        <f t="shared" si="55"/>
        <v>-1753.3910000000001</v>
      </c>
      <c r="L104" s="81">
        <f t="shared" si="55"/>
        <v>-1753.3910000000001</v>
      </c>
      <c r="M104" s="81">
        <f t="shared" si="55"/>
        <v>-1753.3910000000001</v>
      </c>
      <c r="N104" s="81">
        <f t="shared" si="55"/>
        <v>-1753.3910000000001</v>
      </c>
      <c r="O104" s="81">
        <f t="shared" si="55"/>
        <v>-1753.3910000000001</v>
      </c>
      <c r="P104" s="81">
        <f t="shared" si="55"/>
        <v>-1753.3910000000001</v>
      </c>
    </row>
    <row r="105" spans="6:16">
      <c r="F105" s="65" t="s">
        <v>176</v>
      </c>
      <c r="G105" s="126">
        <f>+G86</f>
        <v>-388.45755557227</v>
      </c>
      <c r="H105" s="126">
        <f t="shared" ref="H105:P105" si="56">+H86</f>
        <v>-336.58917657501547</v>
      </c>
      <c r="I105" s="126">
        <f t="shared" si="56"/>
        <v>-282.89611445208976</v>
      </c>
      <c r="J105" s="126">
        <f t="shared" si="56"/>
        <v>-236.04561405043128</v>
      </c>
      <c r="K105" s="126">
        <f t="shared" si="56"/>
        <v>-194.09894954901424</v>
      </c>
      <c r="L105" s="126">
        <f t="shared" si="56"/>
        <v>-154.20505356397737</v>
      </c>
      <c r="M105" s="126">
        <f t="shared" si="56"/>
        <v>-114.3111575789405</v>
      </c>
      <c r="N105" s="126">
        <f t="shared" si="56"/>
        <v>-76.926200891701612</v>
      </c>
      <c r="O105" s="126">
        <f t="shared" si="56"/>
        <v>-44.616144147735859</v>
      </c>
      <c r="P105" s="126">
        <f t="shared" si="56"/>
        <v>-14.872048049245334</v>
      </c>
    </row>
    <row r="106" spans="6:16">
      <c r="F106" s="65" t="s">
        <v>177</v>
      </c>
      <c r="G106" s="81">
        <f>SUM(G103:G105)</f>
        <v>990.00000000000045</v>
      </c>
      <c r="H106" s="81">
        <f t="shared" ref="H106:P106" si="57">SUM(H103:H105)</f>
        <v>857.99999999999977</v>
      </c>
      <c r="I106" s="81">
        <f t="shared" si="57"/>
        <v>720.00000000000023</v>
      </c>
      <c r="J106" s="81">
        <f t="shared" si="57"/>
        <v>600.99999999999989</v>
      </c>
      <c r="K106" s="81">
        <f t="shared" si="57"/>
        <v>494.99999999999966</v>
      </c>
      <c r="L106" s="81">
        <f t="shared" si="57"/>
        <v>393</v>
      </c>
      <c r="M106" s="81">
        <f t="shared" si="57"/>
        <v>290.99999999999983</v>
      </c>
      <c r="N106" s="81">
        <f t="shared" si="57"/>
        <v>196.00000000000006</v>
      </c>
      <c r="O106" s="81">
        <f t="shared" si="57"/>
        <v>114.00000000000003</v>
      </c>
      <c r="P106" s="81">
        <f t="shared" si="57"/>
        <v>39.000000000000114</v>
      </c>
    </row>
    <row r="107" spans="6:16">
      <c r="F107" s="65" t="s">
        <v>178</v>
      </c>
      <c r="G107" s="129">
        <f>+G80</f>
        <v>274.49223993956394</v>
      </c>
      <c r="H107" s="129">
        <f t="shared" ref="H107:P107" si="58">+H80</f>
        <v>238.02964715930034</v>
      </c>
      <c r="I107" s="129">
        <f t="shared" si="58"/>
        <v>198.92797481253348</v>
      </c>
      <c r="J107" s="129">
        <f t="shared" si="58"/>
        <v>166.22285084015326</v>
      </c>
      <c r="K107" s="129">
        <f t="shared" si="58"/>
        <v>137.48525320275004</v>
      </c>
      <c r="L107" s="129">
        <f t="shared" si="58"/>
        <v>108.96662007766272</v>
      </c>
      <c r="M107" s="129">
        <f t="shared" si="58"/>
        <v>80.447986952575391</v>
      </c>
      <c r="N107" s="129">
        <f t="shared" si="58"/>
        <v>54.308088231429807</v>
      </c>
      <c r="O107" s="129">
        <f t="shared" si="58"/>
        <v>31.820629554620886</v>
      </c>
      <c r="P107" s="129">
        <f t="shared" si="58"/>
        <v>11.60687651820688</v>
      </c>
    </row>
    <row r="108" spans="6:16">
      <c r="F108" s="65" t="s">
        <v>179</v>
      </c>
      <c r="G108" s="81">
        <f>+G106-G107</f>
        <v>715.50776006043657</v>
      </c>
      <c r="H108" s="81">
        <f t="shared" ref="H108:P108" si="59">+H106-H107</f>
        <v>619.97035284069943</v>
      </c>
      <c r="I108" s="81">
        <f t="shared" si="59"/>
        <v>521.07202518746681</v>
      </c>
      <c r="J108" s="81">
        <f t="shared" si="59"/>
        <v>434.77714915984666</v>
      </c>
      <c r="K108" s="81">
        <f t="shared" si="59"/>
        <v>357.51474679724959</v>
      </c>
      <c r="L108" s="81">
        <f t="shared" si="59"/>
        <v>284.0333799223373</v>
      </c>
      <c r="M108" s="81">
        <f t="shared" si="59"/>
        <v>210.55201304742445</v>
      </c>
      <c r="N108" s="81">
        <f t="shared" si="59"/>
        <v>141.69191176857026</v>
      </c>
      <c r="O108" s="81">
        <f t="shared" si="59"/>
        <v>82.179370445379135</v>
      </c>
      <c r="P108" s="81">
        <f t="shared" si="59"/>
        <v>27.393123481793232</v>
      </c>
    </row>
    <row r="109" spans="6:16">
      <c r="G109" s="117">
        <f t="shared" ref="G109:P109" si="60">+G108/(G34*$C$13)</f>
        <v>8.5731762295082031E-2</v>
      </c>
      <c r="H109" s="117">
        <f t="shared" si="60"/>
        <v>8.5731762295081934E-2</v>
      </c>
      <c r="I109" s="117">
        <f t="shared" si="60"/>
        <v>8.5731762295082017E-2</v>
      </c>
      <c r="J109" s="117">
        <f t="shared" si="60"/>
        <v>8.5731762295081948E-2</v>
      </c>
      <c r="K109" s="117">
        <f t="shared" si="60"/>
        <v>8.5731762295081865E-2</v>
      </c>
      <c r="L109" s="117">
        <f t="shared" si="60"/>
        <v>8.5731762295081976E-2</v>
      </c>
      <c r="M109" s="117">
        <f t="shared" si="60"/>
        <v>8.5731762295081906E-2</v>
      </c>
      <c r="N109" s="117">
        <f t="shared" si="60"/>
        <v>8.5731762295082004E-2</v>
      </c>
      <c r="O109" s="117">
        <f t="shared" si="60"/>
        <v>8.5731762295081976E-2</v>
      </c>
      <c r="P109" s="117">
        <f t="shared" si="60"/>
        <v>8.5731762295082295E-2</v>
      </c>
    </row>
    <row r="111" spans="6:16">
      <c r="G111" s="140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477"/>
  <sheetViews>
    <sheetView workbookViewId="0"/>
  </sheetViews>
  <sheetFormatPr defaultColWidth="8.7109375" defaultRowHeight="15"/>
  <cols>
    <col min="3" max="3" width="9.7109375" bestFit="1" customWidth="1"/>
  </cols>
  <sheetData>
    <row r="2" spans="1:9">
      <c r="A2" s="161" t="s">
        <v>79</v>
      </c>
      <c r="F2" s="161" t="s">
        <v>17</v>
      </c>
    </row>
    <row r="3" spans="1:9">
      <c r="A3" s="4" t="s">
        <v>55</v>
      </c>
      <c r="B3" s="4" t="s">
        <v>57</v>
      </c>
      <c r="C3" s="4" t="s">
        <v>58</v>
      </c>
      <c r="D3" s="4" t="s">
        <v>56</v>
      </c>
      <c r="F3" s="18" t="s">
        <v>2</v>
      </c>
      <c r="G3" s="18" t="s">
        <v>65</v>
      </c>
      <c r="H3" s="18" t="s">
        <v>0</v>
      </c>
      <c r="I3" s="18" t="s">
        <v>66</v>
      </c>
    </row>
    <row r="4" spans="1:9">
      <c r="A4" s="176" t="s">
        <v>23</v>
      </c>
      <c r="B4" s="177">
        <v>43983</v>
      </c>
      <c r="C4" s="177">
        <v>44347</v>
      </c>
      <c r="D4" s="178">
        <v>5.3</v>
      </c>
      <c r="F4" s="173" t="s">
        <v>2</v>
      </c>
      <c r="G4" s="173" t="s">
        <v>65</v>
      </c>
      <c r="H4" s="173" t="s">
        <v>0</v>
      </c>
      <c r="I4" s="173" t="s">
        <v>66</v>
      </c>
    </row>
    <row r="5" spans="1:9">
      <c r="A5" s="176" t="s">
        <v>24</v>
      </c>
      <c r="B5" s="177">
        <f>EOMONTH(B4,11)+1</f>
        <v>44348</v>
      </c>
      <c r="C5" s="177">
        <f>EOMONTH(C4,12)</f>
        <v>44712</v>
      </c>
      <c r="D5" s="178">
        <v>4.63</v>
      </c>
      <c r="F5" s="174">
        <v>2017</v>
      </c>
      <c r="G5" s="174">
        <v>1</v>
      </c>
      <c r="H5" s="175">
        <v>42887</v>
      </c>
      <c r="I5" s="174">
        <v>9.33</v>
      </c>
    </row>
    <row r="6" spans="1:9">
      <c r="A6" s="176" t="s">
        <v>25</v>
      </c>
      <c r="B6" s="177">
        <f t="shared" ref="B6:B35" si="0">EOMONTH(B5,11)+1</f>
        <v>44713</v>
      </c>
      <c r="C6" s="177">
        <f t="shared" ref="C6:C35" si="1">EOMONTH(C5,12)</f>
        <v>45077</v>
      </c>
      <c r="D6" s="178">
        <v>3.8</v>
      </c>
      <c r="F6" s="174">
        <v>2017</v>
      </c>
      <c r="G6" s="174">
        <v>1</v>
      </c>
      <c r="H6" s="175">
        <v>42917</v>
      </c>
      <c r="I6" s="174">
        <v>9.33</v>
      </c>
    </row>
    <row r="7" spans="1:9">
      <c r="A7" s="176" t="s">
        <v>26</v>
      </c>
      <c r="B7" s="177">
        <f t="shared" si="0"/>
        <v>45078</v>
      </c>
      <c r="C7" s="177">
        <f t="shared" si="1"/>
        <v>45443</v>
      </c>
      <c r="D7" s="178">
        <v>2.0009999999999999</v>
      </c>
      <c r="F7" s="174">
        <v>2017</v>
      </c>
      <c r="G7" s="174">
        <v>1</v>
      </c>
      <c r="H7" s="175">
        <v>42948</v>
      </c>
      <c r="I7" s="174">
        <v>9.33</v>
      </c>
    </row>
    <row r="8" spans="1:9">
      <c r="A8" s="176" t="s">
        <v>27</v>
      </c>
      <c r="B8" s="177">
        <f t="shared" si="0"/>
        <v>45444</v>
      </c>
      <c r="C8" s="177">
        <f t="shared" si="1"/>
        <v>45808</v>
      </c>
      <c r="D8" s="178">
        <v>2.61</v>
      </c>
      <c r="F8" s="174">
        <v>2017</v>
      </c>
      <c r="G8" s="174">
        <v>1</v>
      </c>
      <c r="H8" s="175">
        <v>42979</v>
      </c>
      <c r="I8" s="174">
        <v>9.33</v>
      </c>
    </row>
    <row r="9" spans="1:9">
      <c r="A9" s="176" t="s">
        <v>28</v>
      </c>
      <c r="B9" s="177">
        <f t="shared" si="0"/>
        <v>45809</v>
      </c>
      <c r="C9" s="177">
        <f t="shared" si="1"/>
        <v>46173</v>
      </c>
      <c r="D9" s="180">
        <v>2.5</v>
      </c>
      <c r="E9" t="s">
        <v>215</v>
      </c>
      <c r="F9" s="174">
        <v>2017</v>
      </c>
      <c r="G9" s="174">
        <v>1</v>
      </c>
      <c r="H9" s="175">
        <v>43009</v>
      </c>
      <c r="I9" s="174">
        <v>9.33</v>
      </c>
    </row>
    <row r="10" spans="1:9">
      <c r="A10" s="176" t="s">
        <v>29</v>
      </c>
      <c r="B10" s="177">
        <f t="shared" si="0"/>
        <v>46174</v>
      </c>
      <c r="C10" s="177">
        <f t="shared" si="1"/>
        <v>46538</v>
      </c>
      <c r="D10" s="180">
        <v>2.5</v>
      </c>
      <c r="E10" t="s">
        <v>215</v>
      </c>
      <c r="F10" s="174">
        <v>2017</v>
      </c>
      <c r="G10" s="174">
        <v>1</v>
      </c>
      <c r="H10" s="175">
        <v>43040</v>
      </c>
      <c r="I10" s="174">
        <v>9.33</v>
      </c>
    </row>
    <row r="11" spans="1:9">
      <c r="A11" s="176" t="s">
        <v>30</v>
      </c>
      <c r="B11" s="177">
        <f t="shared" si="0"/>
        <v>46539</v>
      </c>
      <c r="C11" s="177">
        <f t="shared" si="1"/>
        <v>46904</v>
      </c>
      <c r="D11" s="180">
        <v>2.95</v>
      </c>
      <c r="E11" t="s">
        <v>215</v>
      </c>
      <c r="F11" s="174">
        <v>2017</v>
      </c>
      <c r="G11" s="174">
        <v>1</v>
      </c>
      <c r="H11" s="175">
        <v>43070</v>
      </c>
      <c r="I11" s="174">
        <v>9.33</v>
      </c>
    </row>
    <row r="12" spans="1:9">
      <c r="A12" s="176" t="s">
        <v>31</v>
      </c>
      <c r="B12" s="177">
        <f t="shared" si="0"/>
        <v>46905</v>
      </c>
      <c r="C12" s="177">
        <f t="shared" si="1"/>
        <v>47269</v>
      </c>
      <c r="D12" s="180">
        <v>3</v>
      </c>
      <c r="E12" t="s">
        <v>215</v>
      </c>
      <c r="F12" s="174">
        <v>2018</v>
      </c>
      <c r="G12" s="174">
        <v>1</v>
      </c>
      <c r="H12" s="175">
        <v>43101</v>
      </c>
      <c r="I12" s="174">
        <v>9.33</v>
      </c>
    </row>
    <row r="13" spans="1:9">
      <c r="A13" s="176" t="s">
        <v>32</v>
      </c>
      <c r="B13" s="177">
        <f t="shared" si="0"/>
        <v>47270</v>
      </c>
      <c r="C13" s="177">
        <f t="shared" si="1"/>
        <v>47634</v>
      </c>
      <c r="D13" s="180">
        <v>3.4</v>
      </c>
      <c r="E13" t="s">
        <v>215</v>
      </c>
      <c r="F13" s="174">
        <v>2018</v>
      </c>
      <c r="G13" s="174">
        <v>1</v>
      </c>
      <c r="H13" s="175">
        <v>43132</v>
      </c>
      <c r="I13" s="174">
        <v>9.33</v>
      </c>
    </row>
    <row r="14" spans="1:9">
      <c r="A14" s="176" t="s">
        <v>33</v>
      </c>
      <c r="B14" s="177">
        <f t="shared" si="0"/>
        <v>47635</v>
      </c>
      <c r="C14" s="177">
        <f t="shared" si="1"/>
        <v>47999</v>
      </c>
      <c r="D14" s="180">
        <v>3.57</v>
      </c>
      <c r="E14" t="s">
        <v>215</v>
      </c>
      <c r="F14" s="174">
        <v>2018</v>
      </c>
      <c r="G14" s="174">
        <v>1</v>
      </c>
      <c r="H14" s="175">
        <v>43160</v>
      </c>
      <c r="I14" s="174">
        <v>9.33</v>
      </c>
    </row>
    <row r="15" spans="1:9">
      <c r="A15" s="176" t="s">
        <v>34</v>
      </c>
      <c r="B15" s="177">
        <f t="shared" si="0"/>
        <v>48000</v>
      </c>
      <c r="C15" s="177">
        <f t="shared" si="1"/>
        <v>48365</v>
      </c>
      <c r="D15" s="180">
        <v>3.7484999999999999</v>
      </c>
      <c r="E15" t="s">
        <v>215</v>
      </c>
      <c r="F15" s="174">
        <v>2018</v>
      </c>
      <c r="G15" s="174">
        <v>1</v>
      </c>
      <c r="H15" s="175">
        <v>43191</v>
      </c>
      <c r="I15" s="174">
        <v>9.33</v>
      </c>
    </row>
    <row r="16" spans="1:9">
      <c r="A16" s="176" t="s">
        <v>35</v>
      </c>
      <c r="B16" s="177">
        <f t="shared" si="0"/>
        <v>48366</v>
      </c>
      <c r="C16" s="177">
        <f t="shared" si="1"/>
        <v>48730</v>
      </c>
      <c r="D16" s="180">
        <v>4.0858650000000001</v>
      </c>
      <c r="E16" t="s">
        <v>215</v>
      </c>
      <c r="F16" s="174">
        <v>2018</v>
      </c>
      <c r="G16" s="174">
        <v>1</v>
      </c>
      <c r="H16" s="175">
        <v>43221</v>
      </c>
      <c r="I16" s="174">
        <v>9.33</v>
      </c>
    </row>
    <row r="17" spans="1:9">
      <c r="A17" s="176" t="s">
        <v>36</v>
      </c>
      <c r="B17" s="177">
        <f t="shared" si="0"/>
        <v>48731</v>
      </c>
      <c r="C17" s="177">
        <f t="shared" si="1"/>
        <v>49095</v>
      </c>
      <c r="D17" s="180">
        <v>4.4127342000000001</v>
      </c>
      <c r="E17" t="s">
        <v>215</v>
      </c>
      <c r="F17" s="174">
        <v>2018</v>
      </c>
      <c r="G17" s="174">
        <v>2</v>
      </c>
      <c r="H17" s="175">
        <v>43252</v>
      </c>
      <c r="I17" s="174">
        <v>9.33</v>
      </c>
    </row>
    <row r="18" spans="1:9">
      <c r="A18" s="176" t="s">
        <v>37</v>
      </c>
      <c r="B18" s="177">
        <f t="shared" si="0"/>
        <v>49096</v>
      </c>
      <c r="C18" s="177">
        <f t="shared" si="1"/>
        <v>49460</v>
      </c>
      <c r="D18" s="180">
        <v>4.5230525549999996</v>
      </c>
      <c r="E18" t="s">
        <v>215</v>
      </c>
      <c r="F18" s="174">
        <v>2018</v>
      </c>
      <c r="G18" s="174">
        <v>2</v>
      </c>
      <c r="H18" s="175">
        <v>43282</v>
      </c>
      <c r="I18" s="174">
        <v>9.33</v>
      </c>
    </row>
    <row r="19" spans="1:9">
      <c r="A19" s="176" t="s">
        <v>38</v>
      </c>
      <c r="B19" s="177">
        <f t="shared" si="0"/>
        <v>49461</v>
      </c>
      <c r="C19" s="177">
        <f t="shared" si="1"/>
        <v>49826</v>
      </c>
      <c r="D19" s="180">
        <v>4.6361288688749989</v>
      </c>
      <c r="E19" t="s">
        <v>215</v>
      </c>
      <c r="F19" s="174">
        <v>2018</v>
      </c>
      <c r="G19" s="174">
        <v>2</v>
      </c>
      <c r="H19" s="175">
        <v>43313</v>
      </c>
      <c r="I19" s="174">
        <v>9.33</v>
      </c>
    </row>
    <row r="20" spans="1:9">
      <c r="A20" s="176" t="s">
        <v>39</v>
      </c>
      <c r="B20" s="177">
        <f t="shared" si="0"/>
        <v>49827</v>
      </c>
      <c r="C20" s="177">
        <f t="shared" si="1"/>
        <v>50191</v>
      </c>
      <c r="D20" s="180">
        <v>4.7520320905968738</v>
      </c>
      <c r="E20" t="s">
        <v>215</v>
      </c>
      <c r="F20" s="174">
        <v>2018</v>
      </c>
      <c r="G20" s="174">
        <v>2</v>
      </c>
      <c r="H20" s="175">
        <v>43344</v>
      </c>
      <c r="I20" s="174">
        <v>9.33</v>
      </c>
    </row>
    <row r="21" spans="1:9">
      <c r="A21" s="176" t="s">
        <v>40</v>
      </c>
      <c r="B21" s="177">
        <f t="shared" si="0"/>
        <v>50192</v>
      </c>
      <c r="C21" s="177">
        <f t="shared" si="1"/>
        <v>50556</v>
      </c>
      <c r="D21" s="180">
        <v>4.8708328928617952</v>
      </c>
      <c r="E21" t="s">
        <v>215</v>
      </c>
      <c r="F21" s="174">
        <v>2018</v>
      </c>
      <c r="G21" s="174">
        <v>2</v>
      </c>
      <c r="H21" s="175">
        <v>43374</v>
      </c>
      <c r="I21" s="174">
        <v>9.33</v>
      </c>
    </row>
    <row r="22" spans="1:9">
      <c r="A22" s="176" t="s">
        <v>41</v>
      </c>
      <c r="B22" s="177">
        <f t="shared" si="0"/>
        <v>50557</v>
      </c>
      <c r="C22" s="177">
        <f t="shared" si="1"/>
        <v>50921</v>
      </c>
      <c r="D22" s="180">
        <v>4.99260371518334</v>
      </c>
      <c r="E22" t="s">
        <v>215</v>
      </c>
      <c r="F22" s="174">
        <v>2018</v>
      </c>
      <c r="G22" s="174">
        <v>2</v>
      </c>
      <c r="H22" s="175">
        <v>43405</v>
      </c>
      <c r="I22" s="174">
        <v>9.33</v>
      </c>
    </row>
    <row r="23" spans="1:9">
      <c r="A23" s="176" t="s">
        <v>42</v>
      </c>
      <c r="B23" s="177">
        <f t="shared" si="0"/>
        <v>50922</v>
      </c>
      <c r="C23" s="177">
        <f t="shared" si="1"/>
        <v>51287</v>
      </c>
      <c r="D23" s="180">
        <v>5.117418808062923</v>
      </c>
      <c r="E23" t="s">
        <v>215</v>
      </c>
      <c r="F23" s="174">
        <v>2018</v>
      </c>
      <c r="G23" s="174">
        <v>2</v>
      </c>
      <c r="H23" s="175">
        <v>43435</v>
      </c>
      <c r="I23" s="174">
        <v>9.33</v>
      </c>
    </row>
    <row r="24" spans="1:9">
      <c r="A24" s="176" t="s">
        <v>43</v>
      </c>
      <c r="B24" s="177">
        <f t="shared" si="0"/>
        <v>51288</v>
      </c>
      <c r="C24" s="177">
        <f t="shared" si="1"/>
        <v>51652</v>
      </c>
      <c r="D24" s="180">
        <v>5.2453542782644957</v>
      </c>
      <c r="E24" t="s">
        <v>215</v>
      </c>
      <c r="F24" s="174">
        <v>2019</v>
      </c>
      <c r="G24" s="174">
        <v>2</v>
      </c>
      <c r="H24" s="175">
        <v>43466</v>
      </c>
      <c r="I24" s="174">
        <v>9.33</v>
      </c>
    </row>
    <row r="25" spans="1:9">
      <c r="A25" s="176" t="s">
        <v>44</v>
      </c>
      <c r="B25" s="177">
        <f t="shared" si="0"/>
        <v>51653</v>
      </c>
      <c r="C25" s="177">
        <f t="shared" si="1"/>
        <v>52017</v>
      </c>
      <c r="D25" s="180">
        <v>5.3764881352211074</v>
      </c>
      <c r="E25" t="s">
        <v>215</v>
      </c>
      <c r="F25" s="174">
        <v>2019</v>
      </c>
      <c r="G25" s="174">
        <v>2</v>
      </c>
      <c r="H25" s="175">
        <v>43497</v>
      </c>
      <c r="I25" s="174">
        <v>9.33</v>
      </c>
    </row>
    <row r="26" spans="1:9">
      <c r="A26" s="176" t="s">
        <v>45</v>
      </c>
      <c r="B26" s="177">
        <f t="shared" si="0"/>
        <v>52018</v>
      </c>
      <c r="C26" s="177">
        <f t="shared" si="1"/>
        <v>52382</v>
      </c>
      <c r="D26" s="180">
        <v>5.5109003386016342</v>
      </c>
      <c r="E26" t="s">
        <v>215</v>
      </c>
      <c r="F26" s="174">
        <v>2019</v>
      </c>
      <c r="G26" s="174">
        <v>2</v>
      </c>
      <c r="H26" s="175">
        <v>43525</v>
      </c>
      <c r="I26" s="174">
        <v>9.33</v>
      </c>
    </row>
    <row r="27" spans="1:9">
      <c r="A27" s="176" t="s">
        <v>46</v>
      </c>
      <c r="B27" s="177">
        <f t="shared" si="0"/>
        <v>52383</v>
      </c>
      <c r="C27" s="177">
        <f t="shared" si="1"/>
        <v>52748</v>
      </c>
      <c r="D27" s="180">
        <v>5.6486728470666749</v>
      </c>
      <c r="E27" t="s">
        <v>215</v>
      </c>
      <c r="F27" s="174">
        <v>2019</v>
      </c>
      <c r="G27" s="174">
        <v>2</v>
      </c>
      <c r="H27" s="175">
        <v>43556</v>
      </c>
      <c r="I27" s="174">
        <v>9.33</v>
      </c>
    </row>
    <row r="28" spans="1:9">
      <c r="A28" s="176" t="s">
        <v>47</v>
      </c>
      <c r="B28" s="177">
        <f t="shared" si="0"/>
        <v>52749</v>
      </c>
      <c r="C28" s="177">
        <f t="shared" si="1"/>
        <v>53113</v>
      </c>
      <c r="D28" s="180">
        <v>5.7898896682433412</v>
      </c>
      <c r="E28" t="s">
        <v>215</v>
      </c>
      <c r="F28" s="174">
        <v>2019</v>
      </c>
      <c r="G28" s="174">
        <v>2</v>
      </c>
      <c r="H28" s="175">
        <v>43586</v>
      </c>
      <c r="I28" s="174">
        <v>9.33</v>
      </c>
    </row>
    <row r="29" spans="1:9">
      <c r="A29" s="176" t="s">
        <v>48</v>
      </c>
      <c r="B29" s="177">
        <f t="shared" si="0"/>
        <v>53114</v>
      </c>
      <c r="C29" s="177">
        <f t="shared" si="1"/>
        <v>53478</v>
      </c>
      <c r="D29" s="180">
        <v>5.9346369099494245</v>
      </c>
      <c r="E29" t="s">
        <v>215</v>
      </c>
      <c r="F29" s="174">
        <v>2019</v>
      </c>
      <c r="G29" s="174">
        <v>3</v>
      </c>
      <c r="H29" s="175">
        <v>43617</v>
      </c>
      <c r="I29" s="174">
        <v>9.641</v>
      </c>
    </row>
    <row r="30" spans="1:9">
      <c r="A30" s="176" t="s">
        <v>49</v>
      </c>
      <c r="B30" s="177">
        <f t="shared" si="0"/>
        <v>53479</v>
      </c>
      <c r="C30" s="177">
        <f t="shared" si="1"/>
        <v>53843</v>
      </c>
      <c r="D30" s="180">
        <v>6.0830028326981598</v>
      </c>
      <c r="E30" t="s">
        <v>215</v>
      </c>
      <c r="F30" s="174">
        <v>2019</v>
      </c>
      <c r="G30" s="174">
        <v>3</v>
      </c>
      <c r="H30" s="175">
        <v>43647</v>
      </c>
      <c r="I30" s="174">
        <v>9.641</v>
      </c>
    </row>
    <row r="31" spans="1:9">
      <c r="A31" s="176" t="s">
        <v>50</v>
      </c>
      <c r="B31" s="177">
        <f t="shared" si="0"/>
        <v>53844</v>
      </c>
      <c r="C31" s="177">
        <f t="shared" si="1"/>
        <v>54209</v>
      </c>
      <c r="D31" s="180">
        <v>6.235077903515613</v>
      </c>
      <c r="E31" t="s">
        <v>215</v>
      </c>
      <c r="F31" s="174">
        <v>2019</v>
      </c>
      <c r="G31" s="174">
        <v>3</v>
      </c>
      <c r="H31" s="175">
        <v>43678</v>
      </c>
      <c r="I31" s="174">
        <v>9.641</v>
      </c>
    </row>
    <row r="32" spans="1:9">
      <c r="A32" s="176" t="s">
        <v>51</v>
      </c>
      <c r="B32" s="177">
        <f t="shared" si="0"/>
        <v>54210</v>
      </c>
      <c r="C32" s="177">
        <f t="shared" si="1"/>
        <v>54574</v>
      </c>
      <c r="D32" s="180">
        <v>6.390954851103503</v>
      </c>
      <c r="E32" t="s">
        <v>215</v>
      </c>
      <c r="F32" s="174">
        <v>2019</v>
      </c>
      <c r="G32" s="174">
        <v>3</v>
      </c>
      <c r="H32" s="175">
        <v>43709</v>
      </c>
      <c r="I32" s="174">
        <v>9.641</v>
      </c>
    </row>
    <row r="33" spans="1:9">
      <c r="A33" s="176" t="s">
        <v>52</v>
      </c>
      <c r="B33" s="177">
        <f t="shared" si="0"/>
        <v>54575</v>
      </c>
      <c r="C33" s="177">
        <f t="shared" si="1"/>
        <v>54939</v>
      </c>
      <c r="D33" s="180">
        <v>6.5507287223810904</v>
      </c>
      <c r="E33" t="s">
        <v>215</v>
      </c>
      <c r="F33" s="174">
        <v>2019</v>
      </c>
      <c r="G33" s="174">
        <v>3</v>
      </c>
      <c r="H33" s="175">
        <v>43739</v>
      </c>
      <c r="I33" s="174">
        <v>9.641</v>
      </c>
    </row>
    <row r="34" spans="1:9">
      <c r="A34" s="176" t="s">
        <v>53</v>
      </c>
      <c r="B34" s="177">
        <f t="shared" si="0"/>
        <v>54940</v>
      </c>
      <c r="C34" s="177">
        <f t="shared" si="1"/>
        <v>55304</v>
      </c>
      <c r="D34" s="180">
        <f>D33/D32*D33</f>
        <v>6.7144969404406174</v>
      </c>
      <c r="E34" t="s">
        <v>215</v>
      </c>
      <c r="F34" s="174">
        <v>2019</v>
      </c>
      <c r="G34" s="174">
        <v>3</v>
      </c>
      <c r="H34" s="175">
        <v>43770</v>
      </c>
      <c r="I34" s="174">
        <v>9.641</v>
      </c>
    </row>
    <row r="35" spans="1:9">
      <c r="A35" s="176" t="s">
        <v>54</v>
      </c>
      <c r="B35" s="177">
        <f t="shared" si="0"/>
        <v>55305</v>
      </c>
      <c r="C35" s="177">
        <f t="shared" si="1"/>
        <v>55670</v>
      </c>
      <c r="D35" s="180">
        <f t="shared" ref="D35" si="2">D34/D33*D34</f>
        <v>6.8823593639516325</v>
      </c>
      <c r="E35" t="s">
        <v>215</v>
      </c>
      <c r="F35" s="174">
        <v>2019</v>
      </c>
      <c r="G35" s="174">
        <v>3</v>
      </c>
      <c r="H35" s="175">
        <v>43800</v>
      </c>
      <c r="I35" s="174">
        <v>9.641</v>
      </c>
    </row>
    <row r="36" spans="1:9">
      <c r="F36" s="174">
        <v>2020</v>
      </c>
      <c r="G36" s="174">
        <v>3</v>
      </c>
      <c r="H36" s="175">
        <v>43831</v>
      </c>
      <c r="I36" s="174">
        <v>9.641</v>
      </c>
    </row>
    <row r="37" spans="1:9">
      <c r="F37" s="174">
        <v>2020</v>
      </c>
      <c r="G37" s="174">
        <v>3</v>
      </c>
      <c r="H37" s="175">
        <v>43862</v>
      </c>
      <c r="I37" s="174">
        <v>9.641</v>
      </c>
    </row>
    <row r="38" spans="1:9">
      <c r="F38" s="174">
        <v>2020</v>
      </c>
      <c r="G38" s="174">
        <v>3</v>
      </c>
      <c r="H38" s="175">
        <v>43891</v>
      </c>
      <c r="I38" s="174">
        <v>9.641</v>
      </c>
    </row>
    <row r="39" spans="1:9">
      <c r="F39" s="174">
        <v>2020</v>
      </c>
      <c r="G39" s="174">
        <v>3</v>
      </c>
      <c r="H39" s="175">
        <v>43922</v>
      </c>
      <c r="I39" s="174">
        <v>9.641</v>
      </c>
    </row>
    <row r="40" spans="1:9">
      <c r="F40" s="174">
        <v>2020</v>
      </c>
      <c r="G40" s="174">
        <v>3</v>
      </c>
      <c r="H40" s="175">
        <v>43952</v>
      </c>
      <c r="I40" s="174">
        <v>9.641</v>
      </c>
    </row>
    <row r="41" spans="1:9">
      <c r="F41" s="174">
        <v>2020</v>
      </c>
      <c r="G41" s="174">
        <v>4</v>
      </c>
      <c r="H41" s="175">
        <v>43983</v>
      </c>
      <c r="I41" s="174">
        <v>10.2821265</v>
      </c>
    </row>
    <row r="42" spans="1:9">
      <c r="F42" s="174">
        <v>2020</v>
      </c>
      <c r="G42" s="174">
        <v>4</v>
      </c>
      <c r="H42" s="175">
        <v>44013</v>
      </c>
      <c r="I42" s="174">
        <v>10.2821265</v>
      </c>
    </row>
    <row r="43" spans="1:9">
      <c r="F43" s="174">
        <v>2020</v>
      </c>
      <c r="G43" s="174">
        <v>4</v>
      </c>
      <c r="H43" s="175">
        <v>44044</v>
      </c>
      <c r="I43" s="174">
        <v>10.2821265</v>
      </c>
    </row>
    <row r="44" spans="1:9">
      <c r="F44" s="174">
        <v>2020</v>
      </c>
      <c r="G44" s="174">
        <v>4</v>
      </c>
      <c r="H44" s="175">
        <v>44075</v>
      </c>
      <c r="I44" s="174">
        <v>10.2821265</v>
      </c>
    </row>
    <row r="45" spans="1:9">
      <c r="F45" s="174">
        <v>2020</v>
      </c>
      <c r="G45" s="174">
        <v>4</v>
      </c>
      <c r="H45" s="175">
        <v>44105</v>
      </c>
      <c r="I45" s="174">
        <v>10.2821265</v>
      </c>
    </row>
    <row r="46" spans="1:9">
      <c r="F46" s="174">
        <v>2020</v>
      </c>
      <c r="G46" s="174">
        <v>4</v>
      </c>
      <c r="H46" s="175">
        <v>44136</v>
      </c>
      <c r="I46" s="174">
        <v>10.2821265</v>
      </c>
    </row>
    <row r="47" spans="1:9">
      <c r="F47" s="174">
        <v>2020</v>
      </c>
      <c r="G47" s="174">
        <v>4</v>
      </c>
      <c r="H47" s="175">
        <v>44166</v>
      </c>
      <c r="I47" s="174">
        <v>10.2821265</v>
      </c>
    </row>
    <row r="48" spans="1:9">
      <c r="F48" s="174">
        <v>2021</v>
      </c>
      <c r="G48" s="174">
        <v>4</v>
      </c>
      <c r="H48" s="175">
        <v>44197</v>
      </c>
      <c r="I48" s="174">
        <v>10.2821265</v>
      </c>
    </row>
    <row r="49" spans="6:10">
      <c r="F49" s="174">
        <v>2021</v>
      </c>
      <c r="G49" s="174">
        <v>4</v>
      </c>
      <c r="H49" s="175">
        <v>44228</v>
      </c>
      <c r="I49" s="174">
        <v>10.2821265</v>
      </c>
    </row>
    <row r="50" spans="6:10">
      <c r="F50" s="174">
        <v>2021</v>
      </c>
      <c r="G50" s="174">
        <v>4</v>
      </c>
      <c r="H50" s="175">
        <v>44256</v>
      </c>
      <c r="I50" s="174">
        <v>10.2821265</v>
      </c>
    </row>
    <row r="51" spans="6:10">
      <c r="F51" s="174">
        <v>2021</v>
      </c>
      <c r="G51" s="174">
        <v>4</v>
      </c>
      <c r="H51" s="175">
        <v>44287</v>
      </c>
      <c r="I51" s="174">
        <v>10.2821265</v>
      </c>
    </row>
    <row r="52" spans="6:10">
      <c r="F52" s="174">
        <v>2021</v>
      </c>
      <c r="G52" s="174">
        <v>4</v>
      </c>
      <c r="H52" s="175">
        <v>44317</v>
      </c>
      <c r="I52" s="174">
        <v>10.2821265</v>
      </c>
    </row>
    <row r="53" spans="6:10">
      <c r="F53" s="174">
        <v>2021</v>
      </c>
      <c r="G53" s="174">
        <v>5</v>
      </c>
      <c r="H53" s="175">
        <v>44348</v>
      </c>
      <c r="I53" s="181">
        <v>11.748333333333333</v>
      </c>
      <c r="J53" t="s">
        <v>215</v>
      </c>
    </row>
    <row r="54" spans="6:10">
      <c r="F54" s="174">
        <v>2021</v>
      </c>
      <c r="G54" s="174">
        <v>5</v>
      </c>
      <c r="H54" s="175">
        <v>44378</v>
      </c>
      <c r="I54" s="181">
        <v>11.748333333333333</v>
      </c>
      <c r="J54" t="s">
        <v>215</v>
      </c>
    </row>
    <row r="55" spans="6:10">
      <c r="F55" s="174">
        <v>2021</v>
      </c>
      <c r="G55" s="174">
        <v>5</v>
      </c>
      <c r="H55" s="175">
        <v>44409</v>
      </c>
      <c r="I55" s="181">
        <v>11.748333333333333</v>
      </c>
      <c r="J55" t="s">
        <v>215</v>
      </c>
    </row>
    <row r="56" spans="6:10">
      <c r="F56" s="174">
        <v>2021</v>
      </c>
      <c r="G56" s="174">
        <v>5</v>
      </c>
      <c r="H56" s="175">
        <v>44440</v>
      </c>
      <c r="I56" s="181">
        <v>11.748333333333333</v>
      </c>
      <c r="J56" t="s">
        <v>215</v>
      </c>
    </row>
    <row r="57" spans="6:10">
      <c r="F57" s="174">
        <v>2021</v>
      </c>
      <c r="G57" s="174">
        <v>5</v>
      </c>
      <c r="H57" s="175">
        <v>44470</v>
      </c>
      <c r="I57" s="181">
        <v>11.748333333333333</v>
      </c>
      <c r="J57" t="s">
        <v>215</v>
      </c>
    </row>
    <row r="58" spans="6:10">
      <c r="F58" s="174">
        <v>2021</v>
      </c>
      <c r="G58" s="174">
        <v>5</v>
      </c>
      <c r="H58" s="175">
        <v>44501</v>
      </c>
      <c r="I58" s="181">
        <v>11.748333333333333</v>
      </c>
      <c r="J58" t="s">
        <v>215</v>
      </c>
    </row>
    <row r="59" spans="6:10">
      <c r="F59" s="174">
        <v>2021</v>
      </c>
      <c r="G59" s="174">
        <v>5</v>
      </c>
      <c r="H59" s="175">
        <v>44531</v>
      </c>
      <c r="I59" s="181">
        <v>11.748333333333333</v>
      </c>
      <c r="J59" t="s">
        <v>215</v>
      </c>
    </row>
    <row r="60" spans="6:10">
      <c r="F60" s="174">
        <v>2022</v>
      </c>
      <c r="G60" s="174">
        <v>5</v>
      </c>
      <c r="H60" s="175">
        <v>44562</v>
      </c>
      <c r="I60" s="181">
        <v>11.748333333333333</v>
      </c>
      <c r="J60" t="s">
        <v>215</v>
      </c>
    </row>
    <row r="61" spans="6:10">
      <c r="F61" s="174">
        <v>2022</v>
      </c>
      <c r="G61" s="174">
        <v>5</v>
      </c>
      <c r="H61" s="175">
        <v>44593</v>
      </c>
      <c r="I61" s="181">
        <v>11.748333333333333</v>
      </c>
      <c r="J61" t="s">
        <v>215</v>
      </c>
    </row>
    <row r="62" spans="6:10">
      <c r="F62" s="174">
        <v>2022</v>
      </c>
      <c r="G62" s="174">
        <v>5</v>
      </c>
      <c r="H62" s="175">
        <v>44621</v>
      </c>
      <c r="I62" s="181">
        <v>11.748333333333333</v>
      </c>
      <c r="J62" t="s">
        <v>215</v>
      </c>
    </row>
    <row r="63" spans="6:10">
      <c r="F63" s="174">
        <v>2022</v>
      </c>
      <c r="G63" s="174">
        <v>5</v>
      </c>
      <c r="H63" s="175">
        <v>44652</v>
      </c>
      <c r="I63" s="181">
        <v>11.748333333333333</v>
      </c>
      <c r="J63" t="s">
        <v>215</v>
      </c>
    </row>
    <row r="64" spans="6:10">
      <c r="F64" s="174">
        <v>2022</v>
      </c>
      <c r="G64" s="174">
        <v>5</v>
      </c>
      <c r="H64" s="175">
        <v>44682</v>
      </c>
      <c r="I64" s="181">
        <v>11.748333333333333</v>
      </c>
      <c r="J64" t="s">
        <v>215</v>
      </c>
    </row>
    <row r="65" spans="6:10">
      <c r="F65" s="174">
        <v>2022</v>
      </c>
      <c r="G65" s="174">
        <v>6</v>
      </c>
      <c r="H65" s="175">
        <v>44713</v>
      </c>
      <c r="I65" s="181">
        <v>12.25</v>
      </c>
      <c r="J65" t="s">
        <v>215</v>
      </c>
    </row>
    <row r="66" spans="6:10">
      <c r="F66" s="174">
        <v>2022</v>
      </c>
      <c r="G66" s="174">
        <v>6</v>
      </c>
      <c r="H66" s="175">
        <v>44743</v>
      </c>
      <c r="I66" s="181">
        <v>12.25</v>
      </c>
      <c r="J66" t="s">
        <v>215</v>
      </c>
    </row>
    <row r="67" spans="6:10">
      <c r="F67" s="174">
        <v>2022</v>
      </c>
      <c r="G67" s="174">
        <v>6</v>
      </c>
      <c r="H67" s="175">
        <v>44774</v>
      </c>
      <c r="I67" s="181">
        <v>12.25</v>
      </c>
      <c r="J67" t="s">
        <v>215</v>
      </c>
    </row>
    <row r="68" spans="6:10">
      <c r="F68" s="174">
        <v>2022</v>
      </c>
      <c r="G68" s="174">
        <v>6</v>
      </c>
      <c r="H68" s="175">
        <v>44805</v>
      </c>
      <c r="I68" s="181">
        <v>12.25</v>
      </c>
      <c r="J68" t="s">
        <v>215</v>
      </c>
    </row>
    <row r="69" spans="6:10">
      <c r="F69" s="174">
        <v>2022</v>
      </c>
      <c r="G69" s="174">
        <v>6</v>
      </c>
      <c r="H69" s="175">
        <v>44835</v>
      </c>
      <c r="I69" s="181">
        <v>12.25</v>
      </c>
      <c r="J69" t="s">
        <v>215</v>
      </c>
    </row>
    <row r="70" spans="6:10">
      <c r="F70" s="174">
        <v>2022</v>
      </c>
      <c r="G70" s="174">
        <v>6</v>
      </c>
      <c r="H70" s="175">
        <v>44866</v>
      </c>
      <c r="I70" s="181">
        <v>12.25</v>
      </c>
      <c r="J70" t="s">
        <v>215</v>
      </c>
    </row>
    <row r="71" spans="6:10">
      <c r="F71" s="174">
        <v>2022</v>
      </c>
      <c r="G71" s="174">
        <v>6</v>
      </c>
      <c r="H71" s="175">
        <v>44896</v>
      </c>
      <c r="I71" s="181">
        <v>12.25</v>
      </c>
      <c r="J71" t="s">
        <v>215</v>
      </c>
    </row>
    <row r="72" spans="6:10">
      <c r="F72" s="174">
        <v>2023</v>
      </c>
      <c r="G72" s="174">
        <v>6</v>
      </c>
      <c r="H72" s="175">
        <v>44927</v>
      </c>
      <c r="I72" s="181">
        <v>12.25</v>
      </c>
      <c r="J72" t="s">
        <v>215</v>
      </c>
    </row>
    <row r="73" spans="6:10">
      <c r="F73" s="174">
        <v>2023</v>
      </c>
      <c r="G73" s="174">
        <v>6</v>
      </c>
      <c r="H73" s="175">
        <v>44958</v>
      </c>
      <c r="I73" s="181">
        <v>12.25</v>
      </c>
      <c r="J73" t="s">
        <v>215</v>
      </c>
    </row>
    <row r="74" spans="6:10">
      <c r="F74" s="174">
        <v>2023</v>
      </c>
      <c r="G74" s="174">
        <v>6</v>
      </c>
      <c r="H74" s="175">
        <v>44986</v>
      </c>
      <c r="I74" s="181">
        <v>12.25</v>
      </c>
      <c r="J74" t="s">
        <v>215</v>
      </c>
    </row>
    <row r="75" spans="6:10">
      <c r="F75" s="174">
        <v>2023</v>
      </c>
      <c r="G75" s="174">
        <v>6</v>
      </c>
      <c r="H75" s="175">
        <v>45017</v>
      </c>
      <c r="I75" s="181">
        <v>12.25</v>
      </c>
      <c r="J75" t="s">
        <v>215</v>
      </c>
    </row>
    <row r="76" spans="6:10">
      <c r="F76" s="174">
        <v>2023</v>
      </c>
      <c r="G76" s="174">
        <v>6</v>
      </c>
      <c r="H76" s="175">
        <v>45047</v>
      </c>
      <c r="I76" s="181">
        <v>12.25</v>
      </c>
      <c r="J76" t="s">
        <v>215</v>
      </c>
    </row>
    <row r="77" spans="6:10">
      <c r="F77" s="174">
        <v>2023</v>
      </c>
      <c r="G77" s="174">
        <v>7</v>
      </c>
      <c r="H77" s="175">
        <v>45078</v>
      </c>
      <c r="I77" s="181">
        <v>13</v>
      </c>
      <c r="J77" t="s">
        <v>215</v>
      </c>
    </row>
    <row r="78" spans="6:10">
      <c r="F78" s="174">
        <v>2023</v>
      </c>
      <c r="G78" s="174">
        <v>7</v>
      </c>
      <c r="H78" s="175">
        <v>45108</v>
      </c>
      <c r="I78" s="181">
        <v>13</v>
      </c>
      <c r="J78" t="s">
        <v>215</v>
      </c>
    </row>
    <row r="79" spans="6:10">
      <c r="F79" s="174">
        <v>2023</v>
      </c>
      <c r="G79" s="174">
        <v>7</v>
      </c>
      <c r="H79" s="175">
        <v>45139</v>
      </c>
      <c r="I79" s="181">
        <v>13</v>
      </c>
      <c r="J79" t="s">
        <v>215</v>
      </c>
    </row>
    <row r="80" spans="6:10">
      <c r="F80" s="174">
        <v>2023</v>
      </c>
      <c r="G80" s="174">
        <v>7</v>
      </c>
      <c r="H80" s="175">
        <v>45170</v>
      </c>
      <c r="I80" s="181">
        <v>13</v>
      </c>
      <c r="J80" t="s">
        <v>215</v>
      </c>
    </row>
    <row r="81" spans="6:10">
      <c r="F81" s="174">
        <v>2023</v>
      </c>
      <c r="G81" s="174">
        <v>7</v>
      </c>
      <c r="H81" s="175">
        <v>45200</v>
      </c>
      <c r="I81" s="181">
        <v>13</v>
      </c>
      <c r="J81" t="s">
        <v>215</v>
      </c>
    </row>
    <row r="82" spans="6:10">
      <c r="F82" s="174">
        <v>2023</v>
      </c>
      <c r="G82" s="174">
        <v>7</v>
      </c>
      <c r="H82" s="175">
        <v>45231</v>
      </c>
      <c r="I82" s="181">
        <v>13</v>
      </c>
      <c r="J82" t="s">
        <v>215</v>
      </c>
    </row>
    <row r="83" spans="6:10">
      <c r="F83" s="174">
        <v>2023</v>
      </c>
      <c r="G83" s="174">
        <v>7</v>
      </c>
      <c r="H83" s="175">
        <v>45261</v>
      </c>
      <c r="I83" s="181">
        <v>13</v>
      </c>
      <c r="J83" t="s">
        <v>215</v>
      </c>
    </row>
    <row r="84" spans="6:10">
      <c r="F84" s="174">
        <v>2024</v>
      </c>
      <c r="G84" s="174">
        <v>7</v>
      </c>
      <c r="H84" s="175">
        <v>45292</v>
      </c>
      <c r="I84" s="181">
        <v>13</v>
      </c>
      <c r="J84" t="s">
        <v>215</v>
      </c>
    </row>
    <row r="85" spans="6:10">
      <c r="F85" s="174">
        <v>2024</v>
      </c>
      <c r="G85" s="174">
        <v>7</v>
      </c>
      <c r="H85" s="175">
        <v>45323</v>
      </c>
      <c r="I85" s="181">
        <v>13</v>
      </c>
      <c r="J85" t="s">
        <v>215</v>
      </c>
    </row>
    <row r="86" spans="6:10">
      <c r="F86" s="174">
        <v>2024</v>
      </c>
      <c r="G86" s="174">
        <v>7</v>
      </c>
      <c r="H86" s="175">
        <v>45352</v>
      </c>
      <c r="I86" s="181">
        <v>13</v>
      </c>
      <c r="J86" t="s">
        <v>215</v>
      </c>
    </row>
    <row r="87" spans="6:10">
      <c r="F87" s="174">
        <v>2024</v>
      </c>
      <c r="G87" s="174">
        <v>7</v>
      </c>
      <c r="H87" s="175">
        <v>45383</v>
      </c>
      <c r="I87" s="181">
        <v>13</v>
      </c>
      <c r="J87" t="s">
        <v>215</v>
      </c>
    </row>
    <row r="88" spans="6:10">
      <c r="F88" s="174">
        <v>2024</v>
      </c>
      <c r="G88" s="174">
        <v>7</v>
      </c>
      <c r="H88" s="175">
        <v>45413</v>
      </c>
      <c r="I88" s="181">
        <v>13</v>
      </c>
      <c r="J88" t="s">
        <v>215</v>
      </c>
    </row>
    <row r="89" spans="6:10">
      <c r="F89" s="174">
        <v>2024</v>
      </c>
      <c r="G89" s="174">
        <v>8</v>
      </c>
      <c r="H89" s="175">
        <v>45444</v>
      </c>
      <c r="I89" s="181">
        <v>13.916666666666666</v>
      </c>
      <c r="J89" t="s">
        <v>215</v>
      </c>
    </row>
    <row r="90" spans="6:10">
      <c r="F90" s="174">
        <v>2024</v>
      </c>
      <c r="G90" s="174">
        <v>8</v>
      </c>
      <c r="H90" s="175">
        <v>45474</v>
      </c>
      <c r="I90" s="181">
        <v>13.916666666666666</v>
      </c>
      <c r="J90" t="s">
        <v>215</v>
      </c>
    </row>
    <row r="91" spans="6:10">
      <c r="F91" s="174">
        <v>2024</v>
      </c>
      <c r="G91" s="174">
        <v>8</v>
      </c>
      <c r="H91" s="175">
        <v>45505</v>
      </c>
      <c r="I91" s="181">
        <v>13.916666666666666</v>
      </c>
      <c r="J91" t="s">
        <v>215</v>
      </c>
    </row>
    <row r="92" spans="6:10">
      <c r="F92" s="174">
        <v>2024</v>
      </c>
      <c r="G92" s="174">
        <v>8</v>
      </c>
      <c r="H92" s="175">
        <v>45536</v>
      </c>
      <c r="I92" s="181">
        <v>13.916666666666666</v>
      </c>
      <c r="J92" t="s">
        <v>215</v>
      </c>
    </row>
    <row r="93" spans="6:10">
      <c r="F93" s="174">
        <v>2024</v>
      </c>
      <c r="G93" s="174">
        <v>8</v>
      </c>
      <c r="H93" s="175">
        <v>45566</v>
      </c>
      <c r="I93" s="181">
        <v>13.916666666666666</v>
      </c>
      <c r="J93" t="s">
        <v>215</v>
      </c>
    </row>
    <row r="94" spans="6:10">
      <c r="F94" s="174">
        <v>2024</v>
      </c>
      <c r="G94" s="174">
        <v>8</v>
      </c>
      <c r="H94" s="175">
        <v>45597</v>
      </c>
      <c r="I94" s="181">
        <v>13.916666666666666</v>
      </c>
      <c r="J94" t="s">
        <v>215</v>
      </c>
    </row>
    <row r="95" spans="6:10">
      <c r="F95" s="174">
        <v>2024</v>
      </c>
      <c r="G95" s="174">
        <v>8</v>
      </c>
      <c r="H95" s="175">
        <v>45627</v>
      </c>
      <c r="I95" s="181">
        <v>13.916666666666666</v>
      </c>
      <c r="J95" t="s">
        <v>215</v>
      </c>
    </row>
    <row r="96" spans="6:10">
      <c r="F96" s="174">
        <v>2025</v>
      </c>
      <c r="G96" s="174">
        <v>8</v>
      </c>
      <c r="H96" s="175">
        <v>45658</v>
      </c>
      <c r="I96" s="181">
        <v>13.916666666666666</v>
      </c>
      <c r="J96" t="s">
        <v>215</v>
      </c>
    </row>
    <row r="97" spans="6:10">
      <c r="F97" s="174">
        <v>2025</v>
      </c>
      <c r="G97" s="174">
        <v>8</v>
      </c>
      <c r="H97" s="175">
        <v>45689</v>
      </c>
      <c r="I97" s="181">
        <v>13.916666666666666</v>
      </c>
      <c r="J97" t="s">
        <v>215</v>
      </c>
    </row>
    <row r="98" spans="6:10">
      <c r="F98" s="174">
        <v>2025</v>
      </c>
      <c r="G98" s="174">
        <v>8</v>
      </c>
      <c r="H98" s="175">
        <v>45717</v>
      </c>
      <c r="I98" s="181">
        <v>13.916666666666666</v>
      </c>
      <c r="J98" t="s">
        <v>215</v>
      </c>
    </row>
    <row r="99" spans="6:10">
      <c r="F99" s="174">
        <v>2025</v>
      </c>
      <c r="G99" s="174">
        <v>8</v>
      </c>
      <c r="H99" s="175">
        <v>45748</v>
      </c>
      <c r="I99" s="181">
        <v>13.916666666666666</v>
      </c>
      <c r="J99" t="s">
        <v>215</v>
      </c>
    </row>
    <row r="100" spans="6:10">
      <c r="F100" s="174">
        <v>2025</v>
      </c>
      <c r="G100" s="174">
        <v>8</v>
      </c>
      <c r="H100" s="175">
        <v>45778</v>
      </c>
      <c r="I100" s="181">
        <v>13.916666666666666</v>
      </c>
      <c r="J100" t="s">
        <v>215</v>
      </c>
    </row>
    <row r="101" spans="6:10">
      <c r="F101" s="174">
        <v>2025</v>
      </c>
      <c r="G101" s="174">
        <v>9</v>
      </c>
      <c r="H101" s="175">
        <v>45809</v>
      </c>
      <c r="I101" s="181">
        <v>14.195</v>
      </c>
      <c r="J101" t="s">
        <v>215</v>
      </c>
    </row>
    <row r="102" spans="6:10">
      <c r="F102" s="174">
        <v>2025</v>
      </c>
      <c r="G102" s="174">
        <v>9</v>
      </c>
      <c r="H102" s="175">
        <v>45839</v>
      </c>
      <c r="I102" s="181">
        <v>14.195</v>
      </c>
      <c r="J102" t="s">
        <v>215</v>
      </c>
    </row>
    <row r="103" spans="6:10">
      <c r="F103" s="174">
        <v>2025</v>
      </c>
      <c r="G103" s="174">
        <v>9</v>
      </c>
      <c r="H103" s="175">
        <v>45870</v>
      </c>
      <c r="I103" s="181">
        <v>14.195</v>
      </c>
      <c r="J103" t="s">
        <v>215</v>
      </c>
    </row>
    <row r="104" spans="6:10">
      <c r="F104" s="174">
        <v>2025</v>
      </c>
      <c r="G104" s="174">
        <v>9</v>
      </c>
      <c r="H104" s="175">
        <v>45901</v>
      </c>
      <c r="I104" s="181">
        <v>14.195</v>
      </c>
      <c r="J104" t="s">
        <v>215</v>
      </c>
    </row>
    <row r="105" spans="6:10">
      <c r="F105" s="174">
        <v>2025</v>
      </c>
      <c r="G105" s="174">
        <v>9</v>
      </c>
      <c r="H105" s="175">
        <v>45931</v>
      </c>
      <c r="I105" s="181">
        <v>14.195</v>
      </c>
      <c r="J105" t="s">
        <v>215</v>
      </c>
    </row>
    <row r="106" spans="6:10">
      <c r="F106" s="174">
        <v>2025</v>
      </c>
      <c r="G106" s="174">
        <v>9</v>
      </c>
      <c r="H106" s="175">
        <v>45962</v>
      </c>
      <c r="I106" s="181">
        <v>14.195</v>
      </c>
      <c r="J106" t="s">
        <v>215</v>
      </c>
    </row>
    <row r="107" spans="6:10">
      <c r="F107" s="174">
        <v>2025</v>
      </c>
      <c r="G107" s="174">
        <v>9</v>
      </c>
      <c r="H107" s="175">
        <v>45992</v>
      </c>
      <c r="I107" s="181">
        <v>14.195</v>
      </c>
      <c r="J107" t="s">
        <v>215</v>
      </c>
    </row>
    <row r="108" spans="6:10">
      <c r="F108" s="174">
        <v>2026</v>
      </c>
      <c r="G108" s="174">
        <v>9</v>
      </c>
      <c r="H108" s="175">
        <v>46023</v>
      </c>
      <c r="I108" s="181">
        <v>14.195</v>
      </c>
      <c r="J108" t="s">
        <v>215</v>
      </c>
    </row>
    <row r="109" spans="6:10">
      <c r="F109" s="174">
        <v>2026</v>
      </c>
      <c r="G109" s="174">
        <v>9</v>
      </c>
      <c r="H109" s="175">
        <v>46054</v>
      </c>
      <c r="I109" s="181">
        <v>14.195</v>
      </c>
      <c r="J109" t="s">
        <v>215</v>
      </c>
    </row>
    <row r="110" spans="6:10">
      <c r="F110" s="174">
        <v>2026</v>
      </c>
      <c r="G110" s="174">
        <v>9</v>
      </c>
      <c r="H110" s="175">
        <v>46082</v>
      </c>
      <c r="I110" s="181">
        <v>14.195</v>
      </c>
      <c r="J110" t="s">
        <v>215</v>
      </c>
    </row>
    <row r="111" spans="6:10">
      <c r="F111" s="174">
        <v>2026</v>
      </c>
      <c r="G111" s="174">
        <v>9</v>
      </c>
      <c r="H111" s="175">
        <v>46113</v>
      </c>
      <c r="I111" s="181">
        <v>14.195</v>
      </c>
      <c r="J111" t="s">
        <v>215</v>
      </c>
    </row>
    <row r="112" spans="6:10">
      <c r="F112" s="174">
        <v>2026</v>
      </c>
      <c r="G112" s="174">
        <v>9</v>
      </c>
      <c r="H112" s="175">
        <v>46143</v>
      </c>
      <c r="I112" s="181">
        <v>14.195</v>
      </c>
      <c r="J112" t="s">
        <v>215</v>
      </c>
    </row>
    <row r="113" spans="6:10">
      <c r="F113" s="174">
        <v>2026</v>
      </c>
      <c r="G113" s="174">
        <v>10</v>
      </c>
      <c r="H113" s="175">
        <v>46174</v>
      </c>
      <c r="I113" s="181">
        <v>14.478900000000001</v>
      </c>
      <c r="J113" t="s">
        <v>215</v>
      </c>
    </row>
    <row r="114" spans="6:10">
      <c r="F114" s="174">
        <v>2026</v>
      </c>
      <c r="G114" s="174">
        <v>10</v>
      </c>
      <c r="H114" s="175">
        <v>46204</v>
      </c>
      <c r="I114" s="181">
        <v>14.478900000000001</v>
      </c>
      <c r="J114" t="s">
        <v>215</v>
      </c>
    </row>
    <row r="115" spans="6:10">
      <c r="F115" s="174">
        <v>2026</v>
      </c>
      <c r="G115" s="174">
        <v>10</v>
      </c>
      <c r="H115" s="175">
        <v>46235</v>
      </c>
      <c r="I115" s="181">
        <v>14.478900000000001</v>
      </c>
      <c r="J115" t="s">
        <v>215</v>
      </c>
    </row>
    <row r="116" spans="6:10">
      <c r="F116" s="174">
        <v>2026</v>
      </c>
      <c r="G116" s="174">
        <v>10</v>
      </c>
      <c r="H116" s="175">
        <v>46266</v>
      </c>
      <c r="I116" s="181">
        <v>14.478900000000001</v>
      </c>
      <c r="J116" t="s">
        <v>215</v>
      </c>
    </row>
    <row r="117" spans="6:10">
      <c r="F117" s="174">
        <v>2026</v>
      </c>
      <c r="G117" s="174">
        <v>10</v>
      </c>
      <c r="H117" s="175">
        <v>46296</v>
      </c>
      <c r="I117" s="181">
        <v>14.478900000000001</v>
      </c>
      <c r="J117" t="s">
        <v>215</v>
      </c>
    </row>
    <row r="118" spans="6:10">
      <c r="F118" s="174">
        <v>2026</v>
      </c>
      <c r="G118" s="174">
        <v>10</v>
      </c>
      <c r="H118" s="175">
        <v>46327</v>
      </c>
      <c r="I118" s="181">
        <v>14.478900000000001</v>
      </c>
      <c r="J118" t="s">
        <v>215</v>
      </c>
    </row>
    <row r="119" spans="6:10">
      <c r="F119" s="174">
        <v>2026</v>
      </c>
      <c r="G119" s="174">
        <v>10</v>
      </c>
      <c r="H119" s="175">
        <v>46357</v>
      </c>
      <c r="I119" s="181">
        <v>14.478900000000001</v>
      </c>
      <c r="J119" t="s">
        <v>215</v>
      </c>
    </row>
    <row r="120" spans="6:10">
      <c r="F120" s="174">
        <v>2027</v>
      </c>
      <c r="G120" s="174">
        <v>10</v>
      </c>
      <c r="H120" s="175">
        <v>46388</v>
      </c>
      <c r="I120" s="181">
        <v>14.478900000000001</v>
      </c>
      <c r="J120" t="s">
        <v>215</v>
      </c>
    </row>
    <row r="121" spans="6:10">
      <c r="F121" s="174">
        <v>2027</v>
      </c>
      <c r="G121" s="174">
        <v>10</v>
      </c>
      <c r="H121" s="175">
        <v>46419</v>
      </c>
      <c r="I121" s="181">
        <v>14.478900000000001</v>
      </c>
      <c r="J121" t="s">
        <v>215</v>
      </c>
    </row>
    <row r="122" spans="6:10">
      <c r="F122" s="174">
        <v>2027</v>
      </c>
      <c r="G122" s="174">
        <v>10</v>
      </c>
      <c r="H122" s="175">
        <v>46447</v>
      </c>
      <c r="I122" s="181">
        <v>14.478900000000001</v>
      </c>
      <c r="J122" t="s">
        <v>215</v>
      </c>
    </row>
    <row r="123" spans="6:10">
      <c r="F123" s="174">
        <v>2027</v>
      </c>
      <c r="G123" s="174">
        <v>10</v>
      </c>
      <c r="H123" s="175">
        <v>46478</v>
      </c>
      <c r="I123" s="181">
        <v>14.478900000000001</v>
      </c>
      <c r="J123" t="s">
        <v>215</v>
      </c>
    </row>
    <row r="124" spans="6:10">
      <c r="F124" s="174">
        <v>2027</v>
      </c>
      <c r="G124" s="174">
        <v>10</v>
      </c>
      <c r="H124" s="175">
        <v>46508</v>
      </c>
      <c r="I124" s="181">
        <v>14.478900000000001</v>
      </c>
      <c r="J124" t="s">
        <v>215</v>
      </c>
    </row>
    <row r="125" spans="6:10">
      <c r="F125" s="174">
        <v>2027</v>
      </c>
      <c r="G125" s="174">
        <v>11</v>
      </c>
      <c r="H125" s="175">
        <v>46539</v>
      </c>
      <c r="I125" s="181">
        <v>14.768478000000002</v>
      </c>
      <c r="J125" t="s">
        <v>215</v>
      </c>
    </row>
    <row r="126" spans="6:10">
      <c r="F126" s="174">
        <v>2027</v>
      </c>
      <c r="G126" s="174">
        <v>11</v>
      </c>
      <c r="H126" s="175">
        <v>46569</v>
      </c>
      <c r="I126" s="181">
        <v>14.768478000000002</v>
      </c>
      <c r="J126" t="s">
        <v>215</v>
      </c>
    </row>
    <row r="127" spans="6:10">
      <c r="F127" s="174">
        <v>2027</v>
      </c>
      <c r="G127" s="174">
        <v>11</v>
      </c>
      <c r="H127" s="175">
        <v>46600</v>
      </c>
      <c r="I127" s="181">
        <v>14.768478000000002</v>
      </c>
      <c r="J127" t="s">
        <v>215</v>
      </c>
    </row>
    <row r="128" spans="6:10">
      <c r="F128" s="174">
        <v>2027</v>
      </c>
      <c r="G128" s="174">
        <v>11</v>
      </c>
      <c r="H128" s="175">
        <v>46631</v>
      </c>
      <c r="I128" s="181">
        <v>14.768478000000002</v>
      </c>
      <c r="J128" t="s">
        <v>215</v>
      </c>
    </row>
    <row r="129" spans="6:10">
      <c r="F129" s="174">
        <v>2027</v>
      </c>
      <c r="G129" s="174">
        <v>11</v>
      </c>
      <c r="H129" s="175">
        <v>46661</v>
      </c>
      <c r="I129" s="181">
        <v>14.768478000000002</v>
      </c>
      <c r="J129" t="s">
        <v>215</v>
      </c>
    </row>
    <row r="130" spans="6:10">
      <c r="F130" s="174">
        <v>2027</v>
      </c>
      <c r="G130" s="174">
        <v>11</v>
      </c>
      <c r="H130" s="175">
        <v>46692</v>
      </c>
      <c r="I130" s="181">
        <v>14.768478000000002</v>
      </c>
      <c r="J130" t="s">
        <v>215</v>
      </c>
    </row>
    <row r="131" spans="6:10">
      <c r="F131" s="174">
        <v>2027</v>
      </c>
      <c r="G131" s="174">
        <v>11</v>
      </c>
      <c r="H131" s="175">
        <v>46722</v>
      </c>
      <c r="I131" s="181">
        <v>14.768478000000002</v>
      </c>
      <c r="J131" t="s">
        <v>215</v>
      </c>
    </row>
    <row r="132" spans="6:10">
      <c r="F132" s="174">
        <v>2028</v>
      </c>
      <c r="G132" s="174">
        <v>11</v>
      </c>
      <c r="H132" s="175">
        <v>46753</v>
      </c>
      <c r="I132" s="181">
        <v>14.768478000000002</v>
      </c>
      <c r="J132" t="s">
        <v>215</v>
      </c>
    </row>
    <row r="133" spans="6:10">
      <c r="F133" s="174">
        <v>2028</v>
      </c>
      <c r="G133" s="174">
        <v>11</v>
      </c>
      <c r="H133" s="175">
        <v>46784</v>
      </c>
      <c r="I133" s="181">
        <v>14.768478000000002</v>
      </c>
      <c r="J133" t="s">
        <v>215</v>
      </c>
    </row>
    <row r="134" spans="6:10">
      <c r="F134" s="174">
        <v>2028</v>
      </c>
      <c r="G134" s="174">
        <v>11</v>
      </c>
      <c r="H134" s="175">
        <v>46813</v>
      </c>
      <c r="I134" s="181">
        <v>14.768478000000002</v>
      </c>
      <c r="J134" t="s">
        <v>215</v>
      </c>
    </row>
    <row r="135" spans="6:10">
      <c r="F135" s="174">
        <v>2028</v>
      </c>
      <c r="G135" s="174">
        <v>11</v>
      </c>
      <c r="H135" s="175">
        <v>46844</v>
      </c>
      <c r="I135" s="181">
        <v>14.768478000000002</v>
      </c>
      <c r="J135" t="s">
        <v>215</v>
      </c>
    </row>
    <row r="136" spans="6:10">
      <c r="F136" s="174">
        <v>2028</v>
      </c>
      <c r="G136" s="174">
        <v>11</v>
      </c>
      <c r="H136" s="175">
        <v>46874</v>
      </c>
      <c r="I136" s="181">
        <v>14.768478000000002</v>
      </c>
      <c r="J136" t="s">
        <v>215</v>
      </c>
    </row>
    <row r="137" spans="6:10">
      <c r="F137" s="174">
        <v>2028</v>
      </c>
      <c r="G137" s="174">
        <v>12</v>
      </c>
      <c r="H137" s="175">
        <v>46905</v>
      </c>
      <c r="I137" s="181">
        <v>15.063847560000001</v>
      </c>
      <c r="J137" t="s">
        <v>215</v>
      </c>
    </row>
    <row r="138" spans="6:10">
      <c r="F138" s="174">
        <v>2028</v>
      </c>
      <c r="G138" s="174">
        <v>12</v>
      </c>
      <c r="H138" s="175">
        <v>46935</v>
      </c>
      <c r="I138" s="181">
        <v>15.063847560000001</v>
      </c>
      <c r="J138" t="s">
        <v>215</v>
      </c>
    </row>
    <row r="139" spans="6:10">
      <c r="F139" s="174">
        <v>2028</v>
      </c>
      <c r="G139" s="174">
        <v>12</v>
      </c>
      <c r="H139" s="175">
        <v>46966</v>
      </c>
      <c r="I139" s="181">
        <v>15.063847560000001</v>
      </c>
      <c r="J139" t="s">
        <v>215</v>
      </c>
    </row>
    <row r="140" spans="6:10">
      <c r="F140" s="174">
        <v>2028</v>
      </c>
      <c r="G140" s="174">
        <v>12</v>
      </c>
      <c r="H140" s="175">
        <v>46997</v>
      </c>
      <c r="I140" s="181">
        <v>15.063847560000001</v>
      </c>
      <c r="J140" t="s">
        <v>215</v>
      </c>
    </row>
    <row r="141" spans="6:10">
      <c r="F141" s="174">
        <v>2028</v>
      </c>
      <c r="G141" s="174">
        <v>12</v>
      </c>
      <c r="H141" s="175">
        <v>47027</v>
      </c>
      <c r="I141" s="181">
        <v>15.063847560000001</v>
      </c>
      <c r="J141" t="s">
        <v>215</v>
      </c>
    </row>
    <row r="142" spans="6:10">
      <c r="F142" s="174">
        <v>2028</v>
      </c>
      <c r="G142" s="174">
        <v>12</v>
      </c>
      <c r="H142" s="175">
        <v>47058</v>
      </c>
      <c r="I142" s="181">
        <v>15.063847560000001</v>
      </c>
      <c r="J142" t="s">
        <v>215</v>
      </c>
    </row>
    <row r="143" spans="6:10">
      <c r="F143" s="174">
        <v>2028</v>
      </c>
      <c r="G143" s="174">
        <v>12</v>
      </c>
      <c r="H143" s="175">
        <v>47088</v>
      </c>
      <c r="I143" s="181">
        <v>15.063847560000001</v>
      </c>
      <c r="J143" t="s">
        <v>215</v>
      </c>
    </row>
    <row r="144" spans="6:10">
      <c r="F144" s="174">
        <v>2029</v>
      </c>
      <c r="G144" s="174">
        <v>12</v>
      </c>
      <c r="H144" s="175">
        <v>47119</v>
      </c>
      <c r="I144" s="181">
        <v>15.063847560000001</v>
      </c>
      <c r="J144" t="s">
        <v>215</v>
      </c>
    </row>
    <row r="145" spans="6:10">
      <c r="F145" s="174">
        <v>2029</v>
      </c>
      <c r="G145" s="174">
        <v>12</v>
      </c>
      <c r="H145" s="175">
        <v>47150</v>
      </c>
      <c r="I145" s="181">
        <v>15.063847560000001</v>
      </c>
      <c r="J145" t="s">
        <v>215</v>
      </c>
    </row>
    <row r="146" spans="6:10">
      <c r="F146" s="174">
        <v>2029</v>
      </c>
      <c r="G146" s="174">
        <v>12</v>
      </c>
      <c r="H146" s="175">
        <v>47178</v>
      </c>
      <c r="I146" s="181">
        <v>15.063847560000001</v>
      </c>
      <c r="J146" t="s">
        <v>215</v>
      </c>
    </row>
    <row r="147" spans="6:10">
      <c r="F147" s="174">
        <v>2029</v>
      </c>
      <c r="G147" s="174">
        <v>12</v>
      </c>
      <c r="H147" s="175">
        <v>47209</v>
      </c>
      <c r="I147" s="181">
        <v>15.063847560000001</v>
      </c>
      <c r="J147" t="s">
        <v>215</v>
      </c>
    </row>
    <row r="148" spans="6:10">
      <c r="F148" s="174">
        <v>2029</v>
      </c>
      <c r="G148" s="174">
        <v>12</v>
      </c>
      <c r="H148" s="175">
        <v>47239</v>
      </c>
      <c r="I148" s="181">
        <v>15.063847560000001</v>
      </c>
      <c r="J148" t="s">
        <v>215</v>
      </c>
    </row>
    <row r="149" spans="6:10">
      <c r="F149" s="174">
        <v>2029</v>
      </c>
      <c r="G149" s="174">
        <v>13</v>
      </c>
      <c r="H149" s="175">
        <v>47270</v>
      </c>
      <c r="I149" s="181">
        <v>15.365124511200001</v>
      </c>
      <c r="J149" t="s">
        <v>215</v>
      </c>
    </row>
    <row r="150" spans="6:10">
      <c r="F150" s="174">
        <v>2029</v>
      </c>
      <c r="G150" s="174">
        <v>13</v>
      </c>
      <c r="H150" s="175">
        <v>47300</v>
      </c>
      <c r="I150" s="181">
        <v>15.365124511200001</v>
      </c>
      <c r="J150" t="s">
        <v>215</v>
      </c>
    </row>
    <row r="151" spans="6:10">
      <c r="F151" s="174">
        <v>2029</v>
      </c>
      <c r="G151" s="174">
        <v>13</v>
      </c>
      <c r="H151" s="175">
        <v>47331</v>
      </c>
      <c r="I151" s="181">
        <v>15.365124511200001</v>
      </c>
      <c r="J151" t="s">
        <v>215</v>
      </c>
    </row>
    <row r="152" spans="6:10">
      <c r="F152" s="174">
        <v>2029</v>
      </c>
      <c r="G152" s="174">
        <v>13</v>
      </c>
      <c r="H152" s="175">
        <v>47362</v>
      </c>
      <c r="I152" s="181">
        <v>15.365124511200001</v>
      </c>
      <c r="J152" t="s">
        <v>215</v>
      </c>
    </row>
    <row r="153" spans="6:10">
      <c r="F153" s="174">
        <v>2029</v>
      </c>
      <c r="G153" s="174">
        <v>13</v>
      </c>
      <c r="H153" s="175">
        <v>47392</v>
      </c>
      <c r="I153" s="181">
        <v>15.365124511200001</v>
      </c>
      <c r="J153" t="s">
        <v>215</v>
      </c>
    </row>
    <row r="154" spans="6:10">
      <c r="F154" s="174">
        <v>2029</v>
      </c>
      <c r="G154" s="174">
        <v>13</v>
      </c>
      <c r="H154" s="175">
        <v>47423</v>
      </c>
      <c r="I154" s="181">
        <v>15.365124511200001</v>
      </c>
      <c r="J154" t="s">
        <v>215</v>
      </c>
    </row>
    <row r="155" spans="6:10">
      <c r="F155" s="174">
        <v>2029</v>
      </c>
      <c r="G155" s="174">
        <v>13</v>
      </c>
      <c r="H155" s="175">
        <v>47453</v>
      </c>
      <c r="I155" s="181">
        <v>15.365124511200001</v>
      </c>
      <c r="J155" t="s">
        <v>215</v>
      </c>
    </row>
    <row r="156" spans="6:10">
      <c r="F156" s="174">
        <v>2030</v>
      </c>
      <c r="G156" s="174">
        <v>13</v>
      </c>
      <c r="H156" s="175">
        <v>47484</v>
      </c>
      <c r="I156" s="181">
        <v>15.365124511200001</v>
      </c>
      <c r="J156" t="s">
        <v>215</v>
      </c>
    </row>
    <row r="157" spans="6:10">
      <c r="F157" s="174">
        <v>2030</v>
      </c>
      <c r="G157" s="174">
        <v>13</v>
      </c>
      <c r="H157" s="175">
        <v>47515</v>
      </c>
      <c r="I157" s="181">
        <v>15.365124511200001</v>
      </c>
      <c r="J157" t="s">
        <v>215</v>
      </c>
    </row>
    <row r="158" spans="6:10">
      <c r="F158" s="174">
        <v>2030</v>
      </c>
      <c r="G158" s="174">
        <v>13</v>
      </c>
      <c r="H158" s="175">
        <v>47543</v>
      </c>
      <c r="I158" s="181">
        <v>15.365124511200001</v>
      </c>
      <c r="J158" t="s">
        <v>215</v>
      </c>
    </row>
    <row r="159" spans="6:10">
      <c r="F159" s="174">
        <v>2030</v>
      </c>
      <c r="G159" s="174">
        <v>13</v>
      </c>
      <c r="H159" s="175">
        <v>47574</v>
      </c>
      <c r="I159" s="181">
        <v>15.365124511200001</v>
      </c>
      <c r="J159" t="s">
        <v>215</v>
      </c>
    </row>
    <row r="160" spans="6:10">
      <c r="F160" s="174">
        <v>2030</v>
      </c>
      <c r="G160" s="174">
        <v>13</v>
      </c>
      <c r="H160" s="175">
        <v>47604</v>
      </c>
      <c r="I160" s="181">
        <v>15.365124511200001</v>
      </c>
      <c r="J160" t="s">
        <v>215</v>
      </c>
    </row>
    <row r="161" spans="6:10">
      <c r="F161" s="174">
        <v>2030</v>
      </c>
      <c r="G161" s="174">
        <v>14</v>
      </c>
      <c r="H161" s="175">
        <v>47635</v>
      </c>
      <c r="I161" s="181">
        <v>15.672427001424003</v>
      </c>
      <c r="J161" t="s">
        <v>215</v>
      </c>
    </row>
    <row r="162" spans="6:10">
      <c r="F162" s="174">
        <v>2030</v>
      </c>
      <c r="G162" s="174">
        <v>14</v>
      </c>
      <c r="H162" s="175">
        <v>47665</v>
      </c>
      <c r="I162" s="181">
        <v>15.672427001424003</v>
      </c>
      <c r="J162" t="s">
        <v>215</v>
      </c>
    </row>
    <row r="163" spans="6:10">
      <c r="F163" s="174">
        <v>2030</v>
      </c>
      <c r="G163" s="174">
        <v>14</v>
      </c>
      <c r="H163" s="175">
        <v>47696</v>
      </c>
      <c r="I163" s="181">
        <v>15.672427001424003</v>
      </c>
      <c r="J163" t="s">
        <v>215</v>
      </c>
    </row>
    <row r="164" spans="6:10">
      <c r="F164" s="174">
        <v>2030</v>
      </c>
      <c r="G164" s="174">
        <v>14</v>
      </c>
      <c r="H164" s="175">
        <v>47727</v>
      </c>
      <c r="I164" s="181">
        <v>15.672427001424003</v>
      </c>
      <c r="J164" t="s">
        <v>215</v>
      </c>
    </row>
    <row r="165" spans="6:10">
      <c r="F165" s="174">
        <v>2030</v>
      </c>
      <c r="G165" s="174">
        <v>14</v>
      </c>
      <c r="H165" s="175">
        <v>47757</v>
      </c>
      <c r="I165" s="181">
        <v>15.672427001424003</v>
      </c>
      <c r="J165" t="s">
        <v>215</v>
      </c>
    </row>
    <row r="166" spans="6:10">
      <c r="F166" s="174">
        <v>2030</v>
      </c>
      <c r="G166" s="174">
        <v>14</v>
      </c>
      <c r="H166" s="175">
        <v>47788</v>
      </c>
      <c r="I166" s="181">
        <v>15.672427001424003</v>
      </c>
      <c r="J166" t="s">
        <v>215</v>
      </c>
    </row>
    <row r="167" spans="6:10">
      <c r="F167" s="174">
        <v>2030</v>
      </c>
      <c r="G167" s="174">
        <v>14</v>
      </c>
      <c r="H167" s="175">
        <v>47818</v>
      </c>
      <c r="I167" s="181">
        <v>15.672427001424003</v>
      </c>
      <c r="J167" t="s">
        <v>215</v>
      </c>
    </row>
    <row r="168" spans="6:10">
      <c r="F168" s="174">
        <v>2031</v>
      </c>
      <c r="G168" s="174">
        <v>14</v>
      </c>
      <c r="H168" s="175">
        <v>47849</v>
      </c>
      <c r="I168" s="181">
        <v>15.672427001424003</v>
      </c>
      <c r="J168" t="s">
        <v>215</v>
      </c>
    </row>
    <row r="169" spans="6:10">
      <c r="F169" s="174">
        <v>2031</v>
      </c>
      <c r="G169" s="174">
        <v>14</v>
      </c>
      <c r="H169" s="175">
        <v>47880</v>
      </c>
      <c r="I169" s="181">
        <v>15.672427001424003</v>
      </c>
      <c r="J169" t="s">
        <v>215</v>
      </c>
    </row>
    <row r="170" spans="6:10">
      <c r="F170" s="174">
        <v>2031</v>
      </c>
      <c r="G170" s="174">
        <v>14</v>
      </c>
      <c r="H170" s="175">
        <v>47908</v>
      </c>
      <c r="I170" s="181">
        <v>15.672427001424003</v>
      </c>
      <c r="J170" t="s">
        <v>215</v>
      </c>
    </row>
    <row r="171" spans="6:10">
      <c r="F171" s="174">
        <v>2031</v>
      </c>
      <c r="G171" s="174">
        <v>14</v>
      </c>
      <c r="H171" s="175">
        <v>47939</v>
      </c>
      <c r="I171" s="181">
        <v>15.672427001424003</v>
      </c>
      <c r="J171" t="s">
        <v>215</v>
      </c>
    </row>
    <row r="172" spans="6:10">
      <c r="F172" s="174">
        <v>2031</v>
      </c>
      <c r="G172" s="174">
        <v>14</v>
      </c>
      <c r="H172" s="175">
        <v>47969</v>
      </c>
      <c r="I172" s="181">
        <v>15.672427001424003</v>
      </c>
      <c r="J172" t="s">
        <v>215</v>
      </c>
    </row>
    <row r="173" spans="6:10">
      <c r="F173" s="174">
        <v>2031</v>
      </c>
      <c r="G173" s="174">
        <v>15</v>
      </c>
      <c r="H173" s="175">
        <v>48000</v>
      </c>
      <c r="I173" s="181">
        <v>15.985875541452481</v>
      </c>
      <c r="J173" t="s">
        <v>215</v>
      </c>
    </row>
    <row r="174" spans="6:10">
      <c r="F174" s="174">
        <v>2031</v>
      </c>
      <c r="G174" s="174">
        <v>15</v>
      </c>
      <c r="H174" s="175">
        <v>48030</v>
      </c>
      <c r="I174" s="181">
        <v>15.985875541452481</v>
      </c>
      <c r="J174" t="s">
        <v>215</v>
      </c>
    </row>
    <row r="175" spans="6:10">
      <c r="F175" s="174">
        <v>2031</v>
      </c>
      <c r="G175" s="174">
        <v>15</v>
      </c>
      <c r="H175" s="175">
        <v>48061</v>
      </c>
      <c r="I175" s="181">
        <v>15.985875541452481</v>
      </c>
      <c r="J175" t="s">
        <v>215</v>
      </c>
    </row>
    <row r="176" spans="6:10">
      <c r="F176" s="174">
        <v>2031</v>
      </c>
      <c r="G176" s="174">
        <v>15</v>
      </c>
      <c r="H176" s="175">
        <v>48092</v>
      </c>
      <c r="I176" s="181">
        <v>15.985875541452481</v>
      </c>
      <c r="J176" t="s">
        <v>215</v>
      </c>
    </row>
    <row r="177" spans="6:10">
      <c r="F177" s="174">
        <v>2031</v>
      </c>
      <c r="G177" s="174">
        <v>15</v>
      </c>
      <c r="H177" s="175">
        <v>48122</v>
      </c>
      <c r="I177" s="181">
        <v>15.985875541452481</v>
      </c>
      <c r="J177" t="s">
        <v>215</v>
      </c>
    </row>
    <row r="178" spans="6:10">
      <c r="F178" s="174">
        <v>2031</v>
      </c>
      <c r="G178" s="174">
        <v>15</v>
      </c>
      <c r="H178" s="175">
        <v>48153</v>
      </c>
      <c r="I178" s="181">
        <v>15.985875541452481</v>
      </c>
      <c r="J178" t="s">
        <v>215</v>
      </c>
    </row>
    <row r="179" spans="6:10">
      <c r="F179" s="174">
        <v>2031</v>
      </c>
      <c r="G179" s="174">
        <v>15</v>
      </c>
      <c r="H179" s="175">
        <v>48183</v>
      </c>
      <c r="I179" s="181">
        <v>15.985875541452481</v>
      </c>
      <c r="J179" t="s">
        <v>215</v>
      </c>
    </row>
    <row r="180" spans="6:10">
      <c r="F180" s="174">
        <v>2032</v>
      </c>
      <c r="G180" s="174">
        <v>15</v>
      </c>
      <c r="H180" s="175">
        <v>48214</v>
      </c>
      <c r="I180" s="181">
        <v>15.985875541452481</v>
      </c>
      <c r="J180" t="s">
        <v>215</v>
      </c>
    </row>
    <row r="181" spans="6:10">
      <c r="F181" s="174">
        <v>2032</v>
      </c>
      <c r="G181" s="174">
        <v>15</v>
      </c>
      <c r="H181" s="175">
        <v>48245</v>
      </c>
      <c r="I181" s="181">
        <v>15.985875541452481</v>
      </c>
      <c r="J181" t="s">
        <v>215</v>
      </c>
    </row>
    <row r="182" spans="6:10">
      <c r="F182" s="174">
        <v>2032</v>
      </c>
      <c r="G182" s="174">
        <v>15</v>
      </c>
      <c r="H182" s="175">
        <v>48274</v>
      </c>
      <c r="I182" s="181">
        <v>15.985875541452481</v>
      </c>
      <c r="J182" t="s">
        <v>215</v>
      </c>
    </row>
    <row r="183" spans="6:10">
      <c r="F183" s="174">
        <v>2032</v>
      </c>
      <c r="G183" s="174">
        <v>15</v>
      </c>
      <c r="H183" s="175">
        <v>48305</v>
      </c>
      <c r="I183" s="181">
        <v>15.985875541452481</v>
      </c>
      <c r="J183" t="s">
        <v>215</v>
      </c>
    </row>
    <row r="184" spans="6:10">
      <c r="F184" s="174">
        <v>2032</v>
      </c>
      <c r="G184" s="174">
        <v>15</v>
      </c>
      <c r="H184" s="175">
        <v>48335</v>
      </c>
      <c r="I184" s="181">
        <v>15.985875541452481</v>
      </c>
      <c r="J184" t="s">
        <v>215</v>
      </c>
    </row>
    <row r="185" spans="6:10">
      <c r="F185" s="174">
        <v>2032</v>
      </c>
      <c r="G185" s="174">
        <v>16</v>
      </c>
      <c r="H185" s="175">
        <v>48366</v>
      </c>
      <c r="I185" s="181">
        <v>16.305593052281534</v>
      </c>
      <c r="J185" t="s">
        <v>215</v>
      </c>
    </row>
    <row r="186" spans="6:10">
      <c r="F186" s="174">
        <v>2032</v>
      </c>
      <c r="G186" s="174">
        <v>16</v>
      </c>
      <c r="H186" s="175">
        <v>48396</v>
      </c>
      <c r="I186" s="181">
        <v>16.305593052281534</v>
      </c>
      <c r="J186" t="s">
        <v>215</v>
      </c>
    </row>
    <row r="187" spans="6:10">
      <c r="F187" s="174">
        <v>2032</v>
      </c>
      <c r="G187" s="174">
        <v>16</v>
      </c>
      <c r="H187" s="175">
        <v>48427</v>
      </c>
      <c r="I187" s="181">
        <v>16.305593052281534</v>
      </c>
      <c r="J187" t="s">
        <v>215</v>
      </c>
    </row>
    <row r="188" spans="6:10">
      <c r="F188" s="174">
        <v>2032</v>
      </c>
      <c r="G188" s="174">
        <v>16</v>
      </c>
      <c r="H188" s="175">
        <v>48458</v>
      </c>
      <c r="I188" s="181">
        <v>16.305593052281534</v>
      </c>
      <c r="J188" t="s">
        <v>215</v>
      </c>
    </row>
    <row r="189" spans="6:10">
      <c r="F189" s="174">
        <v>2032</v>
      </c>
      <c r="G189" s="174">
        <v>16</v>
      </c>
      <c r="H189" s="175">
        <v>48488</v>
      </c>
      <c r="I189" s="181">
        <v>16.305593052281534</v>
      </c>
      <c r="J189" t="s">
        <v>215</v>
      </c>
    </row>
    <row r="190" spans="6:10">
      <c r="F190" s="174">
        <v>2032</v>
      </c>
      <c r="G190" s="174">
        <v>16</v>
      </c>
      <c r="H190" s="175">
        <v>48519</v>
      </c>
      <c r="I190" s="181">
        <v>16.305593052281534</v>
      </c>
      <c r="J190" t="s">
        <v>215</v>
      </c>
    </row>
    <row r="191" spans="6:10">
      <c r="F191" s="174">
        <v>2032</v>
      </c>
      <c r="G191" s="174">
        <v>16</v>
      </c>
      <c r="H191" s="175">
        <v>48549</v>
      </c>
      <c r="I191" s="181">
        <v>16.305593052281534</v>
      </c>
      <c r="J191" t="s">
        <v>215</v>
      </c>
    </row>
    <row r="192" spans="6:10">
      <c r="F192" s="174">
        <v>2033</v>
      </c>
      <c r="G192" s="174">
        <v>16</v>
      </c>
      <c r="H192" s="175">
        <v>48580</v>
      </c>
      <c r="I192" s="181">
        <v>16.305593052281534</v>
      </c>
      <c r="J192" t="s">
        <v>215</v>
      </c>
    </row>
    <row r="193" spans="6:10">
      <c r="F193" s="174">
        <v>2033</v>
      </c>
      <c r="G193" s="174">
        <v>16</v>
      </c>
      <c r="H193" s="175">
        <v>48611</v>
      </c>
      <c r="I193" s="181">
        <v>16.305593052281534</v>
      </c>
      <c r="J193" t="s">
        <v>215</v>
      </c>
    </row>
    <row r="194" spans="6:10">
      <c r="F194" s="174">
        <v>2033</v>
      </c>
      <c r="G194" s="174">
        <v>16</v>
      </c>
      <c r="H194" s="175">
        <v>48639</v>
      </c>
      <c r="I194" s="181">
        <v>16.305593052281534</v>
      </c>
      <c r="J194" t="s">
        <v>215</v>
      </c>
    </row>
    <row r="195" spans="6:10">
      <c r="F195" s="174">
        <v>2033</v>
      </c>
      <c r="G195" s="174">
        <v>16</v>
      </c>
      <c r="H195" s="175">
        <v>48670</v>
      </c>
      <c r="I195" s="181">
        <v>16.305593052281534</v>
      </c>
      <c r="J195" t="s">
        <v>215</v>
      </c>
    </row>
    <row r="196" spans="6:10">
      <c r="F196" s="174">
        <v>2033</v>
      </c>
      <c r="G196" s="174">
        <v>16</v>
      </c>
      <c r="H196" s="175">
        <v>48700</v>
      </c>
      <c r="I196" s="181">
        <v>16.305593052281534</v>
      </c>
      <c r="J196" t="s">
        <v>215</v>
      </c>
    </row>
    <row r="197" spans="6:10">
      <c r="F197" s="174">
        <v>2033</v>
      </c>
      <c r="G197" s="174">
        <v>17</v>
      </c>
      <c r="H197" s="175">
        <v>48731</v>
      </c>
      <c r="I197" s="181">
        <v>16.631704913327162</v>
      </c>
      <c r="J197" t="s">
        <v>215</v>
      </c>
    </row>
    <row r="198" spans="6:10">
      <c r="F198" s="174">
        <v>2033</v>
      </c>
      <c r="G198" s="174">
        <v>17</v>
      </c>
      <c r="H198" s="175">
        <v>48761</v>
      </c>
      <c r="I198" s="181">
        <v>16.631704913327162</v>
      </c>
      <c r="J198" t="s">
        <v>215</v>
      </c>
    </row>
    <row r="199" spans="6:10">
      <c r="F199" s="174">
        <v>2033</v>
      </c>
      <c r="G199" s="174">
        <v>17</v>
      </c>
      <c r="H199" s="175">
        <v>48792</v>
      </c>
      <c r="I199" s="181">
        <v>16.631704913327162</v>
      </c>
      <c r="J199" t="s">
        <v>215</v>
      </c>
    </row>
    <row r="200" spans="6:10">
      <c r="F200" s="174">
        <v>2033</v>
      </c>
      <c r="G200" s="174">
        <v>17</v>
      </c>
      <c r="H200" s="175">
        <v>48823</v>
      </c>
      <c r="I200" s="181">
        <v>16.631704913327162</v>
      </c>
      <c r="J200" t="s">
        <v>215</v>
      </c>
    </row>
    <row r="201" spans="6:10">
      <c r="F201" s="174">
        <v>2033</v>
      </c>
      <c r="G201" s="174">
        <v>17</v>
      </c>
      <c r="H201" s="175">
        <v>48853</v>
      </c>
      <c r="I201" s="181">
        <v>16.631704913327162</v>
      </c>
      <c r="J201" t="s">
        <v>215</v>
      </c>
    </row>
    <row r="202" spans="6:10">
      <c r="F202" s="174">
        <v>2033</v>
      </c>
      <c r="G202" s="174">
        <v>17</v>
      </c>
      <c r="H202" s="175">
        <v>48884</v>
      </c>
      <c r="I202" s="181">
        <v>16.631704913327162</v>
      </c>
      <c r="J202" t="s">
        <v>215</v>
      </c>
    </row>
    <row r="203" spans="6:10">
      <c r="F203" s="174">
        <v>2033</v>
      </c>
      <c r="G203" s="174">
        <v>17</v>
      </c>
      <c r="H203" s="175">
        <v>48914</v>
      </c>
      <c r="I203" s="181">
        <v>16.631704913327162</v>
      </c>
      <c r="J203" t="s">
        <v>215</v>
      </c>
    </row>
    <row r="204" spans="6:10">
      <c r="F204" s="174">
        <v>2034</v>
      </c>
      <c r="G204" s="174">
        <v>17</v>
      </c>
      <c r="H204" s="175">
        <v>48945</v>
      </c>
      <c r="I204" s="181">
        <v>16.631704913327162</v>
      </c>
      <c r="J204" t="s">
        <v>215</v>
      </c>
    </row>
    <row r="205" spans="6:10">
      <c r="F205" s="174">
        <v>2034</v>
      </c>
      <c r="G205" s="174">
        <v>17</v>
      </c>
      <c r="H205" s="175">
        <v>48976</v>
      </c>
      <c r="I205" s="181">
        <v>16.631704913327162</v>
      </c>
      <c r="J205" t="s">
        <v>215</v>
      </c>
    </row>
    <row r="206" spans="6:10">
      <c r="F206" s="174">
        <v>2034</v>
      </c>
      <c r="G206" s="174">
        <v>17</v>
      </c>
      <c r="H206" s="175">
        <v>49004</v>
      </c>
      <c r="I206" s="181">
        <v>16.631704913327162</v>
      </c>
      <c r="J206" t="s">
        <v>215</v>
      </c>
    </row>
    <row r="207" spans="6:10">
      <c r="F207" s="174">
        <v>2034</v>
      </c>
      <c r="G207" s="174">
        <v>17</v>
      </c>
      <c r="H207" s="175">
        <v>49035</v>
      </c>
      <c r="I207" s="181">
        <v>16.631704913327162</v>
      </c>
      <c r="J207" t="s">
        <v>215</v>
      </c>
    </row>
    <row r="208" spans="6:10">
      <c r="F208" s="174">
        <v>2034</v>
      </c>
      <c r="G208" s="174">
        <v>17</v>
      </c>
      <c r="H208" s="175">
        <v>49065</v>
      </c>
      <c r="I208" s="181">
        <v>16.631704913327162</v>
      </c>
      <c r="J208" t="s">
        <v>215</v>
      </c>
    </row>
    <row r="209" spans="6:10">
      <c r="F209" s="174">
        <v>2034</v>
      </c>
      <c r="G209" s="174">
        <v>18</v>
      </c>
      <c r="H209" s="175">
        <v>49096</v>
      </c>
      <c r="I209" s="181">
        <v>16.964339011593704</v>
      </c>
      <c r="J209" t="s">
        <v>215</v>
      </c>
    </row>
    <row r="210" spans="6:10">
      <c r="F210" s="174">
        <v>2034</v>
      </c>
      <c r="G210" s="174">
        <v>18</v>
      </c>
      <c r="H210" s="175">
        <v>49126</v>
      </c>
      <c r="I210" s="181">
        <v>16.964339011593704</v>
      </c>
      <c r="J210" t="s">
        <v>215</v>
      </c>
    </row>
    <row r="211" spans="6:10">
      <c r="F211" s="174">
        <v>2034</v>
      </c>
      <c r="G211" s="174">
        <v>18</v>
      </c>
      <c r="H211" s="175">
        <v>49157</v>
      </c>
      <c r="I211" s="181">
        <v>16.964339011593704</v>
      </c>
      <c r="J211" t="s">
        <v>215</v>
      </c>
    </row>
    <row r="212" spans="6:10">
      <c r="F212" s="174">
        <v>2034</v>
      </c>
      <c r="G212" s="174">
        <v>18</v>
      </c>
      <c r="H212" s="175">
        <v>49188</v>
      </c>
      <c r="I212" s="181">
        <v>16.964339011593704</v>
      </c>
      <c r="J212" t="s">
        <v>215</v>
      </c>
    </row>
    <row r="213" spans="6:10">
      <c r="F213" s="174">
        <v>2034</v>
      </c>
      <c r="G213" s="174">
        <v>18</v>
      </c>
      <c r="H213" s="175">
        <v>49218</v>
      </c>
      <c r="I213" s="181">
        <v>16.964339011593704</v>
      </c>
      <c r="J213" t="s">
        <v>215</v>
      </c>
    </row>
    <row r="214" spans="6:10">
      <c r="F214" s="174">
        <v>2034</v>
      </c>
      <c r="G214" s="174">
        <v>18</v>
      </c>
      <c r="H214" s="175">
        <v>49249</v>
      </c>
      <c r="I214" s="181">
        <v>16.964339011593704</v>
      </c>
      <c r="J214" t="s">
        <v>215</v>
      </c>
    </row>
    <row r="215" spans="6:10">
      <c r="F215" s="174">
        <v>2034</v>
      </c>
      <c r="G215" s="174">
        <v>18</v>
      </c>
      <c r="H215" s="175">
        <v>49279</v>
      </c>
      <c r="I215" s="181">
        <v>16.964339011593704</v>
      </c>
      <c r="J215" t="s">
        <v>215</v>
      </c>
    </row>
    <row r="216" spans="6:10">
      <c r="F216" s="174">
        <v>2035</v>
      </c>
      <c r="G216" s="174">
        <v>18</v>
      </c>
      <c r="H216" s="175">
        <v>49310</v>
      </c>
      <c r="I216" s="181">
        <v>16.964339011593704</v>
      </c>
      <c r="J216" t="s">
        <v>215</v>
      </c>
    </row>
    <row r="217" spans="6:10">
      <c r="F217" s="174">
        <v>2035</v>
      </c>
      <c r="G217" s="174">
        <v>18</v>
      </c>
      <c r="H217" s="175">
        <v>49341</v>
      </c>
      <c r="I217" s="181">
        <v>16.964339011593704</v>
      </c>
      <c r="J217" t="s">
        <v>215</v>
      </c>
    </row>
    <row r="218" spans="6:10">
      <c r="F218" s="174">
        <v>2035</v>
      </c>
      <c r="G218" s="174">
        <v>18</v>
      </c>
      <c r="H218" s="175">
        <v>49369</v>
      </c>
      <c r="I218" s="181">
        <v>16.964339011593704</v>
      </c>
      <c r="J218" t="s">
        <v>215</v>
      </c>
    </row>
    <row r="219" spans="6:10">
      <c r="F219" s="174">
        <v>2035</v>
      </c>
      <c r="G219" s="174">
        <v>18</v>
      </c>
      <c r="H219" s="175">
        <v>49400</v>
      </c>
      <c r="I219" s="181">
        <v>16.964339011593704</v>
      </c>
      <c r="J219" t="s">
        <v>215</v>
      </c>
    </row>
    <row r="220" spans="6:10">
      <c r="F220" s="174">
        <v>2035</v>
      </c>
      <c r="G220" s="174">
        <v>18</v>
      </c>
      <c r="H220" s="175">
        <v>49430</v>
      </c>
      <c r="I220" s="181">
        <v>16.964339011593704</v>
      </c>
      <c r="J220" t="s">
        <v>215</v>
      </c>
    </row>
    <row r="221" spans="6:10">
      <c r="F221" s="174">
        <v>2035</v>
      </c>
      <c r="G221" s="174">
        <v>19</v>
      </c>
      <c r="H221" s="175">
        <v>49461</v>
      </c>
      <c r="I221" s="181">
        <v>17.303625791825578</v>
      </c>
      <c r="J221" t="s">
        <v>215</v>
      </c>
    </row>
    <row r="222" spans="6:10">
      <c r="F222" s="174">
        <v>2035</v>
      </c>
      <c r="G222" s="174">
        <v>19</v>
      </c>
      <c r="H222" s="175">
        <v>49491</v>
      </c>
      <c r="I222" s="181">
        <v>17.303625791825578</v>
      </c>
      <c r="J222" t="s">
        <v>215</v>
      </c>
    </row>
    <row r="223" spans="6:10">
      <c r="F223" s="174">
        <v>2035</v>
      </c>
      <c r="G223" s="174">
        <v>19</v>
      </c>
      <c r="H223" s="175">
        <v>49522</v>
      </c>
      <c r="I223" s="181">
        <v>17.303625791825578</v>
      </c>
      <c r="J223" t="s">
        <v>215</v>
      </c>
    </row>
    <row r="224" spans="6:10">
      <c r="F224" s="174">
        <v>2035</v>
      </c>
      <c r="G224" s="174">
        <v>19</v>
      </c>
      <c r="H224" s="175">
        <v>49553</v>
      </c>
      <c r="I224" s="181">
        <v>17.303625791825578</v>
      </c>
      <c r="J224" t="s">
        <v>215</v>
      </c>
    </row>
    <row r="225" spans="6:10">
      <c r="F225" s="174">
        <v>2035</v>
      </c>
      <c r="G225" s="174">
        <v>19</v>
      </c>
      <c r="H225" s="175">
        <v>49583</v>
      </c>
      <c r="I225" s="181">
        <v>17.303625791825578</v>
      </c>
      <c r="J225" t="s">
        <v>215</v>
      </c>
    </row>
    <row r="226" spans="6:10">
      <c r="F226" s="174">
        <v>2035</v>
      </c>
      <c r="G226" s="174">
        <v>19</v>
      </c>
      <c r="H226" s="175">
        <v>49614</v>
      </c>
      <c r="I226" s="181">
        <v>17.303625791825578</v>
      </c>
      <c r="J226" t="s">
        <v>215</v>
      </c>
    </row>
    <row r="227" spans="6:10">
      <c r="F227" s="174">
        <v>2035</v>
      </c>
      <c r="G227" s="174">
        <v>19</v>
      </c>
      <c r="H227" s="175">
        <v>49644</v>
      </c>
      <c r="I227" s="181">
        <v>17.303625791825578</v>
      </c>
      <c r="J227" t="s">
        <v>215</v>
      </c>
    </row>
    <row r="228" spans="6:10">
      <c r="F228" s="174">
        <v>2036</v>
      </c>
      <c r="G228" s="174">
        <v>19</v>
      </c>
      <c r="H228" s="175">
        <v>49675</v>
      </c>
      <c r="I228" s="181">
        <v>17.303625791825578</v>
      </c>
      <c r="J228" t="s">
        <v>215</v>
      </c>
    </row>
    <row r="229" spans="6:10">
      <c r="F229" s="174">
        <v>2036</v>
      </c>
      <c r="G229" s="174">
        <v>19</v>
      </c>
      <c r="H229" s="175">
        <v>49706</v>
      </c>
      <c r="I229" s="181">
        <v>17.303625791825578</v>
      </c>
      <c r="J229" t="s">
        <v>215</v>
      </c>
    </row>
    <row r="230" spans="6:10">
      <c r="F230" s="174">
        <v>2036</v>
      </c>
      <c r="G230" s="174">
        <v>19</v>
      </c>
      <c r="H230" s="175">
        <v>49735</v>
      </c>
      <c r="I230" s="181">
        <v>17.303625791825578</v>
      </c>
      <c r="J230" t="s">
        <v>215</v>
      </c>
    </row>
    <row r="231" spans="6:10">
      <c r="F231" s="174">
        <v>2036</v>
      </c>
      <c r="G231" s="174">
        <v>19</v>
      </c>
      <c r="H231" s="175">
        <v>49766</v>
      </c>
      <c r="I231" s="181">
        <v>17.303625791825578</v>
      </c>
      <c r="J231" t="s">
        <v>215</v>
      </c>
    </row>
    <row r="232" spans="6:10">
      <c r="F232" s="174">
        <v>2036</v>
      </c>
      <c r="G232" s="174">
        <v>19</v>
      </c>
      <c r="H232" s="175">
        <v>49796</v>
      </c>
      <c r="I232" s="181">
        <v>17.303625791825578</v>
      </c>
      <c r="J232" t="s">
        <v>215</v>
      </c>
    </row>
    <row r="233" spans="6:10">
      <c r="F233" s="174">
        <v>2036</v>
      </c>
      <c r="G233" s="174">
        <v>20</v>
      </c>
      <c r="H233" s="175">
        <v>49827</v>
      </c>
      <c r="I233" s="181">
        <v>17.649698307662089</v>
      </c>
      <c r="J233" t="s">
        <v>215</v>
      </c>
    </row>
    <row r="234" spans="6:10">
      <c r="F234" s="174">
        <v>2036</v>
      </c>
      <c r="G234" s="174">
        <v>20</v>
      </c>
      <c r="H234" s="175">
        <v>49857</v>
      </c>
      <c r="I234" s="181">
        <v>17.649698307662089</v>
      </c>
      <c r="J234" t="s">
        <v>215</v>
      </c>
    </row>
    <row r="235" spans="6:10">
      <c r="F235" s="174">
        <v>2036</v>
      </c>
      <c r="G235" s="174">
        <v>20</v>
      </c>
      <c r="H235" s="175">
        <v>49888</v>
      </c>
      <c r="I235" s="181">
        <v>17.649698307662089</v>
      </c>
      <c r="J235" t="s">
        <v>215</v>
      </c>
    </row>
    <row r="236" spans="6:10">
      <c r="F236" s="174">
        <v>2036</v>
      </c>
      <c r="G236" s="174">
        <v>20</v>
      </c>
      <c r="H236" s="175">
        <v>49919</v>
      </c>
      <c r="I236" s="181">
        <v>17.649698307662089</v>
      </c>
      <c r="J236" t="s">
        <v>215</v>
      </c>
    </row>
    <row r="237" spans="6:10">
      <c r="F237" s="174">
        <v>2036</v>
      </c>
      <c r="G237" s="174">
        <v>20</v>
      </c>
      <c r="H237" s="175">
        <v>49949</v>
      </c>
      <c r="I237" s="181">
        <v>17.649698307662089</v>
      </c>
      <c r="J237" t="s">
        <v>215</v>
      </c>
    </row>
    <row r="238" spans="6:10">
      <c r="F238" s="174">
        <v>2036</v>
      </c>
      <c r="G238" s="174">
        <v>20</v>
      </c>
      <c r="H238" s="175">
        <v>49980</v>
      </c>
      <c r="I238" s="181">
        <v>17.649698307662089</v>
      </c>
      <c r="J238" t="s">
        <v>215</v>
      </c>
    </row>
    <row r="239" spans="6:10">
      <c r="F239" s="174">
        <v>2036</v>
      </c>
      <c r="G239" s="174">
        <v>20</v>
      </c>
      <c r="H239" s="175">
        <v>50010</v>
      </c>
      <c r="I239" s="181">
        <v>17.649698307662089</v>
      </c>
      <c r="J239" t="s">
        <v>215</v>
      </c>
    </row>
    <row r="240" spans="6:10">
      <c r="F240" s="174">
        <v>2037</v>
      </c>
      <c r="G240" s="174">
        <v>20</v>
      </c>
      <c r="H240" s="175">
        <v>50041</v>
      </c>
      <c r="I240" s="181">
        <v>17.649698307662089</v>
      </c>
      <c r="J240" t="s">
        <v>215</v>
      </c>
    </row>
    <row r="241" spans="6:10">
      <c r="F241" s="174">
        <v>2037</v>
      </c>
      <c r="G241" s="174">
        <v>20</v>
      </c>
      <c r="H241" s="175">
        <v>50072</v>
      </c>
      <c r="I241" s="181">
        <v>17.649698307662089</v>
      </c>
      <c r="J241" t="s">
        <v>215</v>
      </c>
    </row>
    <row r="242" spans="6:10">
      <c r="F242" s="174">
        <v>2037</v>
      </c>
      <c r="G242" s="174">
        <v>20</v>
      </c>
      <c r="H242" s="175">
        <v>50100</v>
      </c>
      <c r="I242" s="181">
        <v>17.649698307662089</v>
      </c>
      <c r="J242" t="s">
        <v>215</v>
      </c>
    </row>
    <row r="243" spans="6:10">
      <c r="F243" s="174">
        <v>2037</v>
      </c>
      <c r="G243" s="174">
        <v>20</v>
      </c>
      <c r="H243" s="175">
        <v>50131</v>
      </c>
      <c r="I243" s="181">
        <v>17.649698307662089</v>
      </c>
      <c r="J243" t="s">
        <v>215</v>
      </c>
    </row>
    <row r="244" spans="6:10">
      <c r="F244" s="174">
        <v>2037</v>
      </c>
      <c r="G244" s="174">
        <v>20</v>
      </c>
      <c r="H244" s="175">
        <v>50161</v>
      </c>
      <c r="I244" s="181">
        <v>17.649698307662089</v>
      </c>
      <c r="J244" t="s">
        <v>215</v>
      </c>
    </row>
    <row r="245" spans="6:10">
      <c r="F245" s="174">
        <v>2037</v>
      </c>
      <c r="G245" s="174">
        <v>21</v>
      </c>
      <c r="H245" s="175">
        <v>50192</v>
      </c>
      <c r="I245" s="181">
        <v>18.002692273815331</v>
      </c>
      <c r="J245" t="s">
        <v>215</v>
      </c>
    </row>
    <row r="246" spans="6:10">
      <c r="F246" s="174">
        <v>2037</v>
      </c>
      <c r="G246" s="174">
        <v>21</v>
      </c>
      <c r="H246" s="175">
        <v>50222</v>
      </c>
      <c r="I246" s="181">
        <v>18.002692273815331</v>
      </c>
      <c r="J246" t="s">
        <v>215</v>
      </c>
    </row>
    <row r="247" spans="6:10">
      <c r="F247" s="174">
        <v>2037</v>
      </c>
      <c r="G247" s="174">
        <v>21</v>
      </c>
      <c r="H247" s="175">
        <v>50253</v>
      </c>
      <c r="I247" s="181">
        <v>18.002692273815331</v>
      </c>
      <c r="J247" t="s">
        <v>215</v>
      </c>
    </row>
    <row r="248" spans="6:10">
      <c r="F248" s="174">
        <v>2037</v>
      </c>
      <c r="G248" s="174">
        <v>21</v>
      </c>
      <c r="H248" s="175">
        <v>50284</v>
      </c>
      <c r="I248" s="181">
        <v>18.002692273815331</v>
      </c>
      <c r="J248" t="s">
        <v>215</v>
      </c>
    </row>
    <row r="249" spans="6:10">
      <c r="F249" s="174">
        <v>2037</v>
      </c>
      <c r="G249" s="174">
        <v>21</v>
      </c>
      <c r="H249" s="175">
        <v>50314</v>
      </c>
      <c r="I249" s="181">
        <v>18.002692273815331</v>
      </c>
      <c r="J249" t="s">
        <v>215</v>
      </c>
    </row>
    <row r="250" spans="6:10">
      <c r="F250" s="174">
        <v>2037</v>
      </c>
      <c r="G250" s="174">
        <v>21</v>
      </c>
      <c r="H250" s="175">
        <v>50345</v>
      </c>
      <c r="I250" s="181">
        <v>18.002692273815331</v>
      </c>
      <c r="J250" t="s">
        <v>215</v>
      </c>
    </row>
    <row r="251" spans="6:10">
      <c r="F251" s="174">
        <v>2037</v>
      </c>
      <c r="G251" s="174">
        <v>21</v>
      </c>
      <c r="H251" s="175">
        <v>50375</v>
      </c>
      <c r="I251" s="181">
        <v>18.002692273815331</v>
      </c>
      <c r="J251" t="s">
        <v>215</v>
      </c>
    </row>
    <row r="252" spans="6:10">
      <c r="F252" s="174">
        <v>2038</v>
      </c>
      <c r="G252" s="174">
        <v>21</v>
      </c>
      <c r="H252" s="175">
        <v>50406</v>
      </c>
      <c r="I252" s="181">
        <v>18.002692273815331</v>
      </c>
      <c r="J252" t="s">
        <v>215</v>
      </c>
    </row>
    <row r="253" spans="6:10">
      <c r="F253" s="174">
        <v>2038</v>
      </c>
      <c r="G253" s="174">
        <v>21</v>
      </c>
      <c r="H253" s="175">
        <v>50437</v>
      </c>
      <c r="I253" s="181">
        <v>18.002692273815331</v>
      </c>
      <c r="J253" t="s">
        <v>215</v>
      </c>
    </row>
    <row r="254" spans="6:10">
      <c r="F254" s="174">
        <v>2038</v>
      </c>
      <c r="G254" s="174">
        <v>21</v>
      </c>
      <c r="H254" s="175">
        <v>50465</v>
      </c>
      <c r="I254" s="181">
        <v>18.002692273815331</v>
      </c>
      <c r="J254" t="s">
        <v>215</v>
      </c>
    </row>
    <row r="255" spans="6:10">
      <c r="F255" s="174">
        <v>2038</v>
      </c>
      <c r="G255" s="174">
        <v>21</v>
      </c>
      <c r="H255" s="175">
        <v>50496</v>
      </c>
      <c r="I255" s="181">
        <v>18.002692273815331</v>
      </c>
      <c r="J255" t="s">
        <v>215</v>
      </c>
    </row>
    <row r="256" spans="6:10">
      <c r="F256" s="174">
        <v>2038</v>
      </c>
      <c r="G256" s="174">
        <v>21</v>
      </c>
      <c r="H256" s="175">
        <v>50526</v>
      </c>
      <c r="I256" s="181">
        <v>18.002692273815331</v>
      </c>
      <c r="J256" t="s">
        <v>215</v>
      </c>
    </row>
    <row r="257" spans="6:10">
      <c r="F257" s="174">
        <v>2038</v>
      </c>
      <c r="G257" s="174">
        <v>22</v>
      </c>
      <c r="H257" s="175">
        <v>50557</v>
      </c>
      <c r="I257" s="181">
        <v>18.362746119291639</v>
      </c>
      <c r="J257" t="s">
        <v>215</v>
      </c>
    </row>
    <row r="258" spans="6:10">
      <c r="F258" s="174">
        <v>2038</v>
      </c>
      <c r="G258" s="174">
        <v>22</v>
      </c>
      <c r="H258" s="175">
        <v>50587</v>
      </c>
      <c r="I258" s="181">
        <v>18.362746119291639</v>
      </c>
      <c r="J258" t="s">
        <v>215</v>
      </c>
    </row>
    <row r="259" spans="6:10">
      <c r="F259" s="174">
        <v>2038</v>
      </c>
      <c r="G259" s="174">
        <v>22</v>
      </c>
      <c r="H259" s="175">
        <v>50618</v>
      </c>
      <c r="I259" s="181">
        <v>18.362746119291639</v>
      </c>
      <c r="J259" t="s">
        <v>215</v>
      </c>
    </row>
    <row r="260" spans="6:10">
      <c r="F260" s="174">
        <v>2038</v>
      </c>
      <c r="G260" s="174">
        <v>22</v>
      </c>
      <c r="H260" s="175">
        <v>50649</v>
      </c>
      <c r="I260" s="181">
        <v>18.362746119291639</v>
      </c>
      <c r="J260" t="s">
        <v>215</v>
      </c>
    </row>
    <row r="261" spans="6:10">
      <c r="F261" s="174">
        <v>2038</v>
      </c>
      <c r="G261" s="174">
        <v>22</v>
      </c>
      <c r="H261" s="175">
        <v>50679</v>
      </c>
      <c r="I261" s="181">
        <v>18.362746119291639</v>
      </c>
      <c r="J261" t="s">
        <v>215</v>
      </c>
    </row>
    <row r="262" spans="6:10">
      <c r="F262" s="174">
        <v>2038</v>
      </c>
      <c r="G262" s="174">
        <v>22</v>
      </c>
      <c r="H262" s="175">
        <v>50710</v>
      </c>
      <c r="I262" s="181">
        <v>18.362746119291639</v>
      </c>
      <c r="J262" t="s">
        <v>215</v>
      </c>
    </row>
    <row r="263" spans="6:10">
      <c r="F263" s="174">
        <v>2038</v>
      </c>
      <c r="G263" s="174">
        <v>22</v>
      </c>
      <c r="H263" s="175">
        <v>50740</v>
      </c>
      <c r="I263" s="181">
        <v>18.362746119291639</v>
      </c>
      <c r="J263" t="s">
        <v>215</v>
      </c>
    </row>
    <row r="264" spans="6:10">
      <c r="F264" s="174">
        <v>2039</v>
      </c>
      <c r="G264" s="174">
        <v>22</v>
      </c>
      <c r="H264" s="175">
        <v>50771</v>
      </c>
      <c r="I264" s="181">
        <v>18.362746119291639</v>
      </c>
      <c r="J264" t="s">
        <v>215</v>
      </c>
    </row>
    <row r="265" spans="6:10">
      <c r="F265" s="174">
        <v>2039</v>
      </c>
      <c r="G265" s="174">
        <v>22</v>
      </c>
      <c r="H265" s="175">
        <v>50802</v>
      </c>
      <c r="I265" s="181">
        <v>18.362746119291639</v>
      </c>
      <c r="J265" t="s">
        <v>215</v>
      </c>
    </row>
    <row r="266" spans="6:10">
      <c r="F266" s="174">
        <v>2039</v>
      </c>
      <c r="G266" s="174">
        <v>22</v>
      </c>
      <c r="H266" s="175">
        <v>50830</v>
      </c>
      <c r="I266" s="181">
        <v>18.362746119291639</v>
      </c>
      <c r="J266" t="s">
        <v>215</v>
      </c>
    </row>
    <row r="267" spans="6:10">
      <c r="F267" s="174">
        <v>2039</v>
      </c>
      <c r="G267" s="174">
        <v>22</v>
      </c>
      <c r="H267" s="175">
        <v>50861</v>
      </c>
      <c r="I267" s="181">
        <v>18.362746119291639</v>
      </c>
      <c r="J267" t="s">
        <v>215</v>
      </c>
    </row>
    <row r="268" spans="6:10">
      <c r="F268" s="174">
        <v>2039</v>
      </c>
      <c r="G268" s="174">
        <v>22</v>
      </c>
      <c r="H268" s="175">
        <v>50891</v>
      </c>
      <c r="I268" s="181">
        <v>18.362746119291639</v>
      </c>
      <c r="J268" t="s">
        <v>215</v>
      </c>
    </row>
    <row r="269" spans="6:10">
      <c r="F269" s="174">
        <v>2039</v>
      </c>
      <c r="G269" s="174">
        <v>23</v>
      </c>
      <c r="H269" s="175">
        <v>50922</v>
      </c>
      <c r="I269" s="181">
        <v>18.730001041677472</v>
      </c>
      <c r="J269" t="s">
        <v>215</v>
      </c>
    </row>
    <row r="270" spans="6:10">
      <c r="F270" s="174">
        <v>2039</v>
      </c>
      <c r="G270" s="174">
        <v>23</v>
      </c>
      <c r="H270" s="175">
        <v>50952</v>
      </c>
      <c r="I270" s="181">
        <v>18.730001041677472</v>
      </c>
      <c r="J270" t="s">
        <v>215</v>
      </c>
    </row>
    <row r="271" spans="6:10">
      <c r="F271" s="174">
        <v>2039</v>
      </c>
      <c r="G271" s="174">
        <v>23</v>
      </c>
      <c r="H271" s="175">
        <v>50983</v>
      </c>
      <c r="I271" s="181">
        <v>18.730001041677472</v>
      </c>
      <c r="J271" t="s">
        <v>215</v>
      </c>
    </row>
    <row r="272" spans="6:10">
      <c r="F272" s="174">
        <v>2039</v>
      </c>
      <c r="G272" s="174">
        <v>23</v>
      </c>
      <c r="H272" s="175">
        <v>51014</v>
      </c>
      <c r="I272" s="181">
        <v>18.730001041677472</v>
      </c>
      <c r="J272" t="s">
        <v>215</v>
      </c>
    </row>
    <row r="273" spans="6:10">
      <c r="F273" s="174">
        <v>2039</v>
      </c>
      <c r="G273" s="174">
        <v>23</v>
      </c>
      <c r="H273" s="175">
        <v>51044</v>
      </c>
      <c r="I273" s="181">
        <v>18.730001041677472</v>
      </c>
      <c r="J273" t="s">
        <v>215</v>
      </c>
    </row>
    <row r="274" spans="6:10">
      <c r="F274" s="174">
        <v>2039</v>
      </c>
      <c r="G274" s="174">
        <v>23</v>
      </c>
      <c r="H274" s="175">
        <v>51075</v>
      </c>
      <c r="I274" s="181">
        <v>18.730001041677472</v>
      </c>
      <c r="J274" t="s">
        <v>215</v>
      </c>
    </row>
    <row r="275" spans="6:10">
      <c r="F275" s="174">
        <v>2039</v>
      </c>
      <c r="G275" s="174">
        <v>23</v>
      </c>
      <c r="H275" s="175">
        <v>51105</v>
      </c>
      <c r="I275" s="181">
        <v>18.730001041677472</v>
      </c>
      <c r="J275" t="s">
        <v>215</v>
      </c>
    </row>
    <row r="276" spans="6:10">
      <c r="F276" s="174">
        <v>2040</v>
      </c>
      <c r="G276" s="174">
        <v>23</v>
      </c>
      <c r="H276" s="175">
        <v>51136</v>
      </c>
      <c r="I276" s="181">
        <v>18.730001041677472</v>
      </c>
      <c r="J276" t="s">
        <v>215</v>
      </c>
    </row>
    <row r="277" spans="6:10">
      <c r="F277" s="174">
        <v>2040</v>
      </c>
      <c r="G277" s="174">
        <v>23</v>
      </c>
      <c r="H277" s="175">
        <v>51167</v>
      </c>
      <c r="I277" s="181">
        <v>18.730001041677472</v>
      </c>
      <c r="J277" t="s">
        <v>215</v>
      </c>
    </row>
    <row r="278" spans="6:10">
      <c r="F278" s="174">
        <v>2040</v>
      </c>
      <c r="G278" s="174">
        <v>23</v>
      </c>
      <c r="H278" s="175">
        <v>51196</v>
      </c>
      <c r="I278" s="181">
        <v>18.730001041677472</v>
      </c>
      <c r="J278" t="s">
        <v>215</v>
      </c>
    </row>
    <row r="279" spans="6:10">
      <c r="F279" s="174">
        <v>2040</v>
      </c>
      <c r="G279" s="174">
        <v>23</v>
      </c>
      <c r="H279" s="175">
        <v>51227</v>
      </c>
      <c r="I279" s="181">
        <v>18.730001041677472</v>
      </c>
      <c r="J279" t="s">
        <v>215</v>
      </c>
    </row>
    <row r="280" spans="6:10">
      <c r="F280" s="174">
        <v>2040</v>
      </c>
      <c r="G280" s="174">
        <v>23</v>
      </c>
      <c r="H280" s="175">
        <v>51257</v>
      </c>
      <c r="I280" s="181">
        <v>18.730001041677472</v>
      </c>
      <c r="J280" t="s">
        <v>215</v>
      </c>
    </row>
    <row r="281" spans="6:10">
      <c r="F281" s="174">
        <v>2040</v>
      </c>
      <c r="G281" s="174">
        <v>24</v>
      </c>
      <c r="H281" s="175">
        <v>51288</v>
      </c>
      <c r="I281" s="181">
        <v>19.104601062511019</v>
      </c>
      <c r="J281" t="s">
        <v>215</v>
      </c>
    </row>
    <row r="282" spans="6:10">
      <c r="F282" s="174">
        <v>2040</v>
      </c>
      <c r="G282" s="174">
        <v>24</v>
      </c>
      <c r="H282" s="175">
        <v>51318</v>
      </c>
      <c r="I282" s="181">
        <v>19.104601062511019</v>
      </c>
      <c r="J282" t="s">
        <v>215</v>
      </c>
    </row>
    <row r="283" spans="6:10">
      <c r="F283" s="174">
        <v>2040</v>
      </c>
      <c r="G283" s="174">
        <v>24</v>
      </c>
      <c r="H283" s="175">
        <v>51349</v>
      </c>
      <c r="I283" s="181">
        <v>19.104601062511019</v>
      </c>
      <c r="J283" t="s">
        <v>215</v>
      </c>
    </row>
    <row r="284" spans="6:10">
      <c r="F284" s="174">
        <v>2040</v>
      </c>
      <c r="G284" s="174">
        <v>24</v>
      </c>
      <c r="H284" s="175">
        <v>51380</v>
      </c>
      <c r="I284" s="181">
        <v>19.104601062511019</v>
      </c>
      <c r="J284" t="s">
        <v>215</v>
      </c>
    </row>
    <row r="285" spans="6:10">
      <c r="F285" s="174">
        <v>2040</v>
      </c>
      <c r="G285" s="174">
        <v>24</v>
      </c>
      <c r="H285" s="175">
        <v>51410</v>
      </c>
      <c r="I285" s="181">
        <v>19.104601062511019</v>
      </c>
      <c r="J285" t="s">
        <v>215</v>
      </c>
    </row>
    <row r="286" spans="6:10">
      <c r="F286" s="174">
        <v>2040</v>
      </c>
      <c r="G286" s="174">
        <v>24</v>
      </c>
      <c r="H286" s="175">
        <v>51441</v>
      </c>
      <c r="I286" s="181">
        <v>19.104601062511019</v>
      </c>
      <c r="J286" t="s">
        <v>215</v>
      </c>
    </row>
    <row r="287" spans="6:10">
      <c r="F287" s="174">
        <v>2040</v>
      </c>
      <c r="G287" s="174">
        <v>24</v>
      </c>
      <c r="H287" s="175">
        <v>51471</v>
      </c>
      <c r="I287" s="181">
        <v>19.104601062511019</v>
      </c>
      <c r="J287" t="s">
        <v>215</v>
      </c>
    </row>
    <row r="288" spans="6:10">
      <c r="F288" s="174">
        <v>2041</v>
      </c>
      <c r="G288" s="174">
        <v>24</v>
      </c>
      <c r="H288" s="175">
        <v>51502</v>
      </c>
      <c r="I288" s="181">
        <v>19.104601062511019</v>
      </c>
      <c r="J288" t="s">
        <v>215</v>
      </c>
    </row>
    <row r="289" spans="6:10">
      <c r="F289" s="174">
        <v>2041</v>
      </c>
      <c r="G289" s="174">
        <v>24</v>
      </c>
      <c r="H289" s="175">
        <v>51533</v>
      </c>
      <c r="I289" s="181">
        <v>19.104601062511019</v>
      </c>
      <c r="J289" t="s">
        <v>215</v>
      </c>
    </row>
    <row r="290" spans="6:10">
      <c r="F290" s="174">
        <v>2041</v>
      </c>
      <c r="G290" s="174">
        <v>24</v>
      </c>
      <c r="H290" s="175">
        <v>51561</v>
      </c>
      <c r="I290" s="181">
        <v>19.104601062511019</v>
      </c>
      <c r="J290" t="s">
        <v>215</v>
      </c>
    </row>
    <row r="291" spans="6:10">
      <c r="F291" s="174">
        <v>2041</v>
      </c>
      <c r="G291" s="174">
        <v>24</v>
      </c>
      <c r="H291" s="175">
        <v>51592</v>
      </c>
      <c r="I291" s="181">
        <v>19.104601062511019</v>
      </c>
      <c r="J291" t="s">
        <v>215</v>
      </c>
    </row>
    <row r="292" spans="6:10">
      <c r="F292" s="174">
        <v>2041</v>
      </c>
      <c r="G292" s="174">
        <v>24</v>
      </c>
      <c r="H292" s="175">
        <v>51622</v>
      </c>
      <c r="I292" s="181">
        <v>19.104601062511019</v>
      </c>
      <c r="J292" t="s">
        <v>215</v>
      </c>
    </row>
    <row r="293" spans="6:10">
      <c r="F293" s="174">
        <v>2041</v>
      </c>
      <c r="G293" s="174">
        <v>25</v>
      </c>
      <c r="H293" s="175">
        <v>51653</v>
      </c>
      <c r="I293" s="181">
        <v>19.486693083761242</v>
      </c>
      <c r="J293" t="s">
        <v>215</v>
      </c>
    </row>
    <row r="294" spans="6:10">
      <c r="F294" s="174">
        <v>2041</v>
      </c>
      <c r="G294" s="174">
        <v>25</v>
      </c>
      <c r="H294" s="175">
        <v>51683</v>
      </c>
      <c r="I294" s="181">
        <v>19.486693083761242</v>
      </c>
      <c r="J294" t="s">
        <v>215</v>
      </c>
    </row>
    <row r="295" spans="6:10">
      <c r="F295" s="174">
        <v>2041</v>
      </c>
      <c r="G295" s="174">
        <v>25</v>
      </c>
      <c r="H295" s="175">
        <v>51714</v>
      </c>
      <c r="I295" s="181">
        <v>19.486693083761242</v>
      </c>
      <c r="J295" t="s">
        <v>215</v>
      </c>
    </row>
    <row r="296" spans="6:10">
      <c r="F296" s="174">
        <v>2041</v>
      </c>
      <c r="G296" s="174">
        <v>25</v>
      </c>
      <c r="H296" s="175">
        <v>51745</v>
      </c>
      <c r="I296" s="181">
        <v>19.486693083761242</v>
      </c>
      <c r="J296" t="s">
        <v>215</v>
      </c>
    </row>
    <row r="297" spans="6:10">
      <c r="F297" s="174">
        <v>2041</v>
      </c>
      <c r="G297" s="174">
        <v>25</v>
      </c>
      <c r="H297" s="175">
        <v>51775</v>
      </c>
      <c r="I297" s="181">
        <v>19.486693083761242</v>
      </c>
      <c r="J297" t="s">
        <v>215</v>
      </c>
    </row>
    <row r="298" spans="6:10">
      <c r="F298" s="174">
        <v>2041</v>
      </c>
      <c r="G298" s="174">
        <v>25</v>
      </c>
      <c r="H298" s="175">
        <v>51806</v>
      </c>
      <c r="I298" s="181">
        <v>19.486693083761242</v>
      </c>
      <c r="J298" t="s">
        <v>215</v>
      </c>
    </row>
    <row r="299" spans="6:10">
      <c r="F299" s="174">
        <v>2041</v>
      </c>
      <c r="G299" s="174">
        <v>25</v>
      </c>
      <c r="H299" s="175">
        <v>51836</v>
      </c>
      <c r="I299" s="181">
        <v>19.486693083761242</v>
      </c>
      <c r="J299" t="s">
        <v>215</v>
      </c>
    </row>
    <row r="300" spans="6:10">
      <c r="F300" s="174">
        <v>2042</v>
      </c>
      <c r="G300" s="174">
        <v>25</v>
      </c>
      <c r="H300" s="175">
        <v>51867</v>
      </c>
      <c r="I300" s="181">
        <v>19.486693083761242</v>
      </c>
      <c r="J300" t="s">
        <v>215</v>
      </c>
    </row>
    <row r="301" spans="6:10">
      <c r="F301" s="174">
        <v>2042</v>
      </c>
      <c r="G301" s="174">
        <v>25</v>
      </c>
      <c r="H301" s="175">
        <v>51898</v>
      </c>
      <c r="I301" s="181">
        <v>19.486693083761242</v>
      </c>
      <c r="J301" t="s">
        <v>215</v>
      </c>
    </row>
    <row r="302" spans="6:10">
      <c r="F302" s="174">
        <v>2042</v>
      </c>
      <c r="G302" s="174">
        <v>25</v>
      </c>
      <c r="H302" s="175">
        <v>51926</v>
      </c>
      <c r="I302" s="181">
        <v>19.486693083761242</v>
      </c>
      <c r="J302" t="s">
        <v>215</v>
      </c>
    </row>
    <row r="303" spans="6:10">
      <c r="F303" s="174">
        <v>2042</v>
      </c>
      <c r="G303" s="174">
        <v>25</v>
      </c>
      <c r="H303" s="175">
        <v>51957</v>
      </c>
      <c r="I303" s="181">
        <v>19.486693083761242</v>
      </c>
      <c r="J303" t="s">
        <v>215</v>
      </c>
    </row>
    <row r="304" spans="6:10">
      <c r="F304" s="174">
        <v>2042</v>
      </c>
      <c r="G304" s="174">
        <v>25</v>
      </c>
      <c r="H304" s="175">
        <v>51987</v>
      </c>
      <c r="I304" s="181">
        <v>19.486693083761242</v>
      </c>
      <c r="J304" t="s">
        <v>215</v>
      </c>
    </row>
    <row r="305" spans="6:10">
      <c r="F305" s="174">
        <v>2042</v>
      </c>
      <c r="G305" s="174">
        <v>26</v>
      </c>
      <c r="H305" s="175">
        <v>52018</v>
      </c>
      <c r="I305" s="181">
        <v>19.876426945436467</v>
      </c>
      <c r="J305" t="s">
        <v>215</v>
      </c>
    </row>
    <row r="306" spans="6:10">
      <c r="F306" s="174">
        <v>2042</v>
      </c>
      <c r="G306" s="174">
        <v>26</v>
      </c>
      <c r="H306" s="175">
        <v>52048</v>
      </c>
      <c r="I306" s="181">
        <v>19.876426945436467</v>
      </c>
      <c r="J306" t="s">
        <v>215</v>
      </c>
    </row>
    <row r="307" spans="6:10">
      <c r="F307" s="174">
        <v>2042</v>
      </c>
      <c r="G307" s="174">
        <v>26</v>
      </c>
      <c r="H307" s="175">
        <v>52079</v>
      </c>
      <c r="I307" s="181">
        <v>19.876426945436467</v>
      </c>
      <c r="J307" t="s">
        <v>215</v>
      </c>
    </row>
    <row r="308" spans="6:10">
      <c r="F308" s="174">
        <v>2042</v>
      </c>
      <c r="G308" s="174">
        <v>26</v>
      </c>
      <c r="H308" s="175">
        <v>52110</v>
      </c>
      <c r="I308" s="181">
        <v>19.876426945436467</v>
      </c>
      <c r="J308" t="s">
        <v>215</v>
      </c>
    </row>
    <row r="309" spans="6:10">
      <c r="F309" s="174">
        <v>2042</v>
      </c>
      <c r="G309" s="174">
        <v>26</v>
      </c>
      <c r="H309" s="175">
        <v>52140</v>
      </c>
      <c r="I309" s="181">
        <v>19.876426945436467</v>
      </c>
      <c r="J309" t="s">
        <v>215</v>
      </c>
    </row>
    <row r="310" spans="6:10">
      <c r="F310" s="174">
        <v>2042</v>
      </c>
      <c r="G310" s="174">
        <v>26</v>
      </c>
      <c r="H310" s="175">
        <v>52171</v>
      </c>
      <c r="I310" s="181">
        <v>19.876426945436467</v>
      </c>
      <c r="J310" t="s">
        <v>215</v>
      </c>
    </row>
    <row r="311" spans="6:10">
      <c r="F311" s="174">
        <v>2042</v>
      </c>
      <c r="G311" s="174">
        <v>26</v>
      </c>
      <c r="H311" s="175">
        <v>52201</v>
      </c>
      <c r="I311" s="181">
        <v>19.876426945436467</v>
      </c>
      <c r="J311" t="s">
        <v>215</v>
      </c>
    </row>
    <row r="312" spans="6:10">
      <c r="F312" s="174">
        <v>2043</v>
      </c>
      <c r="G312" s="174">
        <v>26</v>
      </c>
      <c r="H312" s="175">
        <v>52232</v>
      </c>
      <c r="I312" s="181">
        <v>19.876426945436467</v>
      </c>
      <c r="J312" t="s">
        <v>215</v>
      </c>
    </row>
    <row r="313" spans="6:10">
      <c r="F313" s="174">
        <v>2043</v>
      </c>
      <c r="G313" s="174">
        <v>26</v>
      </c>
      <c r="H313" s="175">
        <v>52263</v>
      </c>
      <c r="I313" s="181">
        <v>19.876426945436467</v>
      </c>
      <c r="J313" t="s">
        <v>215</v>
      </c>
    </row>
    <row r="314" spans="6:10">
      <c r="F314" s="174">
        <v>2043</v>
      </c>
      <c r="G314" s="174">
        <v>26</v>
      </c>
      <c r="H314" s="175">
        <v>52291</v>
      </c>
      <c r="I314" s="181">
        <v>19.876426945436467</v>
      </c>
      <c r="J314" t="s">
        <v>215</v>
      </c>
    </row>
    <row r="315" spans="6:10">
      <c r="F315" s="174">
        <v>2043</v>
      </c>
      <c r="G315" s="174">
        <v>26</v>
      </c>
      <c r="H315" s="175">
        <v>52322</v>
      </c>
      <c r="I315" s="181">
        <v>19.876426945436467</v>
      </c>
      <c r="J315" t="s">
        <v>215</v>
      </c>
    </row>
    <row r="316" spans="6:10">
      <c r="F316" s="174">
        <v>2043</v>
      </c>
      <c r="G316" s="174">
        <v>26</v>
      </c>
      <c r="H316" s="175">
        <v>52352</v>
      </c>
      <c r="I316" s="181">
        <v>19.876426945436467</v>
      </c>
      <c r="J316" t="s">
        <v>215</v>
      </c>
    </row>
    <row r="317" spans="6:10">
      <c r="F317" s="174">
        <v>2043</v>
      </c>
      <c r="G317" s="174">
        <v>27</v>
      </c>
      <c r="H317" s="175">
        <v>52383</v>
      </c>
      <c r="I317" s="181">
        <v>20.273955484345198</v>
      </c>
      <c r="J317" t="s">
        <v>215</v>
      </c>
    </row>
    <row r="318" spans="6:10">
      <c r="F318" s="174">
        <v>2043</v>
      </c>
      <c r="G318" s="174">
        <v>27</v>
      </c>
      <c r="H318" s="175">
        <v>52413</v>
      </c>
      <c r="I318" s="181">
        <v>20.273955484345198</v>
      </c>
      <c r="J318" t="s">
        <v>215</v>
      </c>
    </row>
    <row r="319" spans="6:10">
      <c r="F319" s="174">
        <v>2043</v>
      </c>
      <c r="G319" s="174">
        <v>27</v>
      </c>
      <c r="H319" s="175">
        <v>52444</v>
      </c>
      <c r="I319" s="181">
        <v>20.273955484345198</v>
      </c>
      <c r="J319" t="s">
        <v>215</v>
      </c>
    </row>
    <row r="320" spans="6:10">
      <c r="F320" s="174">
        <v>2043</v>
      </c>
      <c r="G320" s="174">
        <v>27</v>
      </c>
      <c r="H320" s="175">
        <v>52475</v>
      </c>
      <c r="I320" s="181">
        <v>20.273955484345198</v>
      </c>
      <c r="J320" t="s">
        <v>215</v>
      </c>
    </row>
    <row r="321" spans="6:10">
      <c r="F321" s="174">
        <v>2043</v>
      </c>
      <c r="G321" s="174">
        <v>27</v>
      </c>
      <c r="H321" s="175">
        <v>52505</v>
      </c>
      <c r="I321" s="181">
        <v>20.273955484345198</v>
      </c>
      <c r="J321" t="s">
        <v>215</v>
      </c>
    </row>
    <row r="322" spans="6:10">
      <c r="F322" s="174">
        <v>2043</v>
      </c>
      <c r="G322" s="174">
        <v>27</v>
      </c>
      <c r="H322" s="175">
        <v>52536</v>
      </c>
      <c r="I322" s="181">
        <v>20.273955484345198</v>
      </c>
      <c r="J322" t="s">
        <v>215</v>
      </c>
    </row>
    <row r="323" spans="6:10">
      <c r="F323" s="174">
        <v>2043</v>
      </c>
      <c r="G323" s="174">
        <v>27</v>
      </c>
      <c r="H323" s="175">
        <v>52566</v>
      </c>
      <c r="I323" s="181">
        <v>20.273955484345198</v>
      </c>
      <c r="J323" t="s">
        <v>215</v>
      </c>
    </row>
    <row r="324" spans="6:10">
      <c r="F324" s="174">
        <v>2044</v>
      </c>
      <c r="G324" s="174">
        <v>27</v>
      </c>
      <c r="H324" s="175">
        <v>52597</v>
      </c>
      <c r="I324" s="181">
        <v>20.273955484345198</v>
      </c>
      <c r="J324" t="s">
        <v>215</v>
      </c>
    </row>
    <row r="325" spans="6:10">
      <c r="F325" s="174">
        <v>2044</v>
      </c>
      <c r="G325" s="174">
        <v>27</v>
      </c>
      <c r="H325" s="175">
        <v>52628</v>
      </c>
      <c r="I325" s="181">
        <v>20.273955484345198</v>
      </c>
      <c r="J325" t="s">
        <v>215</v>
      </c>
    </row>
    <row r="326" spans="6:10">
      <c r="F326" s="174">
        <v>2044</v>
      </c>
      <c r="G326" s="174">
        <v>27</v>
      </c>
      <c r="H326" s="175">
        <v>52657</v>
      </c>
      <c r="I326" s="181">
        <v>20.273955484345198</v>
      </c>
      <c r="J326" t="s">
        <v>215</v>
      </c>
    </row>
    <row r="327" spans="6:10">
      <c r="F327" s="174">
        <v>2044</v>
      </c>
      <c r="G327" s="174">
        <v>27</v>
      </c>
      <c r="H327" s="175">
        <v>52688</v>
      </c>
      <c r="I327" s="181">
        <v>20.273955484345198</v>
      </c>
      <c r="J327" t="s">
        <v>215</v>
      </c>
    </row>
    <row r="328" spans="6:10">
      <c r="F328" s="174">
        <v>2044</v>
      </c>
      <c r="G328" s="174">
        <v>27</v>
      </c>
      <c r="H328" s="175">
        <v>52718</v>
      </c>
      <c r="I328" s="181">
        <v>20.273955484345198</v>
      </c>
      <c r="J328" t="s">
        <v>215</v>
      </c>
    </row>
    <row r="329" spans="6:10">
      <c r="F329" s="174">
        <v>2044</v>
      </c>
      <c r="G329" s="174">
        <v>28</v>
      </c>
      <c r="H329" s="175">
        <v>52749</v>
      </c>
      <c r="I329" s="181">
        <v>20.679434594032099</v>
      </c>
      <c r="J329" t="s">
        <v>215</v>
      </c>
    </row>
    <row r="330" spans="6:10">
      <c r="F330" s="174">
        <v>2044</v>
      </c>
      <c r="G330" s="174">
        <v>28</v>
      </c>
      <c r="H330" s="175">
        <v>52779</v>
      </c>
      <c r="I330" s="181">
        <v>20.679434594032099</v>
      </c>
      <c r="J330" t="s">
        <v>215</v>
      </c>
    </row>
    <row r="331" spans="6:10">
      <c r="F331" s="174">
        <v>2044</v>
      </c>
      <c r="G331" s="174">
        <v>28</v>
      </c>
      <c r="H331" s="175">
        <v>52810</v>
      </c>
      <c r="I331" s="181">
        <v>20.679434594032099</v>
      </c>
      <c r="J331" t="s">
        <v>215</v>
      </c>
    </row>
    <row r="332" spans="6:10">
      <c r="F332" s="174">
        <v>2044</v>
      </c>
      <c r="G332" s="174">
        <v>28</v>
      </c>
      <c r="H332" s="175">
        <v>52841</v>
      </c>
      <c r="I332" s="181">
        <v>20.679434594032099</v>
      </c>
      <c r="J332" t="s">
        <v>215</v>
      </c>
    </row>
    <row r="333" spans="6:10">
      <c r="F333" s="174">
        <v>2044</v>
      </c>
      <c r="G333" s="174">
        <v>28</v>
      </c>
      <c r="H333" s="175">
        <v>52871</v>
      </c>
      <c r="I333" s="181">
        <v>20.679434594032099</v>
      </c>
      <c r="J333" t="s">
        <v>215</v>
      </c>
    </row>
    <row r="334" spans="6:10">
      <c r="F334" s="174">
        <v>2044</v>
      </c>
      <c r="G334" s="174">
        <v>28</v>
      </c>
      <c r="H334" s="175">
        <v>52902</v>
      </c>
      <c r="I334" s="181">
        <v>20.679434594032099</v>
      </c>
      <c r="J334" t="s">
        <v>215</v>
      </c>
    </row>
    <row r="335" spans="6:10">
      <c r="F335" s="174">
        <v>2044</v>
      </c>
      <c r="G335" s="174">
        <v>28</v>
      </c>
      <c r="H335" s="175">
        <v>52932</v>
      </c>
      <c r="I335" s="181">
        <v>20.679434594032099</v>
      </c>
      <c r="J335" t="s">
        <v>215</v>
      </c>
    </row>
    <row r="336" spans="6:10">
      <c r="F336" s="174">
        <v>2045</v>
      </c>
      <c r="G336" s="174">
        <v>28</v>
      </c>
      <c r="H336" s="175">
        <v>52963</v>
      </c>
      <c r="I336" s="181">
        <v>20.679434594032099</v>
      </c>
      <c r="J336" t="s">
        <v>215</v>
      </c>
    </row>
    <row r="337" spans="6:10">
      <c r="F337" s="174">
        <v>2045</v>
      </c>
      <c r="G337" s="174">
        <v>28</v>
      </c>
      <c r="H337" s="175">
        <v>52994</v>
      </c>
      <c r="I337" s="181">
        <v>20.679434594032099</v>
      </c>
      <c r="J337" t="s">
        <v>215</v>
      </c>
    </row>
    <row r="338" spans="6:10">
      <c r="F338" s="174">
        <v>2045</v>
      </c>
      <c r="G338" s="174">
        <v>28</v>
      </c>
      <c r="H338" s="175">
        <v>53022</v>
      </c>
      <c r="I338" s="181">
        <v>20.679434594032099</v>
      </c>
      <c r="J338" t="s">
        <v>215</v>
      </c>
    </row>
    <row r="339" spans="6:10">
      <c r="F339" s="174">
        <v>2045</v>
      </c>
      <c r="G339" s="174">
        <v>28</v>
      </c>
      <c r="H339" s="175">
        <v>53053</v>
      </c>
      <c r="I339" s="181">
        <v>20.679434594032099</v>
      </c>
      <c r="J339" t="s">
        <v>215</v>
      </c>
    </row>
    <row r="340" spans="6:10">
      <c r="F340" s="174">
        <v>2045</v>
      </c>
      <c r="G340" s="174">
        <v>28</v>
      </c>
      <c r="H340" s="175">
        <v>53083</v>
      </c>
      <c r="I340" s="181">
        <v>20.679434594032099</v>
      </c>
      <c r="J340" t="s">
        <v>215</v>
      </c>
    </row>
    <row r="341" spans="6:10">
      <c r="F341" s="174">
        <v>2045</v>
      </c>
      <c r="G341" s="174">
        <v>29</v>
      </c>
      <c r="H341" s="175">
        <v>53114</v>
      </c>
      <c r="I341" s="181">
        <v>21.093023285912743</v>
      </c>
      <c r="J341" t="s">
        <v>215</v>
      </c>
    </row>
    <row r="342" spans="6:10">
      <c r="F342" s="174">
        <v>2045</v>
      </c>
      <c r="G342" s="174">
        <v>29</v>
      </c>
      <c r="H342" s="175">
        <v>53144</v>
      </c>
      <c r="I342" s="181">
        <v>21.093023285912743</v>
      </c>
      <c r="J342" t="s">
        <v>215</v>
      </c>
    </row>
    <row r="343" spans="6:10">
      <c r="F343" s="174">
        <v>2045</v>
      </c>
      <c r="G343" s="174">
        <v>29</v>
      </c>
      <c r="H343" s="175">
        <v>53175</v>
      </c>
      <c r="I343" s="181">
        <v>21.093023285912743</v>
      </c>
      <c r="J343" t="s">
        <v>215</v>
      </c>
    </row>
    <row r="344" spans="6:10">
      <c r="F344" s="174">
        <v>2045</v>
      </c>
      <c r="G344" s="174">
        <v>29</v>
      </c>
      <c r="H344" s="175">
        <v>53206</v>
      </c>
      <c r="I344" s="181">
        <v>21.093023285912743</v>
      </c>
      <c r="J344" t="s">
        <v>215</v>
      </c>
    </row>
    <row r="345" spans="6:10">
      <c r="F345" s="174">
        <v>2045</v>
      </c>
      <c r="G345" s="174">
        <v>29</v>
      </c>
      <c r="H345" s="175">
        <v>53236</v>
      </c>
      <c r="I345" s="181">
        <v>21.093023285912743</v>
      </c>
      <c r="J345" t="s">
        <v>215</v>
      </c>
    </row>
    <row r="346" spans="6:10">
      <c r="F346" s="174">
        <v>2045</v>
      </c>
      <c r="G346" s="174">
        <v>29</v>
      </c>
      <c r="H346" s="175">
        <v>53267</v>
      </c>
      <c r="I346" s="181">
        <v>21.093023285912743</v>
      </c>
      <c r="J346" t="s">
        <v>215</v>
      </c>
    </row>
    <row r="347" spans="6:10">
      <c r="F347" s="174">
        <v>2045</v>
      </c>
      <c r="G347" s="174">
        <v>29</v>
      </c>
      <c r="H347" s="175">
        <v>53297</v>
      </c>
      <c r="I347" s="181">
        <v>21.093023285912743</v>
      </c>
      <c r="J347" t="s">
        <v>215</v>
      </c>
    </row>
    <row r="348" spans="6:10">
      <c r="F348" s="174">
        <v>2046</v>
      </c>
      <c r="G348" s="174">
        <v>29</v>
      </c>
      <c r="H348" s="175">
        <v>53328</v>
      </c>
      <c r="I348" s="181">
        <v>21.093023285912743</v>
      </c>
      <c r="J348" t="s">
        <v>215</v>
      </c>
    </row>
    <row r="349" spans="6:10">
      <c r="F349" s="174">
        <v>2046</v>
      </c>
      <c r="G349" s="174">
        <v>29</v>
      </c>
      <c r="H349" s="175">
        <v>53359</v>
      </c>
      <c r="I349" s="181">
        <v>21.093023285912743</v>
      </c>
      <c r="J349" t="s">
        <v>215</v>
      </c>
    </row>
    <row r="350" spans="6:10">
      <c r="F350" s="174">
        <v>2046</v>
      </c>
      <c r="G350" s="174">
        <v>29</v>
      </c>
      <c r="H350" s="175">
        <v>53387</v>
      </c>
      <c r="I350" s="181">
        <v>21.093023285912743</v>
      </c>
      <c r="J350" t="s">
        <v>215</v>
      </c>
    </row>
    <row r="351" spans="6:10">
      <c r="F351" s="174">
        <v>2046</v>
      </c>
      <c r="G351" s="174">
        <v>29</v>
      </c>
      <c r="H351" s="175">
        <v>53418</v>
      </c>
      <c r="I351" s="181">
        <v>21.093023285912743</v>
      </c>
      <c r="J351" t="s">
        <v>215</v>
      </c>
    </row>
    <row r="352" spans="6:10">
      <c r="F352" s="174">
        <v>2046</v>
      </c>
      <c r="G352" s="174">
        <v>29</v>
      </c>
      <c r="H352" s="175">
        <v>53448</v>
      </c>
      <c r="I352" s="181">
        <v>21.093023285912743</v>
      </c>
      <c r="J352" t="s">
        <v>215</v>
      </c>
    </row>
    <row r="353" spans="6:10">
      <c r="F353" s="174">
        <v>2046</v>
      </c>
      <c r="G353" s="174">
        <v>30</v>
      </c>
      <c r="H353" s="175">
        <v>53479</v>
      </c>
      <c r="I353" s="181">
        <v>21.514883751631</v>
      </c>
      <c r="J353" t="s">
        <v>215</v>
      </c>
    </row>
    <row r="354" spans="6:10">
      <c r="F354" s="174">
        <v>2046</v>
      </c>
      <c r="G354" s="174">
        <v>30</v>
      </c>
      <c r="H354" s="175">
        <v>53509</v>
      </c>
      <c r="I354" s="181">
        <v>21.514883751631</v>
      </c>
      <c r="J354" t="s">
        <v>215</v>
      </c>
    </row>
    <row r="355" spans="6:10">
      <c r="F355" s="174">
        <v>2046</v>
      </c>
      <c r="G355" s="174">
        <v>30</v>
      </c>
      <c r="H355" s="175">
        <v>53540</v>
      </c>
      <c r="I355" s="181">
        <v>21.514883751631</v>
      </c>
      <c r="J355" t="s">
        <v>215</v>
      </c>
    </row>
    <row r="356" spans="6:10">
      <c r="F356" s="174">
        <v>2046</v>
      </c>
      <c r="G356" s="174">
        <v>30</v>
      </c>
      <c r="H356" s="175">
        <v>53571</v>
      </c>
      <c r="I356" s="181">
        <v>21.514883751631</v>
      </c>
      <c r="J356" t="s">
        <v>215</v>
      </c>
    </row>
    <row r="357" spans="6:10">
      <c r="F357" s="174">
        <v>2046</v>
      </c>
      <c r="G357" s="174">
        <v>30</v>
      </c>
      <c r="H357" s="175">
        <v>53601</v>
      </c>
      <c r="I357" s="181">
        <v>21.514883751631</v>
      </c>
      <c r="J357" t="s">
        <v>215</v>
      </c>
    </row>
    <row r="358" spans="6:10">
      <c r="F358" s="174">
        <v>2046</v>
      </c>
      <c r="G358" s="174">
        <v>30</v>
      </c>
      <c r="H358" s="175">
        <v>53632</v>
      </c>
      <c r="I358" s="181">
        <v>21.514883751631</v>
      </c>
      <c r="J358" t="s">
        <v>215</v>
      </c>
    </row>
    <row r="359" spans="6:10">
      <c r="F359" s="174">
        <v>2046</v>
      </c>
      <c r="G359" s="174">
        <v>30</v>
      </c>
      <c r="H359" s="175">
        <v>53662</v>
      </c>
      <c r="I359" s="181">
        <v>21.514883751631</v>
      </c>
      <c r="J359" t="s">
        <v>215</v>
      </c>
    </row>
    <row r="360" spans="6:10">
      <c r="F360" s="174">
        <v>2047</v>
      </c>
      <c r="G360" s="174">
        <v>30</v>
      </c>
      <c r="H360" s="175">
        <v>53693</v>
      </c>
      <c r="I360" s="181">
        <v>21.514883751631</v>
      </c>
      <c r="J360" t="s">
        <v>215</v>
      </c>
    </row>
    <row r="361" spans="6:10">
      <c r="F361" s="174">
        <v>2047</v>
      </c>
      <c r="G361" s="174">
        <v>30</v>
      </c>
      <c r="H361" s="175">
        <v>53724</v>
      </c>
      <c r="I361" s="181">
        <v>21.514883751631</v>
      </c>
      <c r="J361" t="s">
        <v>215</v>
      </c>
    </row>
    <row r="362" spans="6:10">
      <c r="F362" s="174">
        <v>2047</v>
      </c>
      <c r="G362" s="174">
        <v>30</v>
      </c>
      <c r="H362" s="175">
        <v>53752</v>
      </c>
      <c r="I362" s="181">
        <v>21.514883751631</v>
      </c>
      <c r="J362" t="s">
        <v>215</v>
      </c>
    </row>
    <row r="363" spans="6:10">
      <c r="F363" s="174">
        <v>2047</v>
      </c>
      <c r="G363" s="174">
        <v>30</v>
      </c>
      <c r="H363" s="175">
        <v>53783</v>
      </c>
      <c r="I363" s="181">
        <v>21.514883751631</v>
      </c>
      <c r="J363" t="s">
        <v>215</v>
      </c>
    </row>
    <row r="364" spans="6:10">
      <c r="F364" s="174">
        <v>2047</v>
      </c>
      <c r="G364" s="174">
        <v>30</v>
      </c>
      <c r="H364" s="175">
        <v>53813</v>
      </c>
      <c r="I364" s="181">
        <v>21.514883751631</v>
      </c>
      <c r="J364" t="s">
        <v>215</v>
      </c>
    </row>
    <row r="365" spans="6:10">
      <c r="F365" s="174">
        <v>2047</v>
      </c>
      <c r="G365" s="174">
        <v>31</v>
      </c>
      <c r="H365" s="175">
        <v>53844</v>
      </c>
      <c r="I365" s="181">
        <v>21.94518142666362</v>
      </c>
      <c r="J365" t="s">
        <v>215</v>
      </c>
    </row>
    <row r="366" spans="6:10">
      <c r="F366" s="174">
        <v>2047</v>
      </c>
      <c r="G366" s="174">
        <v>31</v>
      </c>
      <c r="H366" s="175">
        <v>53874</v>
      </c>
      <c r="I366" s="181">
        <v>21.94518142666362</v>
      </c>
      <c r="J366" t="s">
        <v>215</v>
      </c>
    </row>
    <row r="367" spans="6:10">
      <c r="F367" s="174">
        <v>2047</v>
      </c>
      <c r="G367" s="174">
        <v>31</v>
      </c>
      <c r="H367" s="175">
        <v>53905</v>
      </c>
      <c r="I367" s="181">
        <v>21.94518142666362</v>
      </c>
      <c r="J367" t="s">
        <v>215</v>
      </c>
    </row>
    <row r="368" spans="6:10">
      <c r="F368" s="174">
        <v>2047</v>
      </c>
      <c r="G368" s="174">
        <v>31</v>
      </c>
      <c r="H368" s="175">
        <v>53936</v>
      </c>
      <c r="I368" s="181">
        <v>21.94518142666362</v>
      </c>
      <c r="J368" t="s">
        <v>215</v>
      </c>
    </row>
    <row r="369" spans="6:10">
      <c r="F369" s="174">
        <v>2047</v>
      </c>
      <c r="G369" s="174">
        <v>31</v>
      </c>
      <c r="H369" s="175">
        <v>53966</v>
      </c>
      <c r="I369" s="181">
        <v>21.94518142666362</v>
      </c>
      <c r="J369" t="s">
        <v>215</v>
      </c>
    </row>
    <row r="370" spans="6:10">
      <c r="F370" s="174">
        <v>2047</v>
      </c>
      <c r="G370" s="174">
        <v>31</v>
      </c>
      <c r="H370" s="175">
        <v>53997</v>
      </c>
      <c r="I370" s="181">
        <v>21.94518142666362</v>
      </c>
      <c r="J370" t="s">
        <v>215</v>
      </c>
    </row>
    <row r="371" spans="6:10">
      <c r="F371" s="174">
        <v>2047</v>
      </c>
      <c r="G371" s="174">
        <v>31</v>
      </c>
      <c r="H371" s="175">
        <v>54027</v>
      </c>
      <c r="I371" s="181">
        <v>21.94518142666362</v>
      </c>
      <c r="J371" t="s">
        <v>215</v>
      </c>
    </row>
    <row r="372" spans="6:10">
      <c r="F372" s="174">
        <v>2048</v>
      </c>
      <c r="G372" s="174">
        <v>31</v>
      </c>
      <c r="H372" s="175">
        <v>54058</v>
      </c>
      <c r="I372" s="181">
        <v>21.94518142666362</v>
      </c>
      <c r="J372" t="s">
        <v>215</v>
      </c>
    </row>
    <row r="373" spans="6:10">
      <c r="F373" s="174">
        <v>2048</v>
      </c>
      <c r="G373" s="174">
        <v>31</v>
      </c>
      <c r="H373" s="175">
        <v>54089</v>
      </c>
      <c r="I373" s="181">
        <v>21.94518142666362</v>
      </c>
      <c r="J373" t="s">
        <v>215</v>
      </c>
    </row>
    <row r="374" spans="6:10">
      <c r="F374" s="174">
        <v>2048</v>
      </c>
      <c r="G374" s="174">
        <v>31</v>
      </c>
      <c r="H374" s="175">
        <v>54118</v>
      </c>
      <c r="I374" s="181">
        <v>21.94518142666362</v>
      </c>
      <c r="J374" t="s">
        <v>215</v>
      </c>
    </row>
    <row r="375" spans="6:10">
      <c r="F375" s="174">
        <v>2048</v>
      </c>
      <c r="G375" s="174">
        <v>31</v>
      </c>
      <c r="H375" s="175">
        <v>54149</v>
      </c>
      <c r="I375" s="181">
        <v>21.94518142666362</v>
      </c>
      <c r="J375" t="s">
        <v>215</v>
      </c>
    </row>
    <row r="376" spans="6:10">
      <c r="F376" s="174">
        <v>2048</v>
      </c>
      <c r="G376" s="174">
        <v>31</v>
      </c>
      <c r="H376" s="175">
        <v>54179</v>
      </c>
      <c r="I376" s="181">
        <v>21.94518142666362</v>
      </c>
      <c r="J376" t="s">
        <v>215</v>
      </c>
    </row>
    <row r="377" spans="6:10">
      <c r="F377" s="174">
        <v>2048</v>
      </c>
      <c r="G377" s="174">
        <v>32</v>
      </c>
      <c r="H377" s="175">
        <v>54210</v>
      </c>
      <c r="I377" s="181">
        <v>22.384085055196891</v>
      </c>
      <c r="J377" t="s">
        <v>215</v>
      </c>
    </row>
    <row r="378" spans="6:10">
      <c r="F378" s="174">
        <v>2048</v>
      </c>
      <c r="G378" s="174">
        <v>32</v>
      </c>
      <c r="H378" s="175">
        <v>54240</v>
      </c>
      <c r="I378" s="181">
        <v>22.384085055196891</v>
      </c>
      <c r="J378" t="s">
        <v>215</v>
      </c>
    </row>
    <row r="379" spans="6:10">
      <c r="F379" s="174">
        <v>2048</v>
      </c>
      <c r="G379" s="174">
        <v>32</v>
      </c>
      <c r="H379" s="175">
        <v>54271</v>
      </c>
      <c r="I379" s="181">
        <v>22.384085055196891</v>
      </c>
      <c r="J379" t="s">
        <v>215</v>
      </c>
    </row>
    <row r="380" spans="6:10">
      <c r="F380" s="174">
        <v>2048</v>
      </c>
      <c r="G380" s="174">
        <v>32</v>
      </c>
      <c r="H380" s="175">
        <v>54302</v>
      </c>
      <c r="I380" s="181">
        <v>22.384085055196891</v>
      </c>
      <c r="J380" t="s">
        <v>215</v>
      </c>
    </row>
    <row r="381" spans="6:10">
      <c r="F381" s="174">
        <v>2048</v>
      </c>
      <c r="G381" s="174">
        <v>32</v>
      </c>
      <c r="H381" s="175">
        <v>54332</v>
      </c>
      <c r="I381" s="181">
        <v>22.384085055196891</v>
      </c>
      <c r="J381" t="s">
        <v>215</v>
      </c>
    </row>
    <row r="382" spans="6:10">
      <c r="F382" s="174">
        <v>2048</v>
      </c>
      <c r="G382" s="174">
        <v>32</v>
      </c>
      <c r="H382" s="175">
        <v>54363</v>
      </c>
      <c r="I382" s="181">
        <v>22.384085055196891</v>
      </c>
      <c r="J382" t="s">
        <v>215</v>
      </c>
    </row>
    <row r="383" spans="6:10">
      <c r="F383" s="174">
        <v>2048</v>
      </c>
      <c r="G383" s="174">
        <v>32</v>
      </c>
      <c r="H383" s="175">
        <v>54393</v>
      </c>
      <c r="I383" s="181">
        <v>22.384085055196891</v>
      </c>
      <c r="J383" t="s">
        <v>215</v>
      </c>
    </row>
    <row r="384" spans="6:10">
      <c r="F384" s="174">
        <v>2049</v>
      </c>
      <c r="G384" s="174">
        <v>32</v>
      </c>
      <c r="H384" s="175">
        <v>54424</v>
      </c>
      <c r="I384" s="181">
        <v>22.384085055196891</v>
      </c>
      <c r="J384" t="s">
        <v>215</v>
      </c>
    </row>
    <row r="385" spans="6:10">
      <c r="F385" s="174">
        <v>2049</v>
      </c>
      <c r="G385" s="174">
        <v>32</v>
      </c>
      <c r="H385" s="175">
        <v>54455</v>
      </c>
      <c r="I385" s="181">
        <v>22.384085055196891</v>
      </c>
      <c r="J385" t="s">
        <v>215</v>
      </c>
    </row>
    <row r="386" spans="6:10">
      <c r="F386" s="174">
        <v>2049</v>
      </c>
      <c r="G386" s="174">
        <v>32</v>
      </c>
      <c r="H386" s="175">
        <v>54483</v>
      </c>
      <c r="I386" s="181">
        <v>22.384085055196891</v>
      </c>
      <c r="J386" t="s">
        <v>215</v>
      </c>
    </row>
    <row r="387" spans="6:10">
      <c r="F387" s="174">
        <v>2049</v>
      </c>
      <c r="G387" s="174">
        <v>32</v>
      </c>
      <c r="H387" s="175">
        <v>54514</v>
      </c>
      <c r="I387" s="181">
        <v>22.384085055196891</v>
      </c>
      <c r="J387" t="s">
        <v>215</v>
      </c>
    </row>
    <row r="388" spans="6:10">
      <c r="F388" s="174">
        <v>2049</v>
      </c>
      <c r="G388" s="174">
        <v>32</v>
      </c>
      <c r="H388" s="175">
        <v>54544</v>
      </c>
      <c r="I388" s="181">
        <v>22.384085055196891</v>
      </c>
      <c r="J388" t="s">
        <v>215</v>
      </c>
    </row>
    <row r="389" spans="6:10">
      <c r="F389" s="174">
        <v>2049</v>
      </c>
      <c r="G389" s="174">
        <v>33</v>
      </c>
      <c r="H389" s="175">
        <v>54575</v>
      </c>
      <c r="I389" s="181">
        <v>22.831766756300826</v>
      </c>
      <c r="J389" t="s">
        <v>215</v>
      </c>
    </row>
    <row r="390" spans="6:10">
      <c r="F390" s="174">
        <v>2049</v>
      </c>
      <c r="G390" s="174">
        <v>33</v>
      </c>
      <c r="H390" s="175">
        <v>54605</v>
      </c>
      <c r="I390" s="181">
        <v>22.831766756300826</v>
      </c>
      <c r="J390" t="s">
        <v>215</v>
      </c>
    </row>
    <row r="391" spans="6:10">
      <c r="F391" s="174">
        <v>2049</v>
      </c>
      <c r="G391" s="174">
        <v>33</v>
      </c>
      <c r="H391" s="175">
        <v>54636</v>
      </c>
      <c r="I391" s="181">
        <v>22.831766756300826</v>
      </c>
      <c r="J391" t="s">
        <v>215</v>
      </c>
    </row>
    <row r="392" spans="6:10">
      <c r="F392" s="174">
        <v>2049</v>
      </c>
      <c r="G392" s="174">
        <v>33</v>
      </c>
      <c r="H392" s="175">
        <v>54667</v>
      </c>
      <c r="I392" s="181">
        <v>22.831766756300826</v>
      </c>
      <c r="J392" t="s">
        <v>215</v>
      </c>
    </row>
    <row r="393" spans="6:10">
      <c r="F393" s="174">
        <v>2049</v>
      </c>
      <c r="G393" s="174">
        <v>33</v>
      </c>
      <c r="H393" s="175">
        <v>54697</v>
      </c>
      <c r="I393" s="181">
        <v>22.831766756300826</v>
      </c>
      <c r="J393" t="s">
        <v>215</v>
      </c>
    </row>
    <row r="394" spans="6:10">
      <c r="F394" s="174">
        <v>2049</v>
      </c>
      <c r="G394" s="174">
        <v>33</v>
      </c>
      <c r="H394" s="175">
        <v>54728</v>
      </c>
      <c r="I394" s="181">
        <v>22.831766756300826</v>
      </c>
      <c r="J394" t="s">
        <v>215</v>
      </c>
    </row>
    <row r="395" spans="6:10">
      <c r="F395" s="174">
        <v>2049</v>
      </c>
      <c r="G395" s="174">
        <v>33</v>
      </c>
      <c r="H395" s="175">
        <v>54758</v>
      </c>
      <c r="I395" s="181">
        <v>22.831766756300826</v>
      </c>
      <c r="J395" t="s">
        <v>215</v>
      </c>
    </row>
    <row r="396" spans="6:10">
      <c r="F396" s="174">
        <v>2050</v>
      </c>
      <c r="G396" s="174">
        <v>33</v>
      </c>
      <c r="H396" s="175">
        <v>54789</v>
      </c>
      <c r="I396" s="181">
        <v>22.83176675630083</v>
      </c>
      <c r="J396" t="s">
        <v>215</v>
      </c>
    </row>
    <row r="397" spans="6:10">
      <c r="F397" s="174">
        <v>2050</v>
      </c>
      <c r="G397" s="174">
        <v>33</v>
      </c>
      <c r="H397" s="175">
        <v>54820</v>
      </c>
      <c r="I397" s="181">
        <v>22.83176675630083</v>
      </c>
      <c r="J397" t="s">
        <v>215</v>
      </c>
    </row>
    <row r="398" spans="6:10">
      <c r="F398" s="174">
        <v>2050</v>
      </c>
      <c r="G398" s="174">
        <v>33</v>
      </c>
      <c r="H398" s="175">
        <v>54848</v>
      </c>
      <c r="I398" s="181">
        <v>22.83176675630083</v>
      </c>
      <c r="J398" t="s">
        <v>215</v>
      </c>
    </row>
    <row r="399" spans="6:10">
      <c r="F399" s="174">
        <v>2050</v>
      </c>
      <c r="G399" s="174">
        <v>33</v>
      </c>
      <c r="H399" s="175">
        <v>54879</v>
      </c>
      <c r="I399" s="181">
        <v>22.83176675630083</v>
      </c>
      <c r="J399" t="s">
        <v>215</v>
      </c>
    </row>
    <row r="400" spans="6:10">
      <c r="F400" s="174">
        <v>2050</v>
      </c>
      <c r="G400" s="174">
        <v>33</v>
      </c>
      <c r="H400" s="175">
        <v>54909</v>
      </c>
      <c r="I400" s="181">
        <v>22.83176675630083</v>
      </c>
      <c r="J400" t="s">
        <v>215</v>
      </c>
    </row>
    <row r="401" spans="6:10">
      <c r="F401" s="174">
        <v>2050</v>
      </c>
      <c r="G401" s="174">
        <v>34</v>
      </c>
      <c r="H401" s="175">
        <v>54940</v>
      </c>
      <c r="I401" s="181">
        <v>23.288402091426843</v>
      </c>
      <c r="J401" t="s">
        <v>215</v>
      </c>
    </row>
    <row r="402" spans="6:10">
      <c r="F402" s="174">
        <v>2050</v>
      </c>
      <c r="G402" s="174">
        <v>34</v>
      </c>
      <c r="H402" s="175">
        <v>54970</v>
      </c>
      <c r="I402" s="181">
        <v>23.288402091426843</v>
      </c>
      <c r="J402" t="s">
        <v>215</v>
      </c>
    </row>
    <row r="403" spans="6:10">
      <c r="F403" s="174">
        <v>2050</v>
      </c>
      <c r="G403" s="174">
        <v>34</v>
      </c>
      <c r="H403" s="175">
        <v>55001</v>
      </c>
      <c r="I403" s="181">
        <v>23.288402091426843</v>
      </c>
      <c r="J403" t="s">
        <v>215</v>
      </c>
    </row>
    <row r="404" spans="6:10">
      <c r="F404" s="174">
        <v>2050</v>
      </c>
      <c r="G404" s="174">
        <v>34</v>
      </c>
      <c r="H404" s="175">
        <v>55032</v>
      </c>
      <c r="I404" s="181">
        <v>23.288402091426843</v>
      </c>
      <c r="J404" t="s">
        <v>215</v>
      </c>
    </row>
    <row r="405" spans="6:10">
      <c r="F405" s="174">
        <v>2050</v>
      </c>
      <c r="G405" s="174">
        <v>34</v>
      </c>
      <c r="H405" s="175">
        <v>55062</v>
      </c>
      <c r="I405" s="181">
        <v>23.288402091426843</v>
      </c>
      <c r="J405" t="s">
        <v>215</v>
      </c>
    </row>
    <row r="406" spans="6:10">
      <c r="F406" s="174">
        <v>2050</v>
      </c>
      <c r="G406" s="174">
        <v>34</v>
      </c>
      <c r="H406" s="175">
        <v>55093</v>
      </c>
      <c r="I406" s="181">
        <v>23.288402091426843</v>
      </c>
      <c r="J406" t="s">
        <v>215</v>
      </c>
    </row>
    <row r="407" spans="6:10">
      <c r="F407" s="174">
        <v>2050</v>
      </c>
      <c r="G407" s="174">
        <v>34</v>
      </c>
      <c r="H407" s="175">
        <v>55123</v>
      </c>
      <c r="I407" s="181">
        <v>23.288402091426843</v>
      </c>
      <c r="J407" t="s">
        <v>215</v>
      </c>
    </row>
    <row r="408" spans="6:10">
      <c r="F408" s="174">
        <v>2051</v>
      </c>
      <c r="G408" s="174">
        <v>34</v>
      </c>
      <c r="H408" s="175">
        <v>55154</v>
      </c>
      <c r="I408" s="181">
        <v>23.288402091426846</v>
      </c>
      <c r="J408" t="s">
        <v>215</v>
      </c>
    </row>
    <row r="409" spans="6:10">
      <c r="F409" s="174">
        <v>2051</v>
      </c>
      <c r="G409" s="174">
        <v>34</v>
      </c>
      <c r="H409" s="175">
        <v>55185</v>
      </c>
      <c r="I409" s="181">
        <v>23.288402091426846</v>
      </c>
      <c r="J409" t="s">
        <v>215</v>
      </c>
    </row>
    <row r="410" spans="6:10">
      <c r="F410" s="174">
        <v>2051</v>
      </c>
      <c r="G410" s="174">
        <v>34</v>
      </c>
      <c r="H410" s="175">
        <v>55213</v>
      </c>
      <c r="I410" s="181">
        <v>23.288402091426846</v>
      </c>
      <c r="J410" t="s">
        <v>215</v>
      </c>
    </row>
    <row r="411" spans="6:10">
      <c r="F411" s="174">
        <v>2051</v>
      </c>
      <c r="G411" s="174">
        <v>34</v>
      </c>
      <c r="H411" s="175">
        <v>55244</v>
      </c>
      <c r="I411" s="181">
        <v>23.288402091426846</v>
      </c>
      <c r="J411" t="s">
        <v>215</v>
      </c>
    </row>
    <row r="412" spans="6:10">
      <c r="F412" s="174">
        <v>2051</v>
      </c>
      <c r="G412" s="174">
        <v>34</v>
      </c>
      <c r="H412" s="175">
        <v>55274</v>
      </c>
      <c r="I412" s="181">
        <v>23.288402091426846</v>
      </c>
      <c r="J412" t="s">
        <v>215</v>
      </c>
    </row>
    <row r="413" spans="6:10">
      <c r="F413" s="174">
        <v>2051</v>
      </c>
      <c r="G413" s="174">
        <v>35</v>
      </c>
      <c r="H413" s="175">
        <v>55305</v>
      </c>
      <c r="I413" s="181">
        <v>23.754170133255379</v>
      </c>
      <c r="J413" t="s">
        <v>215</v>
      </c>
    </row>
    <row r="414" spans="6:10">
      <c r="F414" s="174">
        <v>2051</v>
      </c>
      <c r="G414" s="174">
        <v>35</v>
      </c>
      <c r="H414" s="175">
        <v>55335</v>
      </c>
      <c r="I414" s="181">
        <v>23.754170133255379</v>
      </c>
      <c r="J414" t="s">
        <v>215</v>
      </c>
    </row>
    <row r="415" spans="6:10">
      <c r="F415" s="174">
        <v>2051</v>
      </c>
      <c r="G415" s="174">
        <v>35</v>
      </c>
      <c r="H415" s="175">
        <v>55366</v>
      </c>
      <c r="I415" s="181">
        <v>23.754170133255379</v>
      </c>
      <c r="J415" t="s">
        <v>215</v>
      </c>
    </row>
    <row r="416" spans="6:10">
      <c r="F416" s="174">
        <v>2051</v>
      </c>
      <c r="G416" s="174">
        <v>35</v>
      </c>
      <c r="H416" s="175">
        <v>55397</v>
      </c>
      <c r="I416" s="181">
        <v>23.754170133255379</v>
      </c>
      <c r="J416" t="s">
        <v>215</v>
      </c>
    </row>
    <row r="417" spans="6:10">
      <c r="F417" s="174">
        <v>2051</v>
      </c>
      <c r="G417" s="174">
        <v>35</v>
      </c>
      <c r="H417" s="175">
        <v>55427</v>
      </c>
      <c r="I417" s="181">
        <v>23.754170133255379</v>
      </c>
      <c r="J417" t="s">
        <v>215</v>
      </c>
    </row>
    <row r="418" spans="6:10">
      <c r="F418" s="174">
        <v>2051</v>
      </c>
      <c r="G418" s="174">
        <v>35</v>
      </c>
      <c r="H418" s="175">
        <v>55458</v>
      </c>
      <c r="I418" s="181">
        <v>23.754170133255379</v>
      </c>
      <c r="J418" t="s">
        <v>215</v>
      </c>
    </row>
    <row r="419" spans="6:10">
      <c r="F419" s="174">
        <v>2051</v>
      </c>
      <c r="G419" s="174">
        <v>35</v>
      </c>
      <c r="H419" s="175">
        <v>55488</v>
      </c>
      <c r="I419" s="181">
        <v>23.754170133255379</v>
      </c>
      <c r="J419" t="s">
        <v>215</v>
      </c>
    </row>
    <row r="420" spans="6:10">
      <c r="F420" s="174">
        <v>2052</v>
      </c>
      <c r="G420" s="174">
        <v>35</v>
      </c>
      <c r="H420" s="175">
        <v>55519</v>
      </c>
      <c r="I420" s="181">
        <v>23.754170133255382</v>
      </c>
      <c r="J420" t="s">
        <v>215</v>
      </c>
    </row>
    <row r="421" spans="6:10">
      <c r="F421" s="174">
        <v>2052</v>
      </c>
      <c r="G421" s="174">
        <v>35</v>
      </c>
      <c r="H421" s="175">
        <v>55550</v>
      </c>
      <c r="I421" s="181">
        <v>23.754170133255382</v>
      </c>
      <c r="J421" t="s">
        <v>215</v>
      </c>
    </row>
    <row r="422" spans="6:10">
      <c r="F422" s="174">
        <v>2052</v>
      </c>
      <c r="G422" s="174">
        <v>35</v>
      </c>
      <c r="H422" s="175">
        <v>55579</v>
      </c>
      <c r="I422" s="181">
        <v>23.754170133255382</v>
      </c>
      <c r="J422" t="s">
        <v>215</v>
      </c>
    </row>
    <row r="423" spans="6:10">
      <c r="F423" s="174">
        <v>2052</v>
      </c>
      <c r="G423" s="174">
        <v>35</v>
      </c>
      <c r="H423" s="175">
        <v>55610</v>
      </c>
      <c r="I423" s="181">
        <v>23.754170133255382</v>
      </c>
      <c r="J423" t="s">
        <v>215</v>
      </c>
    </row>
    <row r="424" spans="6:10">
      <c r="F424" s="174">
        <v>2052</v>
      </c>
      <c r="G424" s="174">
        <v>35</v>
      </c>
      <c r="H424" s="175">
        <v>55640</v>
      </c>
      <c r="I424" s="181">
        <v>23.754170133255382</v>
      </c>
      <c r="J424" t="s">
        <v>215</v>
      </c>
    </row>
    <row r="425" spans="6:10">
      <c r="F425" s="174">
        <v>2052</v>
      </c>
      <c r="G425" s="174">
        <v>36</v>
      </c>
      <c r="H425" s="175">
        <v>55671</v>
      </c>
      <c r="I425" s="181">
        <v>24.229253535920485</v>
      </c>
      <c r="J425" t="s">
        <v>215</v>
      </c>
    </row>
    <row r="426" spans="6:10">
      <c r="F426" s="174">
        <v>2052</v>
      </c>
      <c r="G426" s="174">
        <v>36</v>
      </c>
      <c r="H426" s="175">
        <v>55701</v>
      </c>
      <c r="I426" s="181">
        <v>24.229253535920485</v>
      </c>
      <c r="J426" t="s">
        <v>215</v>
      </c>
    </row>
    <row r="427" spans="6:10">
      <c r="F427" s="174">
        <v>2052</v>
      </c>
      <c r="G427" s="174">
        <v>36</v>
      </c>
      <c r="H427" s="175">
        <v>55732</v>
      </c>
      <c r="I427" s="181">
        <v>24.229253535920485</v>
      </c>
      <c r="J427" t="s">
        <v>215</v>
      </c>
    </row>
    <row r="428" spans="6:10">
      <c r="F428" s="174">
        <v>2052</v>
      </c>
      <c r="G428" s="174">
        <v>36</v>
      </c>
      <c r="H428" s="175">
        <v>55763</v>
      </c>
      <c r="I428" s="181">
        <v>24.229253535920485</v>
      </c>
      <c r="J428" t="s">
        <v>215</v>
      </c>
    </row>
    <row r="429" spans="6:10">
      <c r="F429" s="174">
        <v>2052</v>
      </c>
      <c r="G429" s="174">
        <v>36</v>
      </c>
      <c r="H429" s="175">
        <v>55793</v>
      </c>
      <c r="I429" s="181">
        <v>24.229253535920485</v>
      </c>
      <c r="J429" t="s">
        <v>215</v>
      </c>
    </row>
    <row r="430" spans="6:10">
      <c r="F430" s="174">
        <v>2052</v>
      </c>
      <c r="G430" s="174">
        <v>36</v>
      </c>
      <c r="H430" s="175">
        <v>55824</v>
      </c>
      <c r="I430" s="181">
        <v>24.229253535920485</v>
      </c>
      <c r="J430" t="s">
        <v>215</v>
      </c>
    </row>
    <row r="431" spans="6:10">
      <c r="F431" s="174">
        <v>2052</v>
      </c>
      <c r="G431" s="174">
        <v>36</v>
      </c>
      <c r="H431" s="175">
        <v>55854</v>
      </c>
      <c r="I431" s="181">
        <v>24.229253535920485</v>
      </c>
      <c r="J431" t="s">
        <v>215</v>
      </c>
    </row>
    <row r="432" spans="6:10">
      <c r="F432" s="174">
        <v>2053</v>
      </c>
      <c r="G432" s="174">
        <v>36</v>
      </c>
      <c r="H432" s="175">
        <v>55885</v>
      </c>
      <c r="I432" s="181">
        <v>24.229253535920488</v>
      </c>
      <c r="J432" t="s">
        <v>215</v>
      </c>
    </row>
    <row r="433" spans="6:10">
      <c r="F433" s="174">
        <v>2053</v>
      </c>
      <c r="G433" s="174">
        <v>36</v>
      </c>
      <c r="H433" s="175">
        <v>55916</v>
      </c>
      <c r="I433" s="181">
        <v>24.229253535920488</v>
      </c>
      <c r="J433" t="s">
        <v>215</v>
      </c>
    </row>
    <row r="434" spans="6:10">
      <c r="F434" s="174">
        <v>2053</v>
      </c>
      <c r="G434" s="174">
        <v>36</v>
      </c>
      <c r="H434" s="175">
        <v>55944</v>
      </c>
      <c r="I434" s="181">
        <v>24.229253535920488</v>
      </c>
      <c r="J434" t="s">
        <v>215</v>
      </c>
    </row>
    <row r="435" spans="6:10">
      <c r="F435" s="174">
        <v>2053</v>
      </c>
      <c r="G435" s="174">
        <v>36</v>
      </c>
      <c r="H435" s="175">
        <v>55975</v>
      </c>
      <c r="I435" s="181">
        <v>24.229253535920488</v>
      </c>
      <c r="J435" t="s">
        <v>215</v>
      </c>
    </row>
    <row r="436" spans="6:10">
      <c r="F436" s="174">
        <v>2053</v>
      </c>
      <c r="G436" s="174">
        <v>36</v>
      </c>
      <c r="H436" s="175">
        <v>56005</v>
      </c>
      <c r="I436" s="181">
        <v>24.229253535920488</v>
      </c>
      <c r="J436" t="s">
        <v>215</v>
      </c>
    </row>
    <row r="437" spans="6:10">
      <c r="F437" s="174">
        <v>2053</v>
      </c>
      <c r="G437" s="174">
        <v>37</v>
      </c>
      <c r="H437" s="175">
        <v>56036</v>
      </c>
      <c r="I437" s="181">
        <v>24.713838606638895</v>
      </c>
      <c r="J437" t="s">
        <v>215</v>
      </c>
    </row>
    <row r="438" spans="6:10">
      <c r="F438" s="174">
        <v>2053</v>
      </c>
      <c r="G438" s="174">
        <v>37</v>
      </c>
      <c r="H438" s="175">
        <v>56066</v>
      </c>
      <c r="I438" s="181">
        <v>24.713838606638895</v>
      </c>
      <c r="J438" t="s">
        <v>215</v>
      </c>
    </row>
    <row r="439" spans="6:10">
      <c r="F439" s="174">
        <v>2053</v>
      </c>
      <c r="G439" s="174">
        <v>37</v>
      </c>
      <c r="H439" s="175">
        <v>56097</v>
      </c>
      <c r="I439" s="181">
        <v>24.713838606638895</v>
      </c>
      <c r="J439" t="s">
        <v>215</v>
      </c>
    </row>
    <row r="440" spans="6:10">
      <c r="F440" s="174">
        <v>2053</v>
      </c>
      <c r="G440" s="174">
        <v>37</v>
      </c>
      <c r="H440" s="175">
        <v>56128</v>
      </c>
      <c r="I440" s="181">
        <v>24.713838606638895</v>
      </c>
      <c r="J440" t="s">
        <v>215</v>
      </c>
    </row>
    <row r="441" spans="6:10">
      <c r="F441" s="174">
        <v>2053</v>
      </c>
      <c r="G441" s="174">
        <v>37</v>
      </c>
      <c r="H441" s="175">
        <v>56158</v>
      </c>
      <c r="I441" s="181">
        <v>24.713838606638895</v>
      </c>
      <c r="J441" t="s">
        <v>215</v>
      </c>
    </row>
    <row r="442" spans="6:10">
      <c r="F442" s="174">
        <v>2053</v>
      </c>
      <c r="G442" s="174">
        <v>37</v>
      </c>
      <c r="H442" s="175">
        <v>56189</v>
      </c>
      <c r="I442" s="181">
        <v>24.713838606638895</v>
      </c>
      <c r="J442" t="s">
        <v>215</v>
      </c>
    </row>
    <row r="443" spans="6:10">
      <c r="F443" s="174">
        <v>2053</v>
      </c>
      <c r="G443" s="174">
        <v>37</v>
      </c>
      <c r="H443" s="175">
        <v>56219</v>
      </c>
      <c r="I443" s="181">
        <v>24.713838606638895</v>
      </c>
      <c r="J443" t="s">
        <v>215</v>
      </c>
    </row>
    <row r="444" spans="6:10">
      <c r="F444" s="174">
        <v>2054</v>
      </c>
      <c r="G444" s="174">
        <v>37</v>
      </c>
      <c r="H444" s="175">
        <v>56250</v>
      </c>
      <c r="I444" s="181">
        <v>24.713838606638898</v>
      </c>
      <c r="J444" t="s">
        <v>215</v>
      </c>
    </row>
    <row r="445" spans="6:10">
      <c r="F445" s="174">
        <v>2054</v>
      </c>
      <c r="G445" s="174">
        <v>37</v>
      </c>
      <c r="H445" s="175">
        <v>56281</v>
      </c>
      <c r="I445" s="181">
        <v>24.713838606638898</v>
      </c>
      <c r="J445" t="s">
        <v>215</v>
      </c>
    </row>
    <row r="446" spans="6:10">
      <c r="F446" s="174">
        <v>2054</v>
      </c>
      <c r="G446" s="174">
        <v>37</v>
      </c>
      <c r="H446" s="175">
        <v>56309</v>
      </c>
      <c r="I446" s="181">
        <v>24.713838606638898</v>
      </c>
      <c r="J446" t="s">
        <v>215</v>
      </c>
    </row>
    <row r="447" spans="6:10">
      <c r="F447" s="174">
        <v>2054</v>
      </c>
      <c r="G447" s="174">
        <v>37</v>
      </c>
      <c r="H447" s="175">
        <v>56340</v>
      </c>
      <c r="I447" s="181">
        <v>24.713838606638898</v>
      </c>
      <c r="J447" t="s">
        <v>215</v>
      </c>
    </row>
    <row r="448" spans="6:10">
      <c r="F448" s="174">
        <v>2054</v>
      </c>
      <c r="G448" s="174">
        <v>37</v>
      </c>
      <c r="H448" s="175">
        <v>56370</v>
      </c>
      <c r="I448" s="181">
        <v>24.713838606638898</v>
      </c>
      <c r="J448" t="s">
        <v>215</v>
      </c>
    </row>
    <row r="449" spans="6:10">
      <c r="F449" s="174">
        <v>2054</v>
      </c>
      <c r="G449" s="174">
        <v>38</v>
      </c>
      <c r="H449" s="175">
        <v>56401</v>
      </c>
      <c r="I449" s="181">
        <v>25.208115378771673</v>
      </c>
      <c r="J449" t="s">
        <v>215</v>
      </c>
    </row>
    <row r="450" spans="6:10">
      <c r="F450" s="174">
        <v>2054</v>
      </c>
      <c r="G450" s="174">
        <v>38</v>
      </c>
      <c r="H450" s="175">
        <v>56431</v>
      </c>
      <c r="I450" s="181">
        <v>25.208115378771673</v>
      </c>
      <c r="J450" t="s">
        <v>215</v>
      </c>
    </row>
    <row r="451" spans="6:10">
      <c r="F451" s="174">
        <v>2054</v>
      </c>
      <c r="G451" s="174">
        <v>38</v>
      </c>
      <c r="H451" s="175">
        <v>56462</v>
      </c>
      <c r="I451" s="181">
        <v>25.208115378771673</v>
      </c>
      <c r="J451" t="s">
        <v>215</v>
      </c>
    </row>
    <row r="452" spans="6:10">
      <c r="F452" s="174">
        <v>2054</v>
      </c>
      <c r="G452" s="174">
        <v>38</v>
      </c>
      <c r="H452" s="175">
        <v>56493</v>
      </c>
      <c r="I452" s="181">
        <v>25.208115378771673</v>
      </c>
      <c r="J452" t="s">
        <v>215</v>
      </c>
    </row>
    <row r="453" spans="6:10">
      <c r="F453" s="174">
        <v>2054</v>
      </c>
      <c r="G453" s="174">
        <v>38</v>
      </c>
      <c r="H453" s="175">
        <v>56523</v>
      </c>
      <c r="I453" s="181">
        <v>25.208115378771673</v>
      </c>
      <c r="J453" t="s">
        <v>215</v>
      </c>
    </row>
    <row r="454" spans="6:10">
      <c r="F454" s="174">
        <v>2054</v>
      </c>
      <c r="G454" s="174">
        <v>38</v>
      </c>
      <c r="H454" s="175">
        <v>56554</v>
      </c>
      <c r="I454" s="181">
        <v>25.208115378771673</v>
      </c>
      <c r="J454" t="s">
        <v>215</v>
      </c>
    </row>
    <row r="455" spans="6:10">
      <c r="F455" s="174">
        <v>2054</v>
      </c>
      <c r="G455" s="174">
        <v>38</v>
      </c>
      <c r="H455" s="175">
        <v>56584</v>
      </c>
      <c r="I455" s="181">
        <v>25.208115378771673</v>
      </c>
      <c r="J455" t="s">
        <v>215</v>
      </c>
    </row>
    <row r="456" spans="6:10">
      <c r="F456" s="174">
        <v>2055</v>
      </c>
      <c r="G456" s="174">
        <v>38</v>
      </c>
      <c r="H456" s="175">
        <v>56615</v>
      </c>
      <c r="I456" s="181">
        <v>25.208115378771677</v>
      </c>
      <c r="J456" t="s">
        <v>215</v>
      </c>
    </row>
    <row r="457" spans="6:10">
      <c r="F457" s="174">
        <v>2055</v>
      </c>
      <c r="G457" s="174">
        <v>38</v>
      </c>
      <c r="H457" s="175">
        <v>56646</v>
      </c>
      <c r="I457" s="181">
        <v>25.208115378771677</v>
      </c>
      <c r="J457" t="s">
        <v>215</v>
      </c>
    </row>
    <row r="458" spans="6:10">
      <c r="F458" s="174">
        <v>2055</v>
      </c>
      <c r="G458" s="174">
        <v>38</v>
      </c>
      <c r="H458" s="175">
        <v>56674</v>
      </c>
      <c r="I458" s="181">
        <v>25.208115378771677</v>
      </c>
      <c r="J458" t="s">
        <v>215</v>
      </c>
    </row>
    <row r="459" spans="6:10">
      <c r="F459" s="174">
        <v>2055</v>
      </c>
      <c r="G459" s="174">
        <v>38</v>
      </c>
      <c r="H459" s="175">
        <v>56705</v>
      </c>
      <c r="I459" s="181">
        <v>25.208115378771677</v>
      </c>
      <c r="J459" t="s">
        <v>215</v>
      </c>
    </row>
    <row r="460" spans="6:10">
      <c r="F460" s="174">
        <v>2055</v>
      </c>
      <c r="G460" s="174">
        <v>38</v>
      </c>
      <c r="H460" s="175">
        <v>56735</v>
      </c>
      <c r="I460" s="181">
        <v>25.208115378771677</v>
      </c>
      <c r="J460" t="s">
        <v>215</v>
      </c>
    </row>
    <row r="461" spans="6:10">
      <c r="F461" s="174">
        <v>2055</v>
      </c>
      <c r="G461" s="174">
        <v>39</v>
      </c>
      <c r="H461" s="175">
        <v>56766</v>
      </c>
      <c r="I461" s="181">
        <v>25.712277686347107</v>
      </c>
      <c r="J461" t="s">
        <v>215</v>
      </c>
    </row>
    <row r="462" spans="6:10">
      <c r="F462" s="174">
        <v>2055</v>
      </c>
      <c r="G462" s="174">
        <v>39</v>
      </c>
      <c r="H462" s="175">
        <v>56796</v>
      </c>
      <c r="I462" s="181">
        <v>25.712277686347107</v>
      </c>
      <c r="J462" t="s">
        <v>215</v>
      </c>
    </row>
    <row r="463" spans="6:10">
      <c r="F463" s="174">
        <v>2055</v>
      </c>
      <c r="G463" s="174">
        <v>39</v>
      </c>
      <c r="H463" s="175">
        <v>56827</v>
      </c>
      <c r="I463" s="181">
        <v>25.712277686347107</v>
      </c>
      <c r="J463" t="s">
        <v>215</v>
      </c>
    </row>
    <row r="464" spans="6:10">
      <c r="F464" s="174">
        <v>2055</v>
      </c>
      <c r="G464" s="174">
        <v>39</v>
      </c>
      <c r="H464" s="175">
        <v>56858</v>
      </c>
      <c r="I464" s="181">
        <v>25.712277686347107</v>
      </c>
      <c r="J464" t="s">
        <v>215</v>
      </c>
    </row>
    <row r="465" spans="6:10">
      <c r="F465" s="174">
        <v>2055</v>
      </c>
      <c r="G465" s="174">
        <v>39</v>
      </c>
      <c r="H465" s="175">
        <v>56888</v>
      </c>
      <c r="I465" s="181">
        <v>25.712277686347107</v>
      </c>
      <c r="J465" t="s">
        <v>215</v>
      </c>
    </row>
    <row r="466" spans="6:10">
      <c r="F466" s="174">
        <v>2055</v>
      </c>
      <c r="G466" s="174">
        <v>39</v>
      </c>
      <c r="H466" s="175">
        <v>56919</v>
      </c>
      <c r="I466" s="181">
        <v>25.712277686347107</v>
      </c>
      <c r="J466" t="s">
        <v>215</v>
      </c>
    </row>
    <row r="467" spans="6:10">
      <c r="F467" s="174">
        <v>2055</v>
      </c>
      <c r="G467" s="174">
        <v>39</v>
      </c>
      <c r="H467" s="175">
        <v>56949</v>
      </c>
      <c r="I467" s="181">
        <v>25.712277686347107</v>
      </c>
      <c r="J467" t="s">
        <v>215</v>
      </c>
    </row>
    <row r="468" spans="6:10">
      <c r="F468" s="174">
        <v>2056</v>
      </c>
      <c r="G468" s="174">
        <v>39</v>
      </c>
      <c r="H468" s="175">
        <v>56980</v>
      </c>
      <c r="I468" s="181">
        <v>25.712277686347111</v>
      </c>
      <c r="J468" t="s">
        <v>215</v>
      </c>
    </row>
    <row r="469" spans="6:10">
      <c r="F469" s="174">
        <v>2056</v>
      </c>
      <c r="G469" s="174">
        <v>39</v>
      </c>
      <c r="H469" s="175">
        <v>57011</v>
      </c>
      <c r="I469" s="181">
        <v>25.712277686347111</v>
      </c>
      <c r="J469" t="s">
        <v>215</v>
      </c>
    </row>
    <row r="470" spans="6:10">
      <c r="F470" s="174">
        <v>2056</v>
      </c>
      <c r="G470" s="174">
        <v>39</v>
      </c>
      <c r="H470" s="175">
        <v>57040</v>
      </c>
      <c r="I470" s="181">
        <v>25.712277686347111</v>
      </c>
      <c r="J470" t="s">
        <v>215</v>
      </c>
    </row>
    <row r="471" spans="6:10">
      <c r="F471" s="174">
        <v>2056</v>
      </c>
      <c r="G471" s="174">
        <v>39</v>
      </c>
      <c r="H471" s="175">
        <v>57071</v>
      </c>
      <c r="I471" s="181">
        <v>25.712277686347111</v>
      </c>
      <c r="J471" t="s">
        <v>215</v>
      </c>
    </row>
    <row r="472" spans="6:10">
      <c r="F472" s="174">
        <v>2056</v>
      </c>
      <c r="G472" s="174">
        <v>39</v>
      </c>
      <c r="H472" s="175">
        <v>57101</v>
      </c>
      <c r="I472" s="181">
        <v>25.712277686347111</v>
      </c>
      <c r="J472" t="s">
        <v>215</v>
      </c>
    </row>
    <row r="473" spans="6:10">
      <c r="F473" s="174">
        <v>2056</v>
      </c>
      <c r="G473" s="174">
        <v>40</v>
      </c>
      <c r="H473" s="175">
        <v>57132</v>
      </c>
      <c r="I473" s="181">
        <v>26.226523240074052</v>
      </c>
      <c r="J473" t="s">
        <v>215</v>
      </c>
    </row>
    <row r="474" spans="6:10">
      <c r="F474" s="174">
        <v>2056</v>
      </c>
      <c r="G474" s="174">
        <v>40</v>
      </c>
      <c r="H474" s="175">
        <v>57162</v>
      </c>
      <c r="I474" s="181">
        <v>26.226523240074052</v>
      </c>
      <c r="J474" t="s">
        <v>215</v>
      </c>
    </row>
    <row r="475" spans="6:10">
      <c r="F475" s="174">
        <v>2056</v>
      </c>
      <c r="G475" s="174">
        <v>40</v>
      </c>
      <c r="H475" s="175">
        <v>57193</v>
      </c>
      <c r="I475" s="181">
        <v>26.226523240074052</v>
      </c>
      <c r="J475" t="s">
        <v>215</v>
      </c>
    </row>
    <row r="476" spans="6:10">
      <c r="F476" s="174">
        <v>2056</v>
      </c>
      <c r="G476" s="174">
        <v>40</v>
      </c>
      <c r="H476" s="175">
        <v>57224</v>
      </c>
      <c r="I476" s="181">
        <v>26.226523240074052</v>
      </c>
      <c r="J476" t="s">
        <v>215</v>
      </c>
    </row>
    <row r="477" spans="6:10">
      <c r="F477" s="174">
        <v>2056</v>
      </c>
      <c r="G477" s="174">
        <v>40</v>
      </c>
      <c r="H477" s="175">
        <v>57254</v>
      </c>
      <c r="I477" s="181">
        <v>26.226523240074052</v>
      </c>
      <c r="J477" t="s">
        <v>215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R11"/>
  <sheetViews>
    <sheetView workbookViewId="0"/>
  </sheetViews>
  <sheetFormatPr defaultColWidth="8.7109375" defaultRowHeight="15"/>
  <sheetData>
    <row r="3" spans="2:18">
      <c r="B3" s="55"/>
      <c r="E3" s="5"/>
    </row>
    <row r="4" spans="2:18">
      <c r="B4" s="48"/>
    </row>
    <row r="5" spans="2:18">
      <c r="B5" s="47">
        <v>24</v>
      </c>
      <c r="C5" t="s">
        <v>180</v>
      </c>
    </row>
    <row r="6" spans="2:18">
      <c r="B6" s="179">
        <v>15</v>
      </c>
      <c r="C6" t="s">
        <v>132</v>
      </c>
    </row>
    <row r="8" spans="2:18">
      <c r="C8" t="s">
        <v>80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</row>
    <row r="9" spans="2:18">
      <c r="D9">
        <f>IF(D8&lt;=$B$6,$B$5,0)</f>
        <v>24</v>
      </c>
      <c r="E9">
        <f t="shared" ref="E9:R9" si="0">IF(E8&lt;=$B$6,$B$5,0)</f>
        <v>24</v>
      </c>
      <c r="F9">
        <f t="shared" si="0"/>
        <v>24</v>
      </c>
      <c r="G9">
        <f t="shared" si="0"/>
        <v>24</v>
      </c>
      <c r="H9">
        <f t="shared" si="0"/>
        <v>24</v>
      </c>
      <c r="I9">
        <f t="shared" si="0"/>
        <v>24</v>
      </c>
      <c r="J9">
        <f t="shared" si="0"/>
        <v>24</v>
      </c>
      <c r="K9">
        <f t="shared" si="0"/>
        <v>24</v>
      </c>
      <c r="L9">
        <f t="shared" si="0"/>
        <v>24</v>
      </c>
      <c r="M9">
        <f t="shared" si="0"/>
        <v>24</v>
      </c>
      <c r="N9">
        <f t="shared" si="0"/>
        <v>24</v>
      </c>
      <c r="O9">
        <f t="shared" si="0"/>
        <v>24</v>
      </c>
      <c r="P9">
        <f t="shared" si="0"/>
        <v>24</v>
      </c>
      <c r="Q9">
        <f t="shared" si="0"/>
        <v>24</v>
      </c>
      <c r="R9">
        <f t="shared" si="0"/>
        <v>24</v>
      </c>
    </row>
    <row r="11" spans="2:18">
      <c r="B11" t="s">
        <v>68</v>
      </c>
      <c r="C11" s="49">
        <f>NPV('Rev Req''t'!G16,D9:R9)</f>
        <v>232.80531506264694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S23"/>
  <sheetViews>
    <sheetView workbookViewId="0"/>
  </sheetViews>
  <sheetFormatPr defaultColWidth="8.7109375" defaultRowHeight="15"/>
  <cols>
    <col min="2" max="3" width="16" bestFit="1" customWidth="1"/>
    <col min="4" max="4" width="11.7109375" bestFit="1" customWidth="1"/>
    <col min="19" max="19" width="13.140625" bestFit="1" customWidth="1"/>
  </cols>
  <sheetData>
    <row r="3" spans="2:19">
      <c r="B3" s="56">
        <f>'Single System'!J2</f>
        <v>55</v>
      </c>
      <c r="C3" t="s">
        <v>134</v>
      </c>
    </row>
    <row r="4" spans="2:19">
      <c r="B4">
        <v>10</v>
      </c>
      <c r="C4" t="s">
        <v>135</v>
      </c>
    </row>
    <row r="6" spans="2:19">
      <c r="C6" t="s">
        <v>2</v>
      </c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  <c r="Q6">
        <v>14</v>
      </c>
      <c r="R6">
        <v>15</v>
      </c>
    </row>
    <row r="7" spans="2:19">
      <c r="C7" t="s">
        <v>205</v>
      </c>
      <c r="D7">
        <f>IF(D6&lt;=$B$4,$B$3*12,0)</f>
        <v>660</v>
      </c>
      <c r="E7">
        <f t="shared" ref="E7:R7" si="0">IF(E6&lt;=$B$4,$B$3*12,0)</f>
        <v>660</v>
      </c>
      <c r="F7">
        <f t="shared" si="0"/>
        <v>660</v>
      </c>
      <c r="G7">
        <f t="shared" si="0"/>
        <v>660</v>
      </c>
      <c r="H7">
        <f t="shared" si="0"/>
        <v>660</v>
      </c>
      <c r="I7">
        <f t="shared" si="0"/>
        <v>660</v>
      </c>
      <c r="J7">
        <f t="shared" si="0"/>
        <v>660</v>
      </c>
      <c r="K7">
        <f t="shared" si="0"/>
        <v>660</v>
      </c>
      <c r="L7">
        <f t="shared" si="0"/>
        <v>660</v>
      </c>
      <c r="M7">
        <f t="shared" si="0"/>
        <v>660</v>
      </c>
      <c r="N7">
        <f t="shared" si="0"/>
        <v>0</v>
      </c>
      <c r="O7">
        <f t="shared" si="0"/>
        <v>0</v>
      </c>
      <c r="P7">
        <f t="shared" si="0"/>
        <v>0</v>
      </c>
      <c r="Q7">
        <f t="shared" si="0"/>
        <v>0</v>
      </c>
      <c r="R7">
        <f t="shared" si="0"/>
        <v>0</v>
      </c>
    </row>
    <row r="9" spans="2:19">
      <c r="C9" s="49">
        <f>NPV('Rev Req''t'!G16,CustomerPay!D7:R7)</f>
        <v>4853.2943879733521</v>
      </c>
    </row>
    <row r="13" spans="2:19">
      <c r="C13" s="49"/>
      <c r="S13" s="49"/>
    </row>
    <row r="14" spans="2:19">
      <c r="C14" s="154"/>
      <c r="S14" s="49"/>
    </row>
    <row r="15" spans="2:19">
      <c r="C15" s="4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49"/>
    </row>
    <row r="16" spans="2:19">
      <c r="C16" s="4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49"/>
    </row>
    <row r="17" spans="3:19"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49"/>
    </row>
    <row r="18" spans="3:19"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49"/>
    </row>
    <row r="19" spans="3:19"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49"/>
    </row>
    <row r="20" spans="3:19">
      <c r="C20" s="4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3:19">
      <c r="C21" s="49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3:19">
      <c r="D22" s="49"/>
    </row>
    <row r="23" spans="3:19">
      <c r="D23" s="49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3:W33"/>
  <sheetViews>
    <sheetView showGridLines="0" zoomScaleNormal="100" workbookViewId="0"/>
  </sheetViews>
  <sheetFormatPr defaultColWidth="11.42578125" defaultRowHeight="15"/>
  <cols>
    <col min="3" max="3" width="36.28515625" bestFit="1" customWidth="1"/>
    <col min="4" max="4" width="12.28515625" bestFit="1" customWidth="1"/>
    <col min="5" max="5" width="12.140625" bestFit="1" customWidth="1"/>
    <col min="6" max="6" width="12.140625" customWidth="1"/>
    <col min="7" max="10" width="11.5703125" bestFit="1" customWidth="1"/>
    <col min="11" max="13" width="12.140625" customWidth="1"/>
    <col min="14" max="14" width="14.7109375" customWidth="1"/>
    <col min="15" max="21" width="10.7109375" customWidth="1"/>
    <col min="22" max="22" width="14.7109375" customWidth="1"/>
    <col min="23" max="23" width="12.140625" bestFit="1" customWidth="1"/>
  </cols>
  <sheetData>
    <row r="3" spans="3:22">
      <c r="D3" s="142"/>
      <c r="E3" s="142"/>
      <c r="F3" s="142"/>
    </row>
    <row r="4" spans="3:22">
      <c r="C4" s="150" t="s">
        <v>2</v>
      </c>
      <c r="D4" s="149">
        <v>1</v>
      </c>
      <c r="E4" s="149">
        <v>2</v>
      </c>
      <c r="F4" s="149">
        <v>3</v>
      </c>
      <c r="G4" s="149">
        <v>4</v>
      </c>
      <c r="H4" s="149">
        <v>5</v>
      </c>
      <c r="I4" s="149">
        <v>6</v>
      </c>
      <c r="J4" s="149">
        <v>7</v>
      </c>
      <c r="K4" s="149">
        <v>8</v>
      </c>
      <c r="L4" s="149">
        <v>9</v>
      </c>
      <c r="M4" s="149">
        <v>10</v>
      </c>
      <c r="N4" s="149">
        <v>11</v>
      </c>
      <c r="O4" s="149">
        <v>12</v>
      </c>
      <c r="P4" s="149">
        <v>13</v>
      </c>
      <c r="Q4" s="149">
        <v>14</v>
      </c>
      <c r="R4" s="149">
        <v>15</v>
      </c>
      <c r="S4" s="149">
        <v>16</v>
      </c>
      <c r="T4" s="149">
        <v>17</v>
      </c>
      <c r="U4" s="149">
        <v>18</v>
      </c>
    </row>
    <row r="5" spans="3:22">
      <c r="C5" s="150" t="s">
        <v>188</v>
      </c>
      <c r="D5" s="142">
        <f>500*0.8</f>
        <v>400</v>
      </c>
      <c r="E5" s="142">
        <f t="shared" ref="E5:F5" si="0">500*0.8</f>
        <v>400</v>
      </c>
      <c r="F5" s="142">
        <f t="shared" si="0"/>
        <v>400</v>
      </c>
      <c r="G5" s="142"/>
      <c r="H5" s="142"/>
      <c r="I5" s="142"/>
      <c r="J5" s="142"/>
      <c r="K5" s="142"/>
      <c r="L5" s="142"/>
      <c r="M5" s="142"/>
    </row>
    <row r="6" spans="3:22">
      <c r="C6" s="150" t="s">
        <v>192</v>
      </c>
      <c r="D6" s="142">
        <f>500*0.2</f>
        <v>100</v>
      </c>
      <c r="E6" s="142">
        <f t="shared" ref="E6:F6" si="1">500*0.2</f>
        <v>100</v>
      </c>
      <c r="F6" s="142">
        <f t="shared" si="1"/>
        <v>100</v>
      </c>
      <c r="G6" s="142"/>
      <c r="H6" s="142"/>
      <c r="I6" s="142"/>
      <c r="J6" s="142"/>
      <c r="K6" s="142"/>
      <c r="L6" s="142"/>
      <c r="M6" s="142"/>
    </row>
    <row r="7" spans="3:22">
      <c r="D7" s="142"/>
      <c r="E7" s="142"/>
      <c r="F7" s="142"/>
    </row>
    <row r="8" spans="3:22">
      <c r="C8" s="5" t="s">
        <v>182</v>
      </c>
      <c r="D8" s="142"/>
      <c r="E8" s="142"/>
      <c r="F8" s="142"/>
      <c r="V8" s="149" t="s">
        <v>204</v>
      </c>
    </row>
    <row r="9" spans="3:22">
      <c r="C9" s="144" t="s">
        <v>189</v>
      </c>
      <c r="D9" s="143">
        <f>-($D$5+$D$6)*'Rev Req''t'!G48</f>
        <v>-1581741.6947334697</v>
      </c>
      <c r="E9" s="143">
        <f>-($D$5+$D$6)*'Rev Req''t'!H48</f>
        <v>-1488878.8770580885</v>
      </c>
      <c r="F9" s="143">
        <f>-($D$5+$D$6)*'Rev Req''t'!I48</f>
        <v>-1392064.1992182271</v>
      </c>
      <c r="G9" s="143">
        <f>-($D$5+$D$6)*'Rev Req''t'!J48</f>
        <v>-1308301.3202274907</v>
      </c>
      <c r="H9" s="143">
        <f>-($D$5+$D$6)*'Rev Req''t'!K48</f>
        <v>-1233580.7826005123</v>
      </c>
      <c r="I9" s="143">
        <f>-($D$5+$D$6)*'Rev Req''t'!L48</f>
        <v>-1161917.1987696856</v>
      </c>
      <c r="J9" s="143">
        <f>-($D$5+$D$6)*'Rev Req''t'!M48</f>
        <v>-1090253.6149388589</v>
      </c>
      <c r="K9" s="143">
        <f>-($D$5+$D$6)*'Rev Req''t'!N48</f>
        <v>-1023392.5257028796</v>
      </c>
      <c r="L9" s="143">
        <f>-($D$5+$D$6)*'Rev Req''t'!O48</f>
        <v>-965660.17381198786</v>
      </c>
      <c r="M9" s="143">
        <f>-($D$5+$D$6)*'Rev Req''t'!P48</f>
        <v>-912759.11517638667</v>
      </c>
      <c r="N9" s="143">
        <f>-($D$5+$D$6)*'Rev Req''t'!Q48</f>
        <v>0</v>
      </c>
      <c r="O9" s="143">
        <f>-($D$5+$D$6)*'Rev Req''t'!R48</f>
        <v>0</v>
      </c>
      <c r="P9" s="143">
        <f>-($D$5+$D$6)*'Rev Req''t'!S48</f>
        <v>0</v>
      </c>
      <c r="Q9" s="143">
        <f>-($D$5+$D$6)*'Rev Req''t'!T48</f>
        <v>0</v>
      </c>
      <c r="R9" s="143">
        <f>-($D$5+$D$6)*'Rev Req''t'!U48</f>
        <v>0</v>
      </c>
      <c r="S9" s="143">
        <f>-($D$5+$D$6)*'Rev Req''t'!V48</f>
        <v>0</v>
      </c>
      <c r="T9" s="143">
        <f>-($D$5+$D$6)*'Rev Req''t'!W48</f>
        <v>0</v>
      </c>
      <c r="U9" s="143">
        <f>-($D$5+$D$6)*'Rev Req''t'!X48</f>
        <v>0</v>
      </c>
      <c r="V9" s="143">
        <f>NPV('Rev Req''t'!$G$16,D9:R9)</f>
        <v>-9204268.0531034935</v>
      </c>
    </row>
    <row r="10" spans="3:22">
      <c r="C10" s="144" t="s">
        <v>190</v>
      </c>
      <c r="D10" s="143">
        <v>0</v>
      </c>
      <c r="E10" s="143">
        <f>-(($E$5+$E$6)*'Rev Req''t'!G48)</f>
        <v>-1581741.6947334697</v>
      </c>
      <c r="F10" s="143">
        <f>-(($E$5+$E$6)*'Rev Req''t'!H48)</f>
        <v>-1488878.8770580885</v>
      </c>
      <c r="G10" s="143">
        <f>-(($E$5+$E$6)*'Rev Req''t'!I48)</f>
        <v>-1392064.1992182271</v>
      </c>
      <c r="H10" s="143">
        <f>-(($E$5+$E$6)*'Rev Req''t'!J48)</f>
        <v>-1308301.3202274907</v>
      </c>
      <c r="I10" s="143">
        <f>-(($E$5+$E$6)*'Rev Req''t'!K48)</f>
        <v>-1233580.7826005123</v>
      </c>
      <c r="J10" s="143">
        <f>-(($E$5+$E$6)*'Rev Req''t'!L48)</f>
        <v>-1161917.1987696856</v>
      </c>
      <c r="K10" s="143">
        <f>-(($E$5+$E$6)*'Rev Req''t'!M48)</f>
        <v>-1090253.6149388589</v>
      </c>
      <c r="L10" s="143">
        <f>-(($E$5+$E$6)*'Rev Req''t'!N48)</f>
        <v>-1023392.5257028796</v>
      </c>
      <c r="M10" s="143">
        <f>-(($E$5+$E$6)*'Rev Req''t'!O48)</f>
        <v>-965660.17381198786</v>
      </c>
      <c r="N10" s="143">
        <f>-(($E$5+$E$6)*'Rev Req''t'!P48)</f>
        <v>-912759.11517638667</v>
      </c>
      <c r="O10" s="143">
        <f>-(($E$5+$E$6)*'Rev Req''t'!Q48)</f>
        <v>0</v>
      </c>
      <c r="P10" s="143">
        <f>-(($E$5+$E$6)*'Rev Req''t'!R48)</f>
        <v>0</v>
      </c>
      <c r="Q10" s="143">
        <f>-(($E$5+$E$6)*'Rev Req''t'!S48)</f>
        <v>0</v>
      </c>
      <c r="R10" s="143">
        <f>-(($E$5+$E$6)*'Rev Req''t'!T48)</f>
        <v>0</v>
      </c>
      <c r="S10" s="143">
        <f>-(($E$5+$E$6)*'Rev Req''t'!U48)</f>
        <v>0</v>
      </c>
      <c r="T10" s="143">
        <f>-(($E$5+$E$6)*'Rev Req''t'!V48)</f>
        <v>0</v>
      </c>
      <c r="U10" s="143">
        <f>-(($E$5+$E$6)*'Rev Req''t'!W48)</f>
        <v>0</v>
      </c>
      <c r="V10" s="143">
        <f>NPV('Rev Req''t'!$G$16,D10:R10)</f>
        <v>-8681717.9665681459</v>
      </c>
    </row>
    <row r="11" spans="3:22">
      <c r="C11" s="144" t="s">
        <v>191</v>
      </c>
      <c r="D11" s="146">
        <v>0</v>
      </c>
      <c r="E11" s="146">
        <v>0</v>
      </c>
      <c r="F11" s="146">
        <f>-(($F$5+$F$6)*'Rev Req''t'!G48)</f>
        <v>-1581741.6947334697</v>
      </c>
      <c r="G11" s="146">
        <f>-(($F$5+$F$6)*'Rev Req''t'!H48)</f>
        <v>-1488878.8770580885</v>
      </c>
      <c r="H11" s="146">
        <f>-(($F$5+$F$6)*'Rev Req''t'!I48)</f>
        <v>-1392064.1992182271</v>
      </c>
      <c r="I11" s="146">
        <f>-(($F$5+$F$6)*'Rev Req''t'!J48)</f>
        <v>-1308301.3202274907</v>
      </c>
      <c r="J11" s="146">
        <f>-(($F$5+$F$6)*'Rev Req''t'!K48)</f>
        <v>-1233580.7826005123</v>
      </c>
      <c r="K11" s="146">
        <f>-(($F$5+$F$6)*'Rev Req''t'!L48)</f>
        <v>-1161917.1987696856</v>
      </c>
      <c r="L11" s="146">
        <f>-(($F$5+$F$6)*'Rev Req''t'!M48)</f>
        <v>-1090253.6149388589</v>
      </c>
      <c r="M11" s="146">
        <f>-(($F$5+$F$6)*'Rev Req''t'!N48)</f>
        <v>-1023392.5257028796</v>
      </c>
      <c r="N11" s="146">
        <f>-(($F$5+$F$6)*'Rev Req''t'!O48)</f>
        <v>-965660.17381198786</v>
      </c>
      <c r="O11" s="146">
        <f>-(($F$5+$F$6)*'Rev Req''t'!P48)</f>
        <v>-912759.11517638667</v>
      </c>
      <c r="P11" s="146">
        <f>-(($F$5+$F$6)*'Rev Req''t'!Q48)</f>
        <v>0</v>
      </c>
      <c r="Q11" s="146">
        <f>-(($F$5+$F$6)*'Rev Req''t'!R48)</f>
        <v>0</v>
      </c>
      <c r="R11" s="146">
        <f>-(($F$5+$F$6)*'Rev Req''t'!S48)</f>
        <v>0</v>
      </c>
      <c r="S11" s="146">
        <f>-(($F$5+$F$6)*'Rev Req''t'!T48)</f>
        <v>0</v>
      </c>
      <c r="T11" s="146">
        <f>-(($F$5+$F$6)*'Rev Req''t'!U48)</f>
        <v>0</v>
      </c>
      <c r="U11" s="146">
        <f>-(($F$5+$F$6)*'Rev Req''t'!V48)</f>
        <v>0</v>
      </c>
      <c r="V11" s="146">
        <f>NPV('Rev Req''t'!$G$16,D11:R11)</f>
        <v>-8188834.3990175454</v>
      </c>
    </row>
    <row r="12" spans="3:22">
      <c r="C12" s="144" t="s">
        <v>199</v>
      </c>
      <c r="D12" s="143">
        <f t="shared" ref="D12:R12" si="2">SUM(D9:D11)</f>
        <v>-1581741.6947334697</v>
      </c>
      <c r="E12" s="143">
        <f t="shared" si="2"/>
        <v>-3070620.5717915585</v>
      </c>
      <c r="F12" s="143">
        <f t="shared" si="2"/>
        <v>-4462684.7710097851</v>
      </c>
      <c r="G12" s="143">
        <f t="shared" si="2"/>
        <v>-4189244.3965038061</v>
      </c>
      <c r="H12" s="143">
        <f t="shared" si="2"/>
        <v>-3933946.3020462301</v>
      </c>
      <c r="I12" s="143">
        <f t="shared" si="2"/>
        <v>-3703799.3015976883</v>
      </c>
      <c r="J12" s="143">
        <f t="shared" si="2"/>
        <v>-3485751.596309057</v>
      </c>
      <c r="K12" s="143">
        <f t="shared" si="2"/>
        <v>-3275563.3394114245</v>
      </c>
      <c r="L12" s="143">
        <f t="shared" si="2"/>
        <v>-3079306.3144537266</v>
      </c>
      <c r="M12" s="143">
        <f t="shared" si="2"/>
        <v>-2901811.8146912544</v>
      </c>
      <c r="N12" s="143">
        <f t="shared" si="2"/>
        <v>-1878419.2889883746</v>
      </c>
      <c r="O12" s="143">
        <f t="shared" si="2"/>
        <v>-912759.11517638667</v>
      </c>
      <c r="P12" s="143">
        <f t="shared" si="2"/>
        <v>0</v>
      </c>
      <c r="Q12" s="143">
        <f t="shared" si="2"/>
        <v>0</v>
      </c>
      <c r="R12" s="143">
        <f t="shared" si="2"/>
        <v>0</v>
      </c>
      <c r="S12" s="143">
        <f t="shared" ref="S12:U12" si="3">SUM(S9:S11)</f>
        <v>0</v>
      </c>
      <c r="T12" s="143">
        <f t="shared" si="3"/>
        <v>0</v>
      </c>
      <c r="U12" s="143">
        <f t="shared" si="3"/>
        <v>0</v>
      </c>
      <c r="V12" s="143">
        <f>NPV('Rev Req''t'!$G$16,D12:U12)</f>
        <v>-26074820.418689184</v>
      </c>
    </row>
    <row r="13" spans="3:22">
      <c r="C13" s="144" t="s">
        <v>196</v>
      </c>
      <c r="D13" s="143">
        <f>-SUM($D$5:$D$6)*PowerhubCost!D9</f>
        <v>-12000</v>
      </c>
      <c r="E13" s="143">
        <f>-SUM($D$5:$D$6)*PowerhubCost!E9</f>
        <v>-12000</v>
      </c>
      <c r="F13" s="143">
        <f>-SUM($D$5:$D$6)*PowerhubCost!F9</f>
        <v>-12000</v>
      </c>
      <c r="G13" s="143">
        <f>-SUM($D$5:$D$6)*PowerhubCost!G9</f>
        <v>-12000</v>
      </c>
      <c r="H13" s="143">
        <f>-SUM($D$5:$D$6)*PowerhubCost!H9</f>
        <v>-12000</v>
      </c>
      <c r="I13" s="143">
        <f>-SUM($D$5:$D$6)*PowerhubCost!I9</f>
        <v>-12000</v>
      </c>
      <c r="J13" s="143">
        <f>-SUM($D$5:$D$6)*PowerhubCost!J9</f>
        <v>-12000</v>
      </c>
      <c r="K13" s="143">
        <f>-SUM($D$5:$D$6)*PowerhubCost!K9</f>
        <v>-12000</v>
      </c>
      <c r="L13" s="143">
        <f>-SUM($D$5:$D$6)*PowerhubCost!L9</f>
        <v>-12000</v>
      </c>
      <c r="M13" s="143">
        <f>-SUM($D$5:$D$6)*PowerhubCost!M9</f>
        <v>-12000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f>NPV('Rev Req''t'!$G$16,D13:R13)</f>
        <v>-88241.716144970065</v>
      </c>
    </row>
    <row r="14" spans="3:22">
      <c r="C14" s="144" t="s">
        <v>197</v>
      </c>
      <c r="D14" s="143">
        <v>0</v>
      </c>
      <c r="E14" s="143">
        <f>-SUM($E$5:$E$6)*PowerhubCost!D9</f>
        <v>-12000</v>
      </c>
      <c r="F14" s="143">
        <f>-SUM($E$5:$E$6)*PowerhubCost!E9</f>
        <v>-12000</v>
      </c>
      <c r="G14" s="143">
        <f>-SUM($E$5:$E$6)*PowerhubCost!F9</f>
        <v>-12000</v>
      </c>
      <c r="H14" s="143">
        <f>-SUM($E$5:$E$6)*PowerhubCost!G9</f>
        <v>-12000</v>
      </c>
      <c r="I14" s="143">
        <f>-SUM($E$5:$E$6)*PowerhubCost!H9</f>
        <v>-12000</v>
      </c>
      <c r="J14" s="143">
        <f>-SUM($E$5:$E$6)*PowerhubCost!I9</f>
        <v>-12000</v>
      </c>
      <c r="K14" s="143">
        <f>-SUM($E$5:$E$6)*PowerhubCost!J9</f>
        <v>-12000</v>
      </c>
      <c r="L14" s="143">
        <f>-SUM($E$5:$E$6)*PowerhubCost!K9</f>
        <v>-12000</v>
      </c>
      <c r="M14" s="143">
        <f>-SUM($E$5:$E$6)*PowerhubCost!L9</f>
        <v>-12000</v>
      </c>
      <c r="N14" s="143">
        <f>-SUM($E$5:$E$6)*PowerhubCost!M9</f>
        <v>-12000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f>NPV('Rev Req''t'!$G$16,D14:R14)</f>
        <v>-83232.005851707348</v>
      </c>
    </row>
    <row r="15" spans="3:22">
      <c r="C15" s="144" t="s">
        <v>198</v>
      </c>
      <c r="D15" s="146">
        <v>0</v>
      </c>
      <c r="E15" s="146">
        <v>0</v>
      </c>
      <c r="F15" s="146">
        <f>-SUM($F$5:$F$6)*PowerhubCost!D9</f>
        <v>-12000</v>
      </c>
      <c r="G15" s="146">
        <f>-SUM($F$5:$F$6)*PowerhubCost!E9</f>
        <v>-12000</v>
      </c>
      <c r="H15" s="146">
        <f>-SUM($F$5:$F$6)*PowerhubCost!F9</f>
        <v>-12000</v>
      </c>
      <c r="I15" s="146">
        <f>-SUM($F$5:$F$6)*PowerhubCost!G9</f>
        <v>-12000</v>
      </c>
      <c r="J15" s="146">
        <f>-SUM($F$5:$F$6)*PowerhubCost!H9</f>
        <v>-12000</v>
      </c>
      <c r="K15" s="146">
        <f>-SUM($F$5:$F$6)*PowerhubCost!I9</f>
        <v>-12000</v>
      </c>
      <c r="L15" s="146">
        <f>-SUM($F$5:$F$6)*PowerhubCost!J9</f>
        <v>-12000</v>
      </c>
      <c r="M15" s="146">
        <f>-SUM($F$5:$F$6)*PowerhubCost!K9</f>
        <v>-12000</v>
      </c>
      <c r="N15" s="146">
        <f>-SUM($F$5:$F$6)*PowerhubCost!L9</f>
        <v>-12000</v>
      </c>
      <c r="O15" s="146">
        <f>-SUM($F$5:$F$6)*PowerhubCost!M9</f>
        <v>-12000</v>
      </c>
      <c r="P15" s="146">
        <v>0</v>
      </c>
      <c r="Q15" s="146">
        <v>0</v>
      </c>
      <c r="R15" s="146">
        <v>0</v>
      </c>
      <c r="S15" s="146">
        <v>0</v>
      </c>
      <c r="T15" s="146">
        <v>0</v>
      </c>
      <c r="U15" s="146">
        <v>0</v>
      </c>
      <c r="V15" s="146">
        <f>NPV('Rev Req''t'!$G$16,D15:R15)</f>
        <v>-78506.709759786652</v>
      </c>
    </row>
    <row r="16" spans="3:22">
      <c r="C16" s="144" t="s">
        <v>183</v>
      </c>
      <c r="D16" s="146">
        <f>SUM(D13:D15)</f>
        <v>-12000</v>
      </c>
      <c r="E16" s="146">
        <f t="shared" ref="E16:N16" si="4">SUM(E13:E15)</f>
        <v>-24000</v>
      </c>
      <c r="F16" s="146">
        <f t="shared" si="4"/>
        <v>-36000</v>
      </c>
      <c r="G16" s="146">
        <f t="shared" si="4"/>
        <v>-36000</v>
      </c>
      <c r="H16" s="146">
        <f t="shared" si="4"/>
        <v>-36000</v>
      </c>
      <c r="I16" s="146">
        <f t="shared" si="4"/>
        <v>-36000</v>
      </c>
      <c r="J16" s="146">
        <f t="shared" si="4"/>
        <v>-36000</v>
      </c>
      <c r="K16" s="146">
        <f t="shared" si="4"/>
        <v>-36000</v>
      </c>
      <c r="L16" s="146">
        <f t="shared" si="4"/>
        <v>-36000</v>
      </c>
      <c r="M16" s="146">
        <f t="shared" si="4"/>
        <v>-36000</v>
      </c>
      <c r="N16" s="146">
        <f t="shared" si="4"/>
        <v>-24000</v>
      </c>
      <c r="O16" s="146">
        <f>SUM(O13:O15)</f>
        <v>-12000</v>
      </c>
      <c r="P16" s="146">
        <f t="shared" ref="P16" si="5">SUM(P13:P15)</f>
        <v>0</v>
      </c>
      <c r="Q16" s="146">
        <f t="shared" ref="Q16" si="6">SUM(Q13:Q15)</f>
        <v>0</v>
      </c>
      <c r="R16" s="146">
        <f t="shared" ref="R16" si="7">SUM(R13:R15)</f>
        <v>0</v>
      </c>
      <c r="S16" s="146">
        <f t="shared" ref="S16" si="8">SUM(S13:S15)</f>
        <v>0</v>
      </c>
      <c r="T16" s="146">
        <f t="shared" ref="T16:U16" si="9">SUM(T13:T15)</f>
        <v>0</v>
      </c>
      <c r="U16" s="146">
        <f t="shared" si="9"/>
        <v>0</v>
      </c>
      <c r="V16" s="146">
        <f>NPV('Rev Req''t'!$G$16,D16:U16)</f>
        <v>-249980.43175646395</v>
      </c>
    </row>
    <row r="17" spans="3:23">
      <c r="C17" s="5" t="s">
        <v>184</v>
      </c>
      <c r="D17" s="145">
        <f>SUM(D12,D16)</f>
        <v>-1593741.6947334697</v>
      </c>
      <c r="E17" s="145">
        <f>SUM(E12,E16)</f>
        <v>-3094620.5717915585</v>
      </c>
      <c r="F17" s="145">
        <f t="shared" ref="F17:L17" si="10">SUM(F12,F16)</f>
        <v>-4498684.7710097851</v>
      </c>
      <c r="G17" s="145">
        <f t="shared" si="10"/>
        <v>-4225244.3965038061</v>
      </c>
      <c r="H17" s="145">
        <f t="shared" si="10"/>
        <v>-3969946.3020462301</v>
      </c>
      <c r="I17" s="145">
        <f t="shared" si="10"/>
        <v>-3739799.3015976883</v>
      </c>
      <c r="J17" s="145">
        <f t="shared" si="10"/>
        <v>-3521751.596309057</v>
      </c>
      <c r="K17" s="145">
        <f t="shared" si="10"/>
        <v>-3311563.3394114245</v>
      </c>
      <c r="L17" s="145">
        <f t="shared" si="10"/>
        <v>-3115306.3144537266</v>
      </c>
      <c r="M17" s="145">
        <f>SUM(M12,M16)</f>
        <v>-2937811.8146912544</v>
      </c>
      <c r="N17" s="145">
        <f t="shared" ref="N17" si="11">SUM(N12,N16)</f>
        <v>-1902419.2889883746</v>
      </c>
      <c r="O17" s="145">
        <f t="shared" ref="O17" si="12">SUM(O12,O16)</f>
        <v>-924759.11517638667</v>
      </c>
      <c r="P17" s="145">
        <f t="shared" ref="P17" si="13">SUM(P12,P16)</f>
        <v>0</v>
      </c>
      <c r="Q17" s="145">
        <f t="shared" ref="Q17" si="14">SUM(Q12,Q16)</f>
        <v>0</v>
      </c>
      <c r="R17" s="145">
        <f t="shared" ref="R17" si="15">SUM(R12,R16)</f>
        <v>0</v>
      </c>
      <c r="S17" s="145">
        <f t="shared" ref="S17" si="16">SUM(S12,S16)</f>
        <v>0</v>
      </c>
      <c r="T17" s="145">
        <f t="shared" ref="T17:U17" si="17">SUM(T12,T16)</f>
        <v>0</v>
      </c>
      <c r="U17" s="145">
        <f t="shared" si="17"/>
        <v>0</v>
      </c>
      <c r="V17" s="145">
        <f>NPV('Rev Req''t'!$G$16,D17:U17)</f>
        <v>-26324800.850445647</v>
      </c>
      <c r="W17" s="47"/>
    </row>
    <row r="18" spans="3:23">
      <c r="C18" s="5" t="s">
        <v>61</v>
      </c>
      <c r="D18" s="143"/>
      <c r="E18" s="143"/>
      <c r="F18" s="143"/>
      <c r="V18" s="143"/>
    </row>
    <row r="19" spans="3:23">
      <c r="C19" s="144" t="s">
        <v>193</v>
      </c>
      <c r="D19" s="143">
        <f>($D$5+$D$6)*'Monthly Capacity Value'!C33</f>
        <v>585394.99999999988</v>
      </c>
      <c r="E19" s="143">
        <f>($D$5+$D$6)*'Monthly Capacity Value'!D33</f>
        <v>752445</v>
      </c>
      <c r="F19" s="143">
        <f>($D$5+$D$6)*'Monthly Capacity Value'!E33</f>
        <v>826540</v>
      </c>
      <c r="G19" s="143">
        <f>($D$5+$D$6)*'Monthly Capacity Value'!F33</f>
        <v>830294.99999999988</v>
      </c>
      <c r="H19" s="143">
        <f>($D$5+$D$6)*'Monthly Capacity Value'!G33</f>
        <v>858770</v>
      </c>
      <c r="I19" s="143">
        <f>($D$5+$D$6)*'Monthly Capacity Value'!H33</f>
        <v>926254.99999999988</v>
      </c>
      <c r="J19" s="143">
        <f>($D$5+$D$6)*'Monthly Capacity Value'!I33</f>
        <v>953065</v>
      </c>
      <c r="K19" s="143">
        <f>($D$5+$D$6)*'Monthly Capacity Value'!J33</f>
        <v>985475</v>
      </c>
      <c r="L19" s="143">
        <f>($D$5+$D$6)*'Monthly Capacity Value'!K33</f>
        <v>1007160.0000000001</v>
      </c>
      <c r="M19" s="143">
        <f>($D$5+$D$6)*'Monthly Capacity Value'!L33</f>
        <v>1040929.9999999999</v>
      </c>
      <c r="N19" s="143">
        <f>($D$5+$D$6)*'Monthly Capacity Value'!M33</f>
        <v>871435.00000000012</v>
      </c>
      <c r="O19" s="143">
        <f>($D$5+$D$6)*'Monthly Capacity Value'!N33</f>
        <v>809834.99999999977</v>
      </c>
      <c r="P19" s="143">
        <f>($D$5+$D$6)*'Monthly Capacity Value'!O33</f>
        <v>687409.99999999988</v>
      </c>
      <c r="Q19" s="143">
        <f>($D$5+$D$6)*'Monthly Capacity Value'!P33</f>
        <v>395330</v>
      </c>
      <c r="R19" s="143">
        <f>($D$5+$D$6)*'Monthly Capacity Value'!Q33</f>
        <v>117154.99999999999</v>
      </c>
      <c r="S19" s="143">
        <f>($D$5+$D$6)*'Monthly Capacity Value'!R33</f>
        <v>0</v>
      </c>
      <c r="T19" s="143"/>
      <c r="U19" s="143"/>
      <c r="V19" s="143">
        <f>NPV('Rev Req''t'!$G$16,D19:S19)</f>
        <v>7696139.3798073819</v>
      </c>
    </row>
    <row r="20" spans="3:23">
      <c r="C20" s="144" t="s">
        <v>194</v>
      </c>
      <c r="D20" s="143">
        <v>0</v>
      </c>
      <c r="E20" s="143">
        <f>($E$5+$E$6)*'Monthly Capacity Value'!C33</f>
        <v>585394.99999999988</v>
      </c>
      <c r="F20" s="143">
        <f>($E$5+$E$6)*'Monthly Capacity Value'!D33</f>
        <v>752445</v>
      </c>
      <c r="G20" s="143">
        <f>($E$5+$E$6)*'Monthly Capacity Value'!E33</f>
        <v>826540</v>
      </c>
      <c r="H20" s="143">
        <f>($E$5+$E$6)*'Monthly Capacity Value'!F33</f>
        <v>830294.99999999988</v>
      </c>
      <c r="I20" s="143">
        <f>($E$5+$E$6)*'Monthly Capacity Value'!G33</f>
        <v>858770</v>
      </c>
      <c r="J20" s="143">
        <f>($E$5+$E$6)*'Monthly Capacity Value'!H33</f>
        <v>926254.99999999988</v>
      </c>
      <c r="K20" s="143">
        <f>($E$5+$E$6)*'Monthly Capacity Value'!I33</f>
        <v>953065</v>
      </c>
      <c r="L20" s="143">
        <f>($E$5+$E$6)*'Monthly Capacity Value'!J33</f>
        <v>985475</v>
      </c>
      <c r="M20" s="143">
        <f>($E$5+$E$6)*'Monthly Capacity Value'!K33</f>
        <v>1007160.0000000001</v>
      </c>
      <c r="N20" s="143">
        <f>($E$5+$E$6)*'Monthly Capacity Value'!L33</f>
        <v>1040929.9999999999</v>
      </c>
      <c r="O20" s="143">
        <f>($E$5+$E$6)*'Monthly Capacity Value'!M33</f>
        <v>871435.00000000012</v>
      </c>
      <c r="P20" s="143">
        <f>($E$5+$E$6)*'Monthly Capacity Value'!N33</f>
        <v>809834.99999999977</v>
      </c>
      <c r="Q20" s="143">
        <f>($E$5+$E$6)*'Monthly Capacity Value'!O33</f>
        <v>687409.99999999988</v>
      </c>
      <c r="R20" s="143">
        <f>($E$5+$E$6)*'Monthly Capacity Value'!P33</f>
        <v>395330</v>
      </c>
      <c r="S20" s="143">
        <f>($E$5+$E$6)*'Monthly Capacity Value'!Q33</f>
        <v>117154.99999999999</v>
      </c>
      <c r="T20" s="143">
        <f>($E$5+$E$6)*'Monthly Capacity Value'!R33</f>
        <v>0</v>
      </c>
      <c r="U20" s="143"/>
      <c r="V20" s="143">
        <f>NPV('Rev Req''t'!$G$16,D20:T20)</f>
        <v>7259209.6559332022</v>
      </c>
    </row>
    <row r="21" spans="3:23">
      <c r="C21" s="144" t="s">
        <v>195</v>
      </c>
      <c r="D21" s="146">
        <v>0</v>
      </c>
      <c r="E21" s="146">
        <v>0</v>
      </c>
      <c r="F21" s="146">
        <f>($F$5+$F$6)*'Monthly Capacity Value'!C33</f>
        <v>585394.99999999988</v>
      </c>
      <c r="G21" s="146">
        <f>($F$5+$F$6)*'Monthly Capacity Value'!D33</f>
        <v>752445</v>
      </c>
      <c r="H21" s="146">
        <f>($F$5+$F$6)*'Monthly Capacity Value'!E33</f>
        <v>826540</v>
      </c>
      <c r="I21" s="146">
        <f>($F$5+$F$6)*'Monthly Capacity Value'!F33</f>
        <v>830294.99999999988</v>
      </c>
      <c r="J21" s="146">
        <f>($F$5+$F$6)*'Monthly Capacity Value'!G33</f>
        <v>858770</v>
      </c>
      <c r="K21" s="146">
        <f>($F$5+$F$6)*'Monthly Capacity Value'!H33</f>
        <v>926254.99999999988</v>
      </c>
      <c r="L21" s="146">
        <f>($F$5+$F$6)*'Monthly Capacity Value'!I33</f>
        <v>953065</v>
      </c>
      <c r="M21" s="146">
        <f>($F$5+$F$6)*'Monthly Capacity Value'!J33</f>
        <v>985475</v>
      </c>
      <c r="N21" s="146">
        <f>($F$5+$F$6)*'Monthly Capacity Value'!K33</f>
        <v>1007160.0000000001</v>
      </c>
      <c r="O21" s="146">
        <f>($F$5+$F$6)*'Monthly Capacity Value'!L33</f>
        <v>1040929.9999999999</v>
      </c>
      <c r="P21" s="146">
        <f>($F$5+$F$6)*'Monthly Capacity Value'!M33</f>
        <v>871435.00000000012</v>
      </c>
      <c r="Q21" s="146">
        <f>($F$5+$F$6)*'Monthly Capacity Value'!N33</f>
        <v>809834.99999999977</v>
      </c>
      <c r="R21" s="146">
        <f>($F$5+$F$6)*'Monthly Capacity Value'!O33</f>
        <v>687409.99999999988</v>
      </c>
      <c r="S21" s="146">
        <f>($F$5+$F$6)*'Monthly Capacity Value'!P33</f>
        <v>395330</v>
      </c>
      <c r="T21" s="146">
        <f>($F$5+$F$6)*'Monthly Capacity Value'!Q33</f>
        <v>117154.99999999999</v>
      </c>
      <c r="U21" s="146">
        <f>($F$5+$F$6)*'Monthly Capacity Value'!R33</f>
        <v>0</v>
      </c>
      <c r="V21" s="146">
        <f>NPV('Rev Req''t'!$G$16,D21:U21)</f>
        <v>6847085.5617628796</v>
      </c>
    </row>
    <row r="22" spans="3:23">
      <c r="C22" s="144" t="s">
        <v>185</v>
      </c>
      <c r="D22" s="143">
        <f>SUM(D19:D21)</f>
        <v>585394.99999999988</v>
      </c>
      <c r="E22" s="143">
        <f t="shared" ref="E22:F22" si="18">SUM(E19:E21)</f>
        <v>1337840</v>
      </c>
      <c r="F22" s="143">
        <f t="shared" si="18"/>
        <v>2164380</v>
      </c>
      <c r="G22" s="143">
        <f t="shared" ref="G22" si="19">SUM(G19:G21)</f>
        <v>2409280</v>
      </c>
      <c r="H22" s="143">
        <f t="shared" ref="H22" si="20">SUM(H19:H21)</f>
        <v>2515605</v>
      </c>
      <c r="I22" s="143">
        <f t="shared" ref="I22" si="21">SUM(I19:I21)</f>
        <v>2615320</v>
      </c>
      <c r="J22" s="143">
        <f t="shared" ref="J22" si="22">SUM(J19:J21)</f>
        <v>2738090</v>
      </c>
      <c r="K22" s="143">
        <f t="shared" ref="K22" si="23">SUM(K19:K21)</f>
        <v>2864795</v>
      </c>
      <c r="L22" s="143">
        <f t="shared" ref="L22:M22" si="24">SUM(L19:L21)</f>
        <v>2945700</v>
      </c>
      <c r="M22" s="143">
        <f t="shared" si="24"/>
        <v>3033565</v>
      </c>
      <c r="N22" s="143">
        <f t="shared" ref="N22" si="25">SUM(N19:N21)</f>
        <v>2919525</v>
      </c>
      <c r="O22" s="143">
        <f t="shared" ref="O22" si="26">SUM(O19:O21)</f>
        <v>2722200</v>
      </c>
      <c r="P22" s="143">
        <f t="shared" ref="P22" si="27">SUM(P19:P21)</f>
        <v>2368679.9999999995</v>
      </c>
      <c r="Q22" s="143">
        <f t="shared" ref="Q22" si="28">SUM(Q19:Q21)</f>
        <v>1892574.9999999998</v>
      </c>
      <c r="R22" s="143">
        <f t="shared" ref="R22:U22" si="29">SUM(R19:R21)</f>
        <v>1199895</v>
      </c>
      <c r="S22" s="143">
        <f t="shared" si="29"/>
        <v>512485</v>
      </c>
      <c r="T22" s="143">
        <f t="shared" si="29"/>
        <v>117154.99999999999</v>
      </c>
      <c r="U22" s="143">
        <f t="shared" si="29"/>
        <v>0</v>
      </c>
      <c r="V22" s="143">
        <f>NPV('Rev Req''t'!$G$16,D22:U22)</f>
        <v>21802434.597503461</v>
      </c>
    </row>
    <row r="23" spans="3:23">
      <c r="C23" s="158" t="s">
        <v>209</v>
      </c>
      <c r="D23" s="159">
        <f>SUM(D5:D6)*Assumptions!$B$15</f>
        <v>242499.99999999997</v>
      </c>
      <c r="E23" s="159">
        <f>SUM(E5:E6)*Assumptions!$B$15</f>
        <v>242499.99999999997</v>
      </c>
      <c r="F23" s="159">
        <f>SUM(F5:F6)*Assumptions!$B$15</f>
        <v>242499.99999999997</v>
      </c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>
        <f>NPV('Rev Req''t'!$G$16,D23:U23)</f>
        <v>647977.94809177646</v>
      </c>
      <c r="W23" s="49"/>
    </row>
    <row r="24" spans="3:23">
      <c r="C24" s="144" t="s">
        <v>213</v>
      </c>
      <c r="D24" s="143">
        <f>(D5+D6)*'Rev Req''t'!$F$22</f>
        <v>616955</v>
      </c>
      <c r="E24" s="143">
        <f>(E5+E6)*'Rev Req''t'!$F$22</f>
        <v>616955</v>
      </c>
      <c r="F24" s="143">
        <f>(F5+F6)*'Rev Req''t'!$F$22</f>
        <v>616955</v>
      </c>
      <c r="G24" s="143">
        <f>G5*'Rev Req''t'!$F$22</f>
        <v>0</v>
      </c>
      <c r="H24" s="143">
        <f>H5*'Rev Req''t'!$F$22</f>
        <v>0</v>
      </c>
      <c r="I24" s="143">
        <f>I5*'Rev Req''t'!$F$22</f>
        <v>0</v>
      </c>
      <c r="J24" s="143">
        <f>J5*'Rev Req''t'!$F$22</f>
        <v>0</v>
      </c>
      <c r="K24" s="143">
        <f>K5*'Rev Req''t'!$F$22</f>
        <v>0</v>
      </c>
      <c r="L24" s="143">
        <f>L5*'Rev Req''t'!$F$22</f>
        <v>0</v>
      </c>
      <c r="M24" s="143">
        <f>M5*'Rev Req''t'!$F$22</f>
        <v>0</v>
      </c>
      <c r="N24" s="143">
        <f>N5*'Rev Req''t'!$F$22</f>
        <v>0</v>
      </c>
      <c r="O24" s="143">
        <f>O5*'Rev Req''t'!$F$22</f>
        <v>0</v>
      </c>
      <c r="P24" s="143">
        <f>P5*'Rev Req''t'!$F$22</f>
        <v>0</v>
      </c>
      <c r="Q24" s="143">
        <f>Q5*'Rev Req''t'!$F$22</f>
        <v>0</v>
      </c>
      <c r="R24" s="143">
        <f>R5*'Rev Req''t'!$F$22</f>
        <v>0</v>
      </c>
      <c r="S24" s="143">
        <f>S5*'Rev Req''t'!$F$22</f>
        <v>0</v>
      </c>
      <c r="T24" s="143">
        <f>T5*'Rev Req''t'!$F$22</f>
        <v>0</v>
      </c>
      <c r="U24" s="143">
        <f>U5*'Rev Req''t'!$F$22</f>
        <v>0</v>
      </c>
      <c r="V24" s="143">
        <f>NPV('Rev Req''t'!$G$16,D24:U24)</f>
        <v>1648549.4225359259</v>
      </c>
    </row>
    <row r="25" spans="3:23">
      <c r="C25" s="144" t="s">
        <v>206</v>
      </c>
      <c r="D25" s="143">
        <f>D6*5500</f>
        <v>550000</v>
      </c>
      <c r="E25" s="143">
        <f t="shared" ref="E25:M25" si="30">E6*5500</f>
        <v>550000</v>
      </c>
      <c r="F25" s="143">
        <f t="shared" si="30"/>
        <v>550000</v>
      </c>
      <c r="G25" s="143">
        <f t="shared" si="30"/>
        <v>0</v>
      </c>
      <c r="H25" s="143">
        <f t="shared" si="30"/>
        <v>0</v>
      </c>
      <c r="I25" s="143">
        <f t="shared" si="30"/>
        <v>0</v>
      </c>
      <c r="J25" s="143">
        <f t="shared" si="30"/>
        <v>0</v>
      </c>
      <c r="K25" s="143">
        <f t="shared" si="30"/>
        <v>0</v>
      </c>
      <c r="L25" s="143">
        <f t="shared" si="30"/>
        <v>0</v>
      </c>
      <c r="M25" s="143">
        <f t="shared" si="30"/>
        <v>0</v>
      </c>
      <c r="N25" s="143">
        <f t="shared" ref="N25:R25" si="31">N6*5500</f>
        <v>0</v>
      </c>
      <c r="O25" s="143">
        <f t="shared" si="31"/>
        <v>0</v>
      </c>
      <c r="P25" s="143">
        <f t="shared" si="31"/>
        <v>0</v>
      </c>
      <c r="Q25" s="143">
        <f t="shared" si="31"/>
        <v>0</v>
      </c>
      <c r="R25" s="143">
        <f t="shared" si="31"/>
        <v>0</v>
      </c>
      <c r="S25" s="143">
        <f t="shared" ref="S25:T25" si="32">S6*5500</f>
        <v>0</v>
      </c>
      <c r="T25" s="143">
        <f t="shared" si="32"/>
        <v>0</v>
      </c>
      <c r="U25" s="143">
        <f t="shared" ref="U25" si="33">U6*5500</f>
        <v>0</v>
      </c>
      <c r="V25" s="143">
        <f>NPV('Rev Req''t'!$G$16,D25:U25)</f>
        <v>1469640.7070122769</v>
      </c>
    </row>
    <row r="26" spans="3:23">
      <c r="C26" s="144" t="s">
        <v>200</v>
      </c>
      <c r="D26" s="143">
        <f>$D$5*(55*12)</f>
        <v>264000</v>
      </c>
      <c r="E26" s="143">
        <f t="shared" ref="E26:L26" si="34">$D$5*(55*12)</f>
        <v>264000</v>
      </c>
      <c r="F26" s="143">
        <f t="shared" si="34"/>
        <v>264000</v>
      </c>
      <c r="G26" s="143">
        <f t="shared" si="34"/>
        <v>264000</v>
      </c>
      <c r="H26" s="143">
        <f t="shared" si="34"/>
        <v>264000</v>
      </c>
      <c r="I26" s="143">
        <f t="shared" si="34"/>
        <v>264000</v>
      </c>
      <c r="J26" s="143">
        <f t="shared" si="34"/>
        <v>264000</v>
      </c>
      <c r="K26" s="143">
        <f t="shared" si="34"/>
        <v>264000</v>
      </c>
      <c r="L26" s="143">
        <f t="shared" si="34"/>
        <v>264000</v>
      </c>
      <c r="M26" s="143">
        <f>$D$5*(55*12)</f>
        <v>264000</v>
      </c>
      <c r="N26" s="151">
        <v>0</v>
      </c>
      <c r="O26" s="151">
        <v>0</v>
      </c>
      <c r="P26" s="151">
        <v>0</v>
      </c>
      <c r="Q26" s="151">
        <f t="shared" ref="Q26:R26" si="35">P26</f>
        <v>0</v>
      </c>
      <c r="R26" s="151">
        <f t="shared" si="35"/>
        <v>0</v>
      </c>
      <c r="S26" s="151">
        <f t="shared" ref="S26" si="36">R26</f>
        <v>0</v>
      </c>
      <c r="T26" s="151">
        <f t="shared" ref="T26:U26" si="37">S26</f>
        <v>0</v>
      </c>
      <c r="U26" s="151">
        <f t="shared" si="37"/>
        <v>0</v>
      </c>
      <c r="V26" s="151">
        <f>NPV('Rev Req''t'!$G$16,D26:U26)</f>
        <v>1941317.755189341</v>
      </c>
    </row>
    <row r="27" spans="3:23">
      <c r="C27" s="144" t="s">
        <v>201</v>
      </c>
      <c r="D27" s="143">
        <v>0</v>
      </c>
      <c r="E27" s="143">
        <f>$E$5*(55*12)</f>
        <v>264000</v>
      </c>
      <c r="F27" s="143">
        <f t="shared" ref="F27:N27" si="38">$E$5*(55*12)</f>
        <v>264000</v>
      </c>
      <c r="G27" s="143">
        <f t="shared" si="38"/>
        <v>264000</v>
      </c>
      <c r="H27" s="143">
        <f t="shared" si="38"/>
        <v>264000</v>
      </c>
      <c r="I27" s="143">
        <f t="shared" si="38"/>
        <v>264000</v>
      </c>
      <c r="J27" s="143">
        <f t="shared" si="38"/>
        <v>264000</v>
      </c>
      <c r="K27" s="143">
        <f t="shared" si="38"/>
        <v>264000</v>
      </c>
      <c r="L27" s="143">
        <f t="shared" si="38"/>
        <v>264000</v>
      </c>
      <c r="M27" s="143">
        <f t="shared" si="38"/>
        <v>264000</v>
      </c>
      <c r="N27" s="143">
        <f t="shared" si="38"/>
        <v>264000</v>
      </c>
      <c r="O27" s="151">
        <v>0</v>
      </c>
      <c r="P27" s="151">
        <v>0</v>
      </c>
      <c r="Q27" s="151">
        <v>0</v>
      </c>
      <c r="R27" s="151">
        <v>0</v>
      </c>
      <c r="S27" s="151">
        <v>0</v>
      </c>
      <c r="T27" s="151">
        <v>0</v>
      </c>
      <c r="U27" s="151">
        <v>0</v>
      </c>
      <c r="V27" s="151">
        <f>NPV('Rev Req''t'!$G$16,D27:U27)</f>
        <v>1831104.1287375614</v>
      </c>
    </row>
    <row r="28" spans="3:23">
      <c r="C28" s="144" t="s">
        <v>202</v>
      </c>
      <c r="D28" s="146">
        <v>0</v>
      </c>
      <c r="E28" s="146">
        <v>0</v>
      </c>
      <c r="F28" s="146">
        <f>$F$5*(55*12)</f>
        <v>264000</v>
      </c>
      <c r="G28" s="146">
        <f t="shared" ref="G28:O28" si="39">$F$5*(55*12)</f>
        <v>264000</v>
      </c>
      <c r="H28" s="146">
        <f t="shared" si="39"/>
        <v>264000</v>
      </c>
      <c r="I28" s="146">
        <f t="shared" si="39"/>
        <v>264000</v>
      </c>
      <c r="J28" s="146">
        <f t="shared" si="39"/>
        <v>264000</v>
      </c>
      <c r="K28" s="146">
        <f t="shared" si="39"/>
        <v>264000</v>
      </c>
      <c r="L28" s="146">
        <f t="shared" si="39"/>
        <v>264000</v>
      </c>
      <c r="M28" s="146">
        <f t="shared" si="39"/>
        <v>264000</v>
      </c>
      <c r="N28" s="146">
        <f t="shared" si="39"/>
        <v>264000</v>
      </c>
      <c r="O28" s="146">
        <f t="shared" si="39"/>
        <v>264000</v>
      </c>
      <c r="P28" s="146">
        <v>0</v>
      </c>
      <c r="Q28" s="146">
        <v>0</v>
      </c>
      <c r="R28" s="146">
        <v>0</v>
      </c>
      <c r="S28" s="146">
        <v>0</v>
      </c>
      <c r="T28" s="146">
        <v>0</v>
      </c>
      <c r="U28" s="146">
        <v>0</v>
      </c>
      <c r="V28" s="146">
        <f>NPV('Rev Req''t'!$G$16,D28:U28)</f>
        <v>1727147.6147153063</v>
      </c>
    </row>
    <row r="29" spans="3:23">
      <c r="C29" s="144" t="s">
        <v>203</v>
      </c>
      <c r="D29" s="143">
        <f>SUM(D26:D28)</f>
        <v>264000</v>
      </c>
      <c r="E29" s="143">
        <f t="shared" ref="E29:M29" si="40">SUM(E26:E28)</f>
        <v>528000</v>
      </c>
      <c r="F29" s="143">
        <f t="shared" si="40"/>
        <v>792000</v>
      </c>
      <c r="G29" s="143">
        <f t="shared" si="40"/>
        <v>792000</v>
      </c>
      <c r="H29" s="143">
        <f t="shared" si="40"/>
        <v>792000</v>
      </c>
      <c r="I29" s="143">
        <f t="shared" si="40"/>
        <v>792000</v>
      </c>
      <c r="J29" s="143">
        <f t="shared" si="40"/>
        <v>792000</v>
      </c>
      <c r="K29" s="143">
        <f t="shared" si="40"/>
        <v>792000</v>
      </c>
      <c r="L29" s="143">
        <f t="shared" si="40"/>
        <v>792000</v>
      </c>
      <c r="M29" s="143">
        <f t="shared" si="40"/>
        <v>792000</v>
      </c>
      <c r="N29" s="143">
        <f>SUM(N26:N28)</f>
        <v>528000</v>
      </c>
      <c r="O29" s="143">
        <f t="shared" ref="O29" si="41">SUM(O26:O28)</f>
        <v>264000</v>
      </c>
      <c r="P29" s="143">
        <f t="shared" ref="P29" si="42">SUM(P26:P28)</f>
        <v>0</v>
      </c>
      <c r="Q29" s="143">
        <f t="shared" ref="Q29" si="43">SUM(Q26:Q28)</f>
        <v>0</v>
      </c>
      <c r="R29" s="143">
        <f t="shared" ref="R29" si="44">SUM(R26:R28)</f>
        <v>0</v>
      </c>
      <c r="S29" s="143">
        <f t="shared" ref="S29" si="45">SUM(S26:S28)</f>
        <v>0</v>
      </c>
      <c r="T29" s="143">
        <f t="shared" ref="T29:U29" si="46">SUM(T26:T28)</f>
        <v>0</v>
      </c>
      <c r="U29" s="143">
        <f t="shared" si="46"/>
        <v>0</v>
      </c>
      <c r="V29" s="146">
        <f>NPV('Rev Req''t'!$G$16,D29:U29)</f>
        <v>5499569.4986422071</v>
      </c>
    </row>
    <row r="30" spans="3:23" ht="15.75" thickBot="1">
      <c r="C30" s="5" t="s">
        <v>186</v>
      </c>
      <c r="D30" s="147">
        <f>SUM(D22,D24,D25,D29,D23)</f>
        <v>2258850</v>
      </c>
      <c r="E30" s="147">
        <f>SUM(E22,E24,E25,E29,E23)</f>
        <v>3275295</v>
      </c>
      <c r="F30" s="147">
        <f>SUM(F22,F24,F25,F29,F23)</f>
        <v>4365835</v>
      </c>
      <c r="G30" s="147">
        <f t="shared" ref="G30:U30" si="47">SUM(G22,G24,G25,G29,G23)</f>
        <v>3201280</v>
      </c>
      <c r="H30" s="147">
        <f t="shared" si="47"/>
        <v>3307605</v>
      </c>
      <c r="I30" s="147">
        <f t="shared" si="47"/>
        <v>3407320</v>
      </c>
      <c r="J30" s="147">
        <f t="shared" si="47"/>
        <v>3530090</v>
      </c>
      <c r="K30" s="147">
        <f t="shared" si="47"/>
        <v>3656795</v>
      </c>
      <c r="L30" s="147">
        <f t="shared" si="47"/>
        <v>3737700</v>
      </c>
      <c r="M30" s="147">
        <f t="shared" si="47"/>
        <v>3825565</v>
      </c>
      <c r="N30" s="147">
        <f t="shared" si="47"/>
        <v>3447525</v>
      </c>
      <c r="O30" s="147">
        <f t="shared" si="47"/>
        <v>2986200</v>
      </c>
      <c r="P30" s="147">
        <f t="shared" si="47"/>
        <v>2368679.9999999995</v>
      </c>
      <c r="Q30" s="147">
        <f t="shared" si="47"/>
        <v>1892574.9999999998</v>
      </c>
      <c r="R30" s="147">
        <f t="shared" si="47"/>
        <v>1199895</v>
      </c>
      <c r="S30" s="147">
        <f t="shared" si="47"/>
        <v>512485</v>
      </c>
      <c r="T30" s="147">
        <f t="shared" si="47"/>
        <v>117154.99999999999</v>
      </c>
      <c r="U30" s="147">
        <f t="shared" si="47"/>
        <v>0</v>
      </c>
      <c r="V30" s="152">
        <f>NPV('Rev Req''t'!$G$16,D30:U30)</f>
        <v>31068172.173785653</v>
      </c>
      <c r="W30" s="47"/>
    </row>
    <row r="31" spans="3:23" ht="15.75" thickTop="1">
      <c r="C31" s="148" t="s">
        <v>187</v>
      </c>
      <c r="D31" s="145">
        <f>D30+D17</f>
        <v>665108.30526653025</v>
      </c>
      <c r="E31" s="145">
        <f>E30+E17</f>
        <v>180674.42820844147</v>
      </c>
      <c r="F31" s="145">
        <f>F30+F17</f>
        <v>-132849.77100978512</v>
      </c>
      <c r="G31" s="145">
        <f t="shared" ref="G31:M31" si="48">G30+G17</f>
        <v>-1023964.3965038061</v>
      </c>
      <c r="H31" s="145">
        <f t="shared" si="48"/>
        <v>-662341.30204623006</v>
      </c>
      <c r="I31" s="145">
        <f t="shared" si="48"/>
        <v>-332479.30159768835</v>
      </c>
      <c r="J31" s="145">
        <f t="shared" si="48"/>
        <v>8338.4036909430288</v>
      </c>
      <c r="K31" s="145">
        <f t="shared" si="48"/>
        <v>345231.66058857553</v>
      </c>
      <c r="L31" s="145">
        <f t="shared" si="48"/>
        <v>622393.68554627337</v>
      </c>
      <c r="M31" s="145">
        <f t="shared" si="48"/>
        <v>887753.1853087456</v>
      </c>
      <c r="N31" s="145">
        <f t="shared" ref="N31" si="49">N30+N17</f>
        <v>1545105.7110116254</v>
      </c>
      <c r="O31" s="145">
        <f t="shared" ref="O31" si="50">O30+O17</f>
        <v>2061440.8848236133</v>
      </c>
      <c r="P31" s="145">
        <f t="shared" ref="P31" si="51">P30+P17</f>
        <v>2368679.9999999995</v>
      </c>
      <c r="Q31" s="145">
        <f t="shared" ref="Q31" si="52">Q30+Q17</f>
        <v>1892574.9999999998</v>
      </c>
      <c r="R31" s="145">
        <f t="shared" ref="R31:T31" si="53">R30+R17</f>
        <v>1199895</v>
      </c>
      <c r="S31" s="145">
        <f t="shared" si="53"/>
        <v>512485</v>
      </c>
      <c r="T31" s="145">
        <f t="shared" si="53"/>
        <v>117154.99999999999</v>
      </c>
      <c r="U31" s="145">
        <f t="shared" ref="U31" si="54">U30+U17</f>
        <v>0</v>
      </c>
      <c r="V31" s="153">
        <f>NPV('Rev Req''t'!$G$16,D31:U31)</f>
        <v>4743371.3233400043</v>
      </c>
      <c r="W31" s="47"/>
    </row>
    <row r="32" spans="3:23">
      <c r="D32" s="142"/>
      <c r="E32" s="142"/>
      <c r="F32" s="142"/>
      <c r="V32" s="10"/>
    </row>
    <row r="33" spans="3:6">
      <c r="C33" t="s">
        <v>207</v>
      </c>
      <c r="D33" s="142"/>
      <c r="E33" s="142"/>
      <c r="F33" s="142"/>
    </row>
  </sheetData>
  <pageMargins left="0.7" right="0.7" top="0.75" bottom="0.75" header="0.3" footer="0.3"/>
  <pageSetup orientation="portrait" r:id="rId1"/>
  <ignoredErrors>
    <ignoredError sqref="V21 V12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J20"/>
  <sheetViews>
    <sheetView zoomScale="117" workbookViewId="0"/>
  </sheetViews>
  <sheetFormatPr defaultColWidth="8.7109375" defaultRowHeight="15"/>
  <cols>
    <col min="5" max="6" width="13.140625" bestFit="1" customWidth="1"/>
  </cols>
  <sheetData>
    <row r="2" spans="2:10">
      <c r="H2" t="s">
        <v>133</v>
      </c>
      <c r="J2" s="64">
        <v>55</v>
      </c>
    </row>
    <row r="3" spans="2:10">
      <c r="B3" s="51" t="s">
        <v>138</v>
      </c>
      <c r="C3" s="52"/>
      <c r="D3" s="52"/>
      <c r="E3" s="61"/>
    </row>
    <row r="4" spans="2:10">
      <c r="B4" s="60" t="s">
        <v>131</v>
      </c>
      <c r="C4" s="53"/>
      <c r="D4" s="53"/>
      <c r="E4" s="54">
        <f>-Assumptions!B9*'Rev Req''t'!E49</f>
        <v>-18413.185900626337</v>
      </c>
      <c r="F4" s="49"/>
    </row>
    <row r="7" spans="2:10">
      <c r="B7" s="10" t="s">
        <v>183</v>
      </c>
      <c r="C7" s="10"/>
      <c r="D7" s="10"/>
      <c r="E7" s="62">
        <f>-PowerhubCost!C11</f>
        <v>-232.80531506264694</v>
      </c>
    </row>
    <row r="9" spans="2:10">
      <c r="B9" t="s">
        <v>136</v>
      </c>
      <c r="E9" s="47">
        <f>CustomerPay!C9</f>
        <v>4853.2943879733521</v>
      </c>
    </row>
    <row r="10" spans="2:10">
      <c r="E10" s="47"/>
    </row>
    <row r="11" spans="2:10">
      <c r="B11" t="s">
        <v>79</v>
      </c>
      <c r="E11" s="57">
        <f>'Monthly Capacity Value'!B31</f>
        <v>3098.0160336900408</v>
      </c>
    </row>
    <row r="12" spans="2:10">
      <c r="B12" t="s">
        <v>17</v>
      </c>
      <c r="E12" s="57">
        <f>'Monthly Capacity Value'!B32</f>
        <v>10389.748587167842</v>
      </c>
    </row>
    <row r="13" spans="2:10">
      <c r="B13" t="s">
        <v>62</v>
      </c>
      <c r="E13" s="141">
        <f>'Monthly Capacity Value'!B30</f>
        <v>1904.5141387568833</v>
      </c>
    </row>
    <row r="14" spans="2:10">
      <c r="B14" s="157" t="s">
        <v>208</v>
      </c>
      <c r="C14" s="157"/>
      <c r="D14" s="157"/>
      <c r="E14" s="141">
        <f>NPV('Rev Req''t'!G16,Assumptions!B15)</f>
        <v>457.46529647904043</v>
      </c>
    </row>
    <row r="15" spans="2:10">
      <c r="B15" s="157" t="s">
        <v>213</v>
      </c>
      <c r="C15" s="157"/>
      <c r="D15" s="157"/>
      <c r="E15" s="160">
        <f>NPV('Rev Req''t'!G16, 'Rev Req''t'!F22)</f>
        <v>1163.8577401617586</v>
      </c>
    </row>
    <row r="16" spans="2:10">
      <c r="B16" t="s">
        <v>137</v>
      </c>
      <c r="E16" s="63">
        <f>SUM(E4:E15)</f>
        <v>3220.9049685399327</v>
      </c>
    </row>
    <row r="18" spans="5:6">
      <c r="E18" s="49"/>
    </row>
    <row r="20" spans="5:6">
      <c r="F20" s="49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C3:W33"/>
  <sheetViews>
    <sheetView showGridLines="0" zoomScaleNormal="100" workbookViewId="0"/>
  </sheetViews>
  <sheetFormatPr defaultColWidth="11.42578125" defaultRowHeight="15"/>
  <cols>
    <col min="3" max="3" width="36.28515625" bestFit="1" customWidth="1"/>
    <col min="4" max="4" width="12.28515625" bestFit="1" customWidth="1"/>
    <col min="5" max="5" width="12.140625" bestFit="1" customWidth="1"/>
    <col min="6" max="6" width="12.140625" customWidth="1"/>
    <col min="7" max="10" width="11.140625" hidden="1" customWidth="1"/>
    <col min="11" max="13" width="12.140625" hidden="1" customWidth="1"/>
    <col min="14" max="14" width="14.7109375" hidden="1" customWidth="1"/>
    <col min="15" max="21" width="10.7109375" hidden="1" customWidth="1"/>
    <col min="22" max="22" width="14.7109375" customWidth="1"/>
    <col min="23" max="23" width="12.140625" bestFit="1" customWidth="1"/>
  </cols>
  <sheetData>
    <row r="3" spans="3:22">
      <c r="D3" s="142"/>
      <c r="E3" s="142"/>
      <c r="F3" s="142"/>
    </row>
    <row r="4" spans="3:22">
      <c r="C4" s="150" t="s">
        <v>2</v>
      </c>
      <c r="D4" s="149">
        <v>1</v>
      </c>
      <c r="E4" s="149">
        <v>2</v>
      </c>
      <c r="F4" s="149">
        <v>3</v>
      </c>
      <c r="G4" s="149">
        <v>4</v>
      </c>
      <c r="H4" s="149">
        <v>5</v>
      </c>
      <c r="I4" s="149">
        <v>6</v>
      </c>
      <c r="J4" s="149">
        <v>7</v>
      </c>
      <c r="K4" s="149">
        <v>8</v>
      </c>
      <c r="L4" s="149">
        <v>9</v>
      </c>
      <c r="M4" s="149">
        <v>10</v>
      </c>
      <c r="N4" s="149">
        <v>11</v>
      </c>
      <c r="O4" s="149">
        <v>12</v>
      </c>
      <c r="P4" s="149">
        <v>13</v>
      </c>
      <c r="Q4" s="149">
        <v>14</v>
      </c>
      <c r="R4" s="149">
        <v>15</v>
      </c>
      <c r="S4" s="149">
        <v>16</v>
      </c>
      <c r="T4" s="149">
        <v>17</v>
      </c>
      <c r="U4" s="149">
        <v>18</v>
      </c>
    </row>
    <row r="5" spans="3:22">
      <c r="C5" s="150" t="s">
        <v>188</v>
      </c>
      <c r="D5" s="142">
        <f>500*0.8</f>
        <v>400</v>
      </c>
      <c r="E5" s="142">
        <f t="shared" ref="E5:F5" si="0">500*0.8</f>
        <v>400</v>
      </c>
      <c r="F5" s="142">
        <f t="shared" si="0"/>
        <v>400</v>
      </c>
      <c r="G5" s="142"/>
      <c r="H5" s="142"/>
      <c r="I5" s="142"/>
      <c r="J5" s="142"/>
      <c r="K5" s="142"/>
      <c r="L5" s="142"/>
      <c r="M5" s="142"/>
    </row>
    <row r="6" spans="3:22">
      <c r="C6" s="150" t="s">
        <v>192</v>
      </c>
      <c r="D6" s="142">
        <f>500*0.2</f>
        <v>100</v>
      </c>
      <c r="E6" s="142">
        <f t="shared" ref="E6:F6" si="1">500*0.2</f>
        <v>100</v>
      </c>
      <c r="F6" s="142">
        <f t="shared" si="1"/>
        <v>100</v>
      </c>
      <c r="G6" s="142"/>
      <c r="H6" s="142"/>
      <c r="I6" s="142"/>
      <c r="J6" s="142"/>
      <c r="K6" s="142"/>
      <c r="L6" s="142"/>
      <c r="M6" s="142"/>
    </row>
    <row r="7" spans="3:22">
      <c r="D7" s="142"/>
      <c r="E7" s="142"/>
      <c r="F7" s="142"/>
    </row>
    <row r="8" spans="3:22">
      <c r="C8" s="5" t="s">
        <v>182</v>
      </c>
      <c r="D8" s="142"/>
      <c r="E8" s="142"/>
      <c r="F8" s="142"/>
      <c r="V8" s="149" t="s">
        <v>204</v>
      </c>
    </row>
    <row r="9" spans="3:22" hidden="1">
      <c r="C9" s="144" t="s">
        <v>189</v>
      </c>
      <c r="D9" s="143">
        <f>-($D$5+$D$6)*'Rev Req''t'!G48</f>
        <v>-1581741.6947334697</v>
      </c>
      <c r="E9" s="143">
        <f>-($D$5+$D$6)*'Rev Req''t'!H48</f>
        <v>-1488878.8770580885</v>
      </c>
      <c r="F9" s="143">
        <f>-($D$5+$D$6)*'Rev Req''t'!I48</f>
        <v>-1392064.1992182271</v>
      </c>
      <c r="G9" s="143">
        <f>-($D$5+$D$6)*'Rev Req''t'!J48</f>
        <v>-1308301.3202274907</v>
      </c>
      <c r="H9" s="143">
        <f>-($D$5+$D$6)*'Rev Req''t'!K48</f>
        <v>-1233580.7826005123</v>
      </c>
      <c r="I9" s="143">
        <f>-($D$5+$D$6)*'Rev Req''t'!L48</f>
        <v>-1161917.1987696856</v>
      </c>
      <c r="J9" s="143">
        <f>-($D$5+$D$6)*'Rev Req''t'!M48</f>
        <v>-1090253.6149388589</v>
      </c>
      <c r="K9" s="143">
        <f>-($D$5+$D$6)*'Rev Req''t'!N48</f>
        <v>-1023392.5257028796</v>
      </c>
      <c r="L9" s="143">
        <f>-($D$5+$D$6)*'Rev Req''t'!O48</f>
        <v>-965660.17381198786</v>
      </c>
      <c r="M9" s="143">
        <f>-($D$5+$D$6)*'Rev Req''t'!P48</f>
        <v>-912759.11517638667</v>
      </c>
      <c r="N9" s="143">
        <f>-($D$5+$D$6)*'Rev Req''t'!Q48</f>
        <v>0</v>
      </c>
      <c r="O9" s="143">
        <f>-($D$5+$D$6)*'Rev Req''t'!R48</f>
        <v>0</v>
      </c>
      <c r="P9" s="143">
        <f>-($D$5+$D$6)*'Rev Req''t'!S48</f>
        <v>0</v>
      </c>
      <c r="Q9" s="143">
        <f>-($D$5+$D$6)*'Rev Req''t'!T48</f>
        <v>0</v>
      </c>
      <c r="R9" s="143">
        <f>-($D$5+$D$6)*'Rev Req''t'!U48</f>
        <v>0</v>
      </c>
      <c r="S9" s="143">
        <f>-($D$5+$D$6)*'Rev Req''t'!V48</f>
        <v>0</v>
      </c>
      <c r="T9" s="143">
        <f>-($D$5+$D$6)*'Rev Req''t'!W48</f>
        <v>0</v>
      </c>
      <c r="U9" s="143">
        <f>-($D$5+$D$6)*'Rev Req''t'!X48</f>
        <v>0</v>
      </c>
      <c r="V9" s="143">
        <f>NPV('Rev Req''t'!$G$16,D9:R9)</f>
        <v>-9204268.0531034935</v>
      </c>
    </row>
    <row r="10" spans="3:22" hidden="1">
      <c r="C10" s="144" t="s">
        <v>190</v>
      </c>
      <c r="D10" s="143">
        <v>0</v>
      </c>
      <c r="E10" s="143">
        <f>-(($E$5+$E$6)*'Rev Req''t'!G48)</f>
        <v>-1581741.6947334697</v>
      </c>
      <c r="F10" s="143">
        <f>-(($E$5+$E$6)*'Rev Req''t'!H48)</f>
        <v>-1488878.8770580885</v>
      </c>
      <c r="G10" s="143">
        <f>-(($E$5+$E$6)*'Rev Req''t'!I48)</f>
        <v>-1392064.1992182271</v>
      </c>
      <c r="H10" s="143">
        <f>-(($E$5+$E$6)*'Rev Req''t'!J48)</f>
        <v>-1308301.3202274907</v>
      </c>
      <c r="I10" s="143">
        <f>-(($E$5+$E$6)*'Rev Req''t'!K48)</f>
        <v>-1233580.7826005123</v>
      </c>
      <c r="J10" s="143">
        <f>-(($E$5+$E$6)*'Rev Req''t'!L48)</f>
        <v>-1161917.1987696856</v>
      </c>
      <c r="K10" s="143">
        <f>-(($E$5+$E$6)*'Rev Req''t'!M48)</f>
        <v>-1090253.6149388589</v>
      </c>
      <c r="L10" s="143">
        <f>-(($E$5+$E$6)*'Rev Req''t'!N48)</f>
        <v>-1023392.5257028796</v>
      </c>
      <c r="M10" s="143">
        <f>-(($E$5+$E$6)*'Rev Req''t'!O48)</f>
        <v>-965660.17381198786</v>
      </c>
      <c r="N10" s="143">
        <f>-(($E$5+$E$6)*'Rev Req''t'!P48)</f>
        <v>-912759.11517638667</v>
      </c>
      <c r="O10" s="143">
        <f>-(($E$5+$E$6)*'Rev Req''t'!Q48)</f>
        <v>0</v>
      </c>
      <c r="P10" s="143">
        <f>-(($E$5+$E$6)*'Rev Req''t'!R48)</f>
        <v>0</v>
      </c>
      <c r="Q10" s="143">
        <f>-(($E$5+$E$6)*'Rev Req''t'!S48)</f>
        <v>0</v>
      </c>
      <c r="R10" s="143">
        <f>-(($E$5+$E$6)*'Rev Req''t'!T48)</f>
        <v>0</v>
      </c>
      <c r="S10" s="143">
        <f>-(($E$5+$E$6)*'Rev Req''t'!U48)</f>
        <v>0</v>
      </c>
      <c r="T10" s="143">
        <f>-(($E$5+$E$6)*'Rev Req''t'!V48)</f>
        <v>0</v>
      </c>
      <c r="U10" s="143">
        <f>-(($E$5+$E$6)*'Rev Req''t'!W48)</f>
        <v>0</v>
      </c>
      <c r="V10" s="143">
        <f>NPV('Rev Req''t'!$G$16,D10:R10)</f>
        <v>-8681717.9665681459</v>
      </c>
    </row>
    <row r="11" spans="3:22" hidden="1">
      <c r="C11" s="144" t="s">
        <v>191</v>
      </c>
      <c r="D11" s="146">
        <v>0</v>
      </c>
      <c r="E11" s="146">
        <v>0</v>
      </c>
      <c r="F11" s="146">
        <f>-(($F$5+$F$6)*'Rev Req''t'!G48)</f>
        <v>-1581741.6947334697</v>
      </c>
      <c r="G11" s="146">
        <f>-(($F$5+$F$6)*'Rev Req''t'!H48)</f>
        <v>-1488878.8770580885</v>
      </c>
      <c r="H11" s="146">
        <f>-(($F$5+$F$6)*'Rev Req''t'!I48)</f>
        <v>-1392064.1992182271</v>
      </c>
      <c r="I11" s="146">
        <f>-(($F$5+$F$6)*'Rev Req''t'!J48)</f>
        <v>-1308301.3202274907</v>
      </c>
      <c r="J11" s="146">
        <f>-(($F$5+$F$6)*'Rev Req''t'!K48)</f>
        <v>-1233580.7826005123</v>
      </c>
      <c r="K11" s="146">
        <f>-(($F$5+$F$6)*'Rev Req''t'!L48)</f>
        <v>-1161917.1987696856</v>
      </c>
      <c r="L11" s="146">
        <f>-(($F$5+$F$6)*'Rev Req''t'!M48)</f>
        <v>-1090253.6149388589</v>
      </c>
      <c r="M11" s="146">
        <f>-(($F$5+$F$6)*'Rev Req''t'!N48)</f>
        <v>-1023392.5257028796</v>
      </c>
      <c r="N11" s="146">
        <f>-(($F$5+$F$6)*'Rev Req''t'!O48)</f>
        <v>-965660.17381198786</v>
      </c>
      <c r="O11" s="146">
        <f>-(($F$5+$F$6)*'Rev Req''t'!P48)</f>
        <v>-912759.11517638667</v>
      </c>
      <c r="P11" s="146">
        <f>-(($F$5+$F$6)*'Rev Req''t'!Q48)</f>
        <v>0</v>
      </c>
      <c r="Q11" s="146">
        <f>-(($F$5+$F$6)*'Rev Req''t'!R48)</f>
        <v>0</v>
      </c>
      <c r="R11" s="146">
        <f>-(($F$5+$F$6)*'Rev Req''t'!S48)</f>
        <v>0</v>
      </c>
      <c r="S11" s="146">
        <f>-(($F$5+$F$6)*'Rev Req''t'!T48)</f>
        <v>0</v>
      </c>
      <c r="T11" s="146">
        <f>-(($F$5+$F$6)*'Rev Req''t'!U48)</f>
        <v>0</v>
      </c>
      <c r="U11" s="146">
        <f>-(($F$5+$F$6)*'Rev Req''t'!V48)</f>
        <v>0</v>
      </c>
      <c r="V11" s="146">
        <f>NPV('Rev Req''t'!$G$16,D11:R11)</f>
        <v>-8188834.3990175454</v>
      </c>
    </row>
    <row r="12" spans="3:22">
      <c r="C12" s="144" t="s">
        <v>199</v>
      </c>
      <c r="D12" s="143">
        <f t="shared" ref="D12:U12" si="2">SUM(D9:D11)</f>
        <v>-1581741.6947334697</v>
      </c>
      <c r="E12" s="143">
        <f t="shared" si="2"/>
        <v>-3070620.5717915585</v>
      </c>
      <c r="F12" s="143">
        <f t="shared" si="2"/>
        <v>-4462684.7710097851</v>
      </c>
      <c r="G12" s="143">
        <f t="shared" si="2"/>
        <v>-4189244.3965038061</v>
      </c>
      <c r="H12" s="143">
        <f t="shared" si="2"/>
        <v>-3933946.3020462301</v>
      </c>
      <c r="I12" s="143">
        <f t="shared" si="2"/>
        <v>-3703799.3015976883</v>
      </c>
      <c r="J12" s="143">
        <f t="shared" si="2"/>
        <v>-3485751.596309057</v>
      </c>
      <c r="K12" s="143">
        <f t="shared" si="2"/>
        <v>-3275563.3394114245</v>
      </c>
      <c r="L12" s="143">
        <f t="shared" si="2"/>
        <v>-3079306.3144537266</v>
      </c>
      <c r="M12" s="143">
        <f t="shared" si="2"/>
        <v>-2901811.8146912544</v>
      </c>
      <c r="N12" s="143">
        <f t="shared" si="2"/>
        <v>-1878419.2889883746</v>
      </c>
      <c r="O12" s="143">
        <f t="shared" si="2"/>
        <v>-912759.11517638667</v>
      </c>
      <c r="P12" s="143">
        <f t="shared" si="2"/>
        <v>0</v>
      </c>
      <c r="Q12" s="143">
        <f t="shared" si="2"/>
        <v>0</v>
      </c>
      <c r="R12" s="143">
        <f t="shared" si="2"/>
        <v>0</v>
      </c>
      <c r="S12" s="143">
        <f t="shared" si="2"/>
        <v>0</v>
      </c>
      <c r="T12" s="143">
        <f t="shared" si="2"/>
        <v>0</v>
      </c>
      <c r="U12" s="143">
        <f t="shared" si="2"/>
        <v>0</v>
      </c>
      <c r="V12" s="143">
        <f>NPV('Rev Req''t'!$G$16,D12:U12)</f>
        <v>-26074820.418689184</v>
      </c>
    </row>
    <row r="13" spans="3:22" hidden="1">
      <c r="C13" s="144" t="s">
        <v>196</v>
      </c>
      <c r="D13" s="143">
        <f>-SUM($D$5:$D$6)*PowerhubCost!D9</f>
        <v>-12000</v>
      </c>
      <c r="E13" s="143">
        <f>-SUM($D$5:$D$6)*PowerhubCost!E9</f>
        <v>-12000</v>
      </c>
      <c r="F13" s="143">
        <f>-SUM($D$5:$D$6)*PowerhubCost!F9</f>
        <v>-12000</v>
      </c>
      <c r="G13" s="143">
        <f>-SUM($D$5:$D$6)*PowerhubCost!G9</f>
        <v>-12000</v>
      </c>
      <c r="H13" s="143">
        <f>-SUM($D$5:$D$6)*PowerhubCost!H9</f>
        <v>-12000</v>
      </c>
      <c r="I13" s="143">
        <f>-SUM($D$5:$D$6)*PowerhubCost!I9</f>
        <v>-12000</v>
      </c>
      <c r="J13" s="143">
        <f>-SUM($D$5:$D$6)*PowerhubCost!J9</f>
        <v>-12000</v>
      </c>
      <c r="K13" s="143">
        <f>-SUM($D$5:$D$6)*PowerhubCost!K9</f>
        <v>-12000</v>
      </c>
      <c r="L13" s="143">
        <f>-SUM($D$5:$D$6)*PowerhubCost!L9</f>
        <v>-12000</v>
      </c>
      <c r="M13" s="143">
        <f>-SUM($D$5:$D$6)*PowerhubCost!M9</f>
        <v>-12000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f>NPV('Rev Req''t'!$G$16,D13:R13)</f>
        <v>-88241.716144970065</v>
      </c>
    </row>
    <row r="14" spans="3:22" hidden="1">
      <c r="C14" s="144" t="s">
        <v>197</v>
      </c>
      <c r="D14" s="143">
        <v>0</v>
      </c>
      <c r="E14" s="143">
        <f>-SUM($E$5:$E$6)*PowerhubCost!D9</f>
        <v>-12000</v>
      </c>
      <c r="F14" s="143">
        <f>-SUM($E$5:$E$6)*PowerhubCost!E9</f>
        <v>-12000</v>
      </c>
      <c r="G14" s="143">
        <f>-SUM($E$5:$E$6)*PowerhubCost!F9</f>
        <v>-12000</v>
      </c>
      <c r="H14" s="143">
        <f>-SUM($E$5:$E$6)*PowerhubCost!G9</f>
        <v>-12000</v>
      </c>
      <c r="I14" s="143">
        <f>-SUM($E$5:$E$6)*PowerhubCost!H9</f>
        <v>-12000</v>
      </c>
      <c r="J14" s="143">
        <f>-SUM($E$5:$E$6)*PowerhubCost!I9</f>
        <v>-12000</v>
      </c>
      <c r="K14" s="143">
        <f>-SUM($E$5:$E$6)*PowerhubCost!J9</f>
        <v>-12000</v>
      </c>
      <c r="L14" s="143">
        <f>-SUM($E$5:$E$6)*PowerhubCost!K9</f>
        <v>-12000</v>
      </c>
      <c r="M14" s="143">
        <f>-SUM($E$5:$E$6)*PowerhubCost!L9</f>
        <v>-12000</v>
      </c>
      <c r="N14" s="143">
        <f>-SUM($E$5:$E$6)*PowerhubCost!M9</f>
        <v>-12000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f>NPV('Rev Req''t'!$G$16,D14:R14)</f>
        <v>-83232.005851707348</v>
      </c>
    </row>
    <row r="15" spans="3:22" hidden="1">
      <c r="C15" s="144" t="s">
        <v>198</v>
      </c>
      <c r="D15" s="146">
        <v>0</v>
      </c>
      <c r="E15" s="146">
        <v>0</v>
      </c>
      <c r="F15" s="146">
        <f>-SUM($F$5:$F$6)*PowerhubCost!D9</f>
        <v>-12000</v>
      </c>
      <c r="G15" s="146">
        <f>-SUM($F$5:$F$6)*PowerhubCost!E9</f>
        <v>-12000</v>
      </c>
      <c r="H15" s="146">
        <f>-SUM($F$5:$F$6)*PowerhubCost!F9</f>
        <v>-12000</v>
      </c>
      <c r="I15" s="146">
        <f>-SUM($F$5:$F$6)*PowerhubCost!G9</f>
        <v>-12000</v>
      </c>
      <c r="J15" s="146">
        <f>-SUM($F$5:$F$6)*PowerhubCost!H9</f>
        <v>-12000</v>
      </c>
      <c r="K15" s="146">
        <f>-SUM($F$5:$F$6)*PowerhubCost!I9</f>
        <v>-12000</v>
      </c>
      <c r="L15" s="146">
        <f>-SUM($F$5:$F$6)*PowerhubCost!J9</f>
        <v>-12000</v>
      </c>
      <c r="M15" s="146">
        <f>-SUM($F$5:$F$6)*PowerhubCost!K9</f>
        <v>-12000</v>
      </c>
      <c r="N15" s="146">
        <f>-SUM($F$5:$F$6)*PowerhubCost!L9</f>
        <v>-12000</v>
      </c>
      <c r="O15" s="146">
        <f>-SUM($F$5:$F$6)*PowerhubCost!M9</f>
        <v>-12000</v>
      </c>
      <c r="P15" s="146">
        <v>0</v>
      </c>
      <c r="Q15" s="146">
        <v>0</v>
      </c>
      <c r="R15" s="146">
        <v>0</v>
      </c>
      <c r="S15" s="146">
        <v>0</v>
      </c>
      <c r="T15" s="146">
        <v>0</v>
      </c>
      <c r="U15" s="146">
        <v>0</v>
      </c>
      <c r="V15" s="146">
        <f>NPV('Rev Req''t'!$G$16,D15:R15)</f>
        <v>-78506.709759786652</v>
      </c>
    </row>
    <row r="16" spans="3:22">
      <c r="C16" s="144" t="s">
        <v>183</v>
      </c>
      <c r="D16" s="146">
        <f>SUM(D13:D15)</f>
        <v>-12000</v>
      </c>
      <c r="E16" s="146">
        <f t="shared" ref="E16:N16" si="3">SUM(E13:E15)</f>
        <v>-24000</v>
      </c>
      <c r="F16" s="146">
        <f t="shared" si="3"/>
        <v>-36000</v>
      </c>
      <c r="G16" s="146">
        <f t="shared" si="3"/>
        <v>-36000</v>
      </c>
      <c r="H16" s="146">
        <f t="shared" si="3"/>
        <v>-36000</v>
      </c>
      <c r="I16" s="146">
        <f t="shared" si="3"/>
        <v>-36000</v>
      </c>
      <c r="J16" s="146">
        <f t="shared" si="3"/>
        <v>-36000</v>
      </c>
      <c r="K16" s="146">
        <f t="shared" si="3"/>
        <v>-36000</v>
      </c>
      <c r="L16" s="146">
        <f t="shared" si="3"/>
        <v>-36000</v>
      </c>
      <c r="M16" s="146">
        <f t="shared" si="3"/>
        <v>-36000</v>
      </c>
      <c r="N16" s="146">
        <f t="shared" si="3"/>
        <v>-24000</v>
      </c>
      <c r="O16" s="146">
        <f>SUM(O13:O15)</f>
        <v>-12000</v>
      </c>
      <c r="P16" s="146">
        <f t="shared" ref="P16:U16" si="4">SUM(P13:P15)</f>
        <v>0</v>
      </c>
      <c r="Q16" s="146">
        <f t="shared" si="4"/>
        <v>0</v>
      </c>
      <c r="R16" s="146">
        <f t="shared" si="4"/>
        <v>0</v>
      </c>
      <c r="S16" s="146">
        <f t="shared" si="4"/>
        <v>0</v>
      </c>
      <c r="T16" s="146">
        <f t="shared" si="4"/>
        <v>0</v>
      </c>
      <c r="U16" s="146">
        <f t="shared" si="4"/>
        <v>0</v>
      </c>
      <c r="V16" s="146">
        <f>NPV('Rev Req''t'!$G$16,D16:U16)</f>
        <v>-249980.43175646395</v>
      </c>
    </row>
    <row r="17" spans="3:23">
      <c r="C17" s="5" t="s">
        <v>184</v>
      </c>
      <c r="D17" s="145">
        <f>SUM(D12,D16)</f>
        <v>-1593741.6947334697</v>
      </c>
      <c r="E17" s="145">
        <f>SUM(E12,E16)</f>
        <v>-3094620.5717915585</v>
      </c>
      <c r="F17" s="145">
        <f t="shared" ref="F17:L17" si="5">SUM(F12,F16)</f>
        <v>-4498684.7710097851</v>
      </c>
      <c r="G17" s="145">
        <f t="shared" si="5"/>
        <v>-4225244.3965038061</v>
      </c>
      <c r="H17" s="145">
        <f t="shared" si="5"/>
        <v>-3969946.3020462301</v>
      </c>
      <c r="I17" s="145">
        <f t="shared" si="5"/>
        <v>-3739799.3015976883</v>
      </c>
      <c r="J17" s="145">
        <f t="shared" si="5"/>
        <v>-3521751.596309057</v>
      </c>
      <c r="K17" s="145">
        <f t="shared" si="5"/>
        <v>-3311563.3394114245</v>
      </c>
      <c r="L17" s="145">
        <f t="shared" si="5"/>
        <v>-3115306.3144537266</v>
      </c>
      <c r="M17" s="145">
        <f>SUM(M12,M16)</f>
        <v>-2937811.8146912544</v>
      </c>
      <c r="N17" s="145">
        <f t="shared" ref="N17:U17" si="6">SUM(N12,N16)</f>
        <v>-1902419.2889883746</v>
      </c>
      <c r="O17" s="145">
        <f t="shared" si="6"/>
        <v>-924759.11517638667</v>
      </c>
      <c r="P17" s="145">
        <f t="shared" si="6"/>
        <v>0</v>
      </c>
      <c r="Q17" s="145">
        <f t="shared" si="6"/>
        <v>0</v>
      </c>
      <c r="R17" s="145">
        <f t="shared" si="6"/>
        <v>0</v>
      </c>
      <c r="S17" s="145">
        <f t="shared" si="6"/>
        <v>0</v>
      </c>
      <c r="T17" s="145">
        <f t="shared" si="6"/>
        <v>0</v>
      </c>
      <c r="U17" s="145">
        <f t="shared" si="6"/>
        <v>0</v>
      </c>
      <c r="V17" s="145">
        <f>NPV('Rev Req''t'!$G$16,D17:U17)</f>
        <v>-26324800.850445647</v>
      </c>
      <c r="W17" s="47"/>
    </row>
    <row r="18" spans="3:23">
      <c r="C18" s="5" t="s">
        <v>61</v>
      </c>
      <c r="D18" s="143"/>
      <c r="E18" s="143"/>
      <c r="F18" s="143"/>
      <c r="V18" s="143"/>
    </row>
    <row r="19" spans="3:23" hidden="1">
      <c r="C19" s="144" t="s">
        <v>193</v>
      </c>
      <c r="D19" s="143">
        <f>($D$5+$D$6)*'Monthly Capacity Value'!C33</f>
        <v>585394.99999999988</v>
      </c>
      <c r="E19" s="143">
        <f>($D$5+$D$6)*'Monthly Capacity Value'!D33</f>
        <v>752445</v>
      </c>
      <c r="F19" s="143">
        <f>($D$5+$D$6)*'Monthly Capacity Value'!E33</f>
        <v>826540</v>
      </c>
      <c r="G19" s="143">
        <f>($D$5+$D$6)*'Monthly Capacity Value'!F33</f>
        <v>830294.99999999988</v>
      </c>
      <c r="H19" s="143">
        <f>($D$5+$D$6)*'Monthly Capacity Value'!G33</f>
        <v>858770</v>
      </c>
      <c r="I19" s="143">
        <f>($D$5+$D$6)*'Monthly Capacity Value'!H33</f>
        <v>926254.99999999988</v>
      </c>
      <c r="J19" s="143">
        <f>($D$5+$D$6)*'Monthly Capacity Value'!I33</f>
        <v>953065</v>
      </c>
      <c r="K19" s="143">
        <f>($D$5+$D$6)*'Monthly Capacity Value'!J33</f>
        <v>985475</v>
      </c>
      <c r="L19" s="143">
        <f>($D$5+$D$6)*'Monthly Capacity Value'!K33</f>
        <v>1007160.0000000001</v>
      </c>
      <c r="M19" s="143">
        <f>($D$5+$D$6)*'Monthly Capacity Value'!L33</f>
        <v>1040929.9999999999</v>
      </c>
      <c r="N19" s="143">
        <f>($D$5+$D$6)*'Monthly Capacity Value'!M33</f>
        <v>871435.00000000012</v>
      </c>
      <c r="O19" s="143">
        <f>($D$5+$D$6)*'Monthly Capacity Value'!N33</f>
        <v>809834.99999999977</v>
      </c>
      <c r="P19" s="143">
        <f>($D$5+$D$6)*'Monthly Capacity Value'!O33</f>
        <v>687409.99999999988</v>
      </c>
      <c r="Q19" s="143">
        <f>($D$5+$D$6)*'Monthly Capacity Value'!P33</f>
        <v>395330</v>
      </c>
      <c r="R19" s="143">
        <f>($D$5+$D$6)*'Monthly Capacity Value'!Q33</f>
        <v>117154.99999999999</v>
      </c>
      <c r="S19" s="143">
        <f>($D$5+$D$6)*'Monthly Capacity Value'!R33</f>
        <v>0</v>
      </c>
      <c r="T19" s="143"/>
      <c r="U19" s="143"/>
      <c r="V19" s="143">
        <f>NPV('Rev Req''t'!$G$16,D19:S19)</f>
        <v>7696139.3798073819</v>
      </c>
    </row>
    <row r="20" spans="3:23" hidden="1">
      <c r="C20" s="144" t="s">
        <v>194</v>
      </c>
      <c r="D20" s="143">
        <v>0</v>
      </c>
      <c r="E20" s="143">
        <f>($E$5+$E$6)*'Monthly Capacity Value'!C33</f>
        <v>585394.99999999988</v>
      </c>
      <c r="F20" s="143">
        <f>($E$5+$E$6)*'Monthly Capacity Value'!D33</f>
        <v>752445</v>
      </c>
      <c r="G20" s="143">
        <f>($E$5+$E$6)*'Monthly Capacity Value'!E33</f>
        <v>826540</v>
      </c>
      <c r="H20" s="143">
        <f>($E$5+$E$6)*'Monthly Capacity Value'!F33</f>
        <v>830294.99999999988</v>
      </c>
      <c r="I20" s="143">
        <f>($E$5+$E$6)*'Monthly Capacity Value'!G33</f>
        <v>858770</v>
      </c>
      <c r="J20" s="143">
        <f>($E$5+$E$6)*'Monthly Capacity Value'!H33</f>
        <v>926254.99999999988</v>
      </c>
      <c r="K20" s="143">
        <f>($E$5+$E$6)*'Monthly Capacity Value'!I33</f>
        <v>953065</v>
      </c>
      <c r="L20" s="143">
        <f>($E$5+$E$6)*'Monthly Capacity Value'!J33</f>
        <v>985475</v>
      </c>
      <c r="M20" s="143">
        <f>($E$5+$E$6)*'Monthly Capacity Value'!K33</f>
        <v>1007160.0000000001</v>
      </c>
      <c r="N20" s="143">
        <f>($E$5+$E$6)*'Monthly Capacity Value'!L33</f>
        <v>1040929.9999999999</v>
      </c>
      <c r="O20" s="143">
        <f>($E$5+$E$6)*'Monthly Capacity Value'!M33</f>
        <v>871435.00000000012</v>
      </c>
      <c r="P20" s="143">
        <f>($E$5+$E$6)*'Monthly Capacity Value'!N33</f>
        <v>809834.99999999977</v>
      </c>
      <c r="Q20" s="143">
        <f>($E$5+$E$6)*'Monthly Capacity Value'!O33</f>
        <v>687409.99999999988</v>
      </c>
      <c r="R20" s="143">
        <f>($E$5+$E$6)*'Monthly Capacity Value'!P33</f>
        <v>395330</v>
      </c>
      <c r="S20" s="143">
        <f>($E$5+$E$6)*'Monthly Capacity Value'!Q33</f>
        <v>117154.99999999999</v>
      </c>
      <c r="T20" s="143">
        <f>($E$5+$E$6)*'Monthly Capacity Value'!R33</f>
        <v>0</v>
      </c>
      <c r="U20" s="143"/>
      <c r="V20" s="143">
        <f>NPV('Rev Req''t'!$G$16,D20:T20)</f>
        <v>7259209.6559332022</v>
      </c>
    </row>
    <row r="21" spans="3:23" hidden="1">
      <c r="C21" s="144" t="s">
        <v>195</v>
      </c>
      <c r="D21" s="146">
        <v>0</v>
      </c>
      <c r="E21" s="146">
        <v>0</v>
      </c>
      <c r="F21" s="146">
        <f>($F$5+$F$6)*'Monthly Capacity Value'!C33</f>
        <v>585394.99999999988</v>
      </c>
      <c r="G21" s="146">
        <f>($F$5+$F$6)*'Monthly Capacity Value'!D33</f>
        <v>752445</v>
      </c>
      <c r="H21" s="146">
        <f>($F$5+$F$6)*'Monthly Capacity Value'!E33</f>
        <v>826540</v>
      </c>
      <c r="I21" s="146">
        <f>($F$5+$F$6)*'Monthly Capacity Value'!F33</f>
        <v>830294.99999999988</v>
      </c>
      <c r="J21" s="146">
        <f>($F$5+$F$6)*'Monthly Capacity Value'!G33</f>
        <v>858770</v>
      </c>
      <c r="K21" s="146">
        <f>($F$5+$F$6)*'Monthly Capacity Value'!H33</f>
        <v>926254.99999999988</v>
      </c>
      <c r="L21" s="146">
        <f>($F$5+$F$6)*'Monthly Capacity Value'!I33</f>
        <v>953065</v>
      </c>
      <c r="M21" s="146">
        <f>($F$5+$F$6)*'Monthly Capacity Value'!J33</f>
        <v>985475</v>
      </c>
      <c r="N21" s="146">
        <f>($F$5+$F$6)*'Monthly Capacity Value'!K33</f>
        <v>1007160.0000000001</v>
      </c>
      <c r="O21" s="146">
        <f>($F$5+$F$6)*'Monthly Capacity Value'!L33</f>
        <v>1040929.9999999999</v>
      </c>
      <c r="P21" s="146">
        <f>($F$5+$F$6)*'Monthly Capacity Value'!M33</f>
        <v>871435.00000000012</v>
      </c>
      <c r="Q21" s="146">
        <f>($F$5+$F$6)*'Monthly Capacity Value'!N33</f>
        <v>809834.99999999977</v>
      </c>
      <c r="R21" s="146">
        <f>($F$5+$F$6)*'Monthly Capacity Value'!O33</f>
        <v>687409.99999999988</v>
      </c>
      <c r="S21" s="146">
        <f>($F$5+$F$6)*'Monthly Capacity Value'!P33</f>
        <v>395330</v>
      </c>
      <c r="T21" s="146">
        <f>($F$5+$F$6)*'Monthly Capacity Value'!Q33</f>
        <v>117154.99999999999</v>
      </c>
      <c r="U21" s="146">
        <f>($F$5+$F$6)*'Monthly Capacity Value'!R33</f>
        <v>0</v>
      </c>
      <c r="V21" s="146">
        <f>NPV('Rev Req''t'!$G$16,D21:U21)</f>
        <v>6847085.5617628796</v>
      </c>
    </row>
    <row r="22" spans="3:23">
      <c r="C22" s="144" t="s">
        <v>185</v>
      </c>
      <c r="D22" s="143">
        <f>SUM(D19:D21)</f>
        <v>585394.99999999988</v>
      </c>
      <c r="E22" s="143">
        <f t="shared" ref="E22:U22" si="7">SUM(E19:E21)</f>
        <v>1337840</v>
      </c>
      <c r="F22" s="143">
        <f t="shared" si="7"/>
        <v>2164380</v>
      </c>
      <c r="G22" s="143">
        <f t="shared" si="7"/>
        <v>2409280</v>
      </c>
      <c r="H22" s="143">
        <f t="shared" si="7"/>
        <v>2515605</v>
      </c>
      <c r="I22" s="143">
        <f t="shared" si="7"/>
        <v>2615320</v>
      </c>
      <c r="J22" s="143">
        <f t="shared" si="7"/>
        <v>2738090</v>
      </c>
      <c r="K22" s="143">
        <f t="shared" si="7"/>
        <v>2864795</v>
      </c>
      <c r="L22" s="143">
        <f t="shared" si="7"/>
        <v>2945700</v>
      </c>
      <c r="M22" s="143">
        <f t="shared" si="7"/>
        <v>3033565</v>
      </c>
      <c r="N22" s="143">
        <f t="shared" si="7"/>
        <v>2919525</v>
      </c>
      <c r="O22" s="143">
        <f t="shared" si="7"/>
        <v>2722200</v>
      </c>
      <c r="P22" s="143">
        <f t="shared" si="7"/>
        <v>2368679.9999999995</v>
      </c>
      <c r="Q22" s="143">
        <f t="shared" si="7"/>
        <v>1892574.9999999998</v>
      </c>
      <c r="R22" s="143">
        <f t="shared" si="7"/>
        <v>1199895</v>
      </c>
      <c r="S22" s="143">
        <f t="shared" si="7"/>
        <v>512485</v>
      </c>
      <c r="T22" s="143">
        <f t="shared" si="7"/>
        <v>117154.99999999999</v>
      </c>
      <c r="U22" s="143">
        <f t="shared" si="7"/>
        <v>0</v>
      </c>
      <c r="V22" s="143">
        <f>NPV('Rev Req''t'!$G$16,D22:U22)</f>
        <v>21802434.597503461</v>
      </c>
    </row>
    <row r="23" spans="3:23">
      <c r="C23" s="158" t="s">
        <v>209</v>
      </c>
      <c r="D23" s="159">
        <f>SUM(D5:D6)*Assumptions!$B$15</f>
        <v>242499.99999999997</v>
      </c>
      <c r="E23" s="159">
        <f>SUM(E5:E6)*Assumptions!$B$15</f>
        <v>242499.99999999997</v>
      </c>
      <c r="F23" s="159">
        <f>SUM(F5:F6)*Assumptions!$B$15</f>
        <v>242499.99999999997</v>
      </c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>
        <f>NPV('Rev Req''t'!$G$16,D23:U23)</f>
        <v>647977.94809177646</v>
      </c>
      <c r="W23" s="49"/>
    </row>
    <row r="24" spans="3:23">
      <c r="C24" s="144" t="s">
        <v>213</v>
      </c>
      <c r="D24" s="143">
        <f>(D5+D6)*'Rev Req''t'!$F$22</f>
        <v>616955</v>
      </c>
      <c r="E24" s="143">
        <f>(E5+E6)*'Rev Req''t'!$F$22</f>
        <v>616955</v>
      </c>
      <c r="F24" s="143">
        <f>(F5+F6)*'Rev Req''t'!$F$22</f>
        <v>616955</v>
      </c>
      <c r="G24" s="143">
        <f>G5*'Rev Req''t'!$F$22</f>
        <v>0</v>
      </c>
      <c r="H24" s="143">
        <f>H5*'Rev Req''t'!$F$22</f>
        <v>0</v>
      </c>
      <c r="I24" s="143">
        <f>I5*'Rev Req''t'!$F$22</f>
        <v>0</v>
      </c>
      <c r="J24" s="143">
        <f>J5*'Rev Req''t'!$F$22</f>
        <v>0</v>
      </c>
      <c r="K24" s="143">
        <f>K5*'Rev Req''t'!$F$22</f>
        <v>0</v>
      </c>
      <c r="L24" s="143">
        <f>L5*'Rev Req''t'!$F$22</f>
        <v>0</v>
      </c>
      <c r="M24" s="143">
        <f>M5*'Rev Req''t'!$F$22</f>
        <v>0</v>
      </c>
      <c r="N24" s="143">
        <f>N5*'Rev Req''t'!$F$22</f>
        <v>0</v>
      </c>
      <c r="O24" s="143">
        <f>O5*'Rev Req''t'!$F$22</f>
        <v>0</v>
      </c>
      <c r="P24" s="143">
        <f>P5*'Rev Req''t'!$F$22</f>
        <v>0</v>
      </c>
      <c r="Q24" s="143">
        <f>Q5*'Rev Req''t'!$F$22</f>
        <v>0</v>
      </c>
      <c r="R24" s="143">
        <f>R5*'Rev Req''t'!$F$22</f>
        <v>0</v>
      </c>
      <c r="S24" s="143">
        <f>S5*'Rev Req''t'!$F$22</f>
        <v>0</v>
      </c>
      <c r="T24" s="143">
        <f>T5*'Rev Req''t'!$F$22</f>
        <v>0</v>
      </c>
      <c r="U24" s="143">
        <f>U5*'Rev Req''t'!$F$22</f>
        <v>0</v>
      </c>
      <c r="V24" s="143">
        <f>NPV('Rev Req''t'!$G$16,D24:U24)</f>
        <v>1648549.4225359259</v>
      </c>
    </row>
    <row r="25" spans="3:23">
      <c r="C25" s="144" t="s">
        <v>206</v>
      </c>
      <c r="D25" s="143">
        <f>D6*5500</f>
        <v>550000</v>
      </c>
      <c r="E25" s="143">
        <f t="shared" ref="E25:U25" si="8">E6*5500</f>
        <v>550000</v>
      </c>
      <c r="F25" s="143">
        <f t="shared" si="8"/>
        <v>550000</v>
      </c>
      <c r="G25" s="143">
        <f t="shared" si="8"/>
        <v>0</v>
      </c>
      <c r="H25" s="143">
        <f t="shared" si="8"/>
        <v>0</v>
      </c>
      <c r="I25" s="143">
        <f t="shared" si="8"/>
        <v>0</v>
      </c>
      <c r="J25" s="143">
        <f t="shared" si="8"/>
        <v>0</v>
      </c>
      <c r="K25" s="143">
        <f t="shared" si="8"/>
        <v>0</v>
      </c>
      <c r="L25" s="143">
        <f t="shared" si="8"/>
        <v>0</v>
      </c>
      <c r="M25" s="143">
        <f t="shared" si="8"/>
        <v>0</v>
      </c>
      <c r="N25" s="143">
        <f t="shared" si="8"/>
        <v>0</v>
      </c>
      <c r="O25" s="143">
        <f t="shared" si="8"/>
        <v>0</v>
      </c>
      <c r="P25" s="143">
        <f t="shared" si="8"/>
        <v>0</v>
      </c>
      <c r="Q25" s="143">
        <f t="shared" si="8"/>
        <v>0</v>
      </c>
      <c r="R25" s="143">
        <f t="shared" si="8"/>
        <v>0</v>
      </c>
      <c r="S25" s="143">
        <f t="shared" si="8"/>
        <v>0</v>
      </c>
      <c r="T25" s="143">
        <f t="shared" si="8"/>
        <v>0</v>
      </c>
      <c r="U25" s="143">
        <f t="shared" si="8"/>
        <v>0</v>
      </c>
      <c r="V25" s="143">
        <f>NPV('Rev Req''t'!$G$16,D25:U25)</f>
        <v>1469640.7070122769</v>
      </c>
    </row>
    <row r="26" spans="3:23" hidden="1">
      <c r="C26" s="144" t="s">
        <v>200</v>
      </c>
      <c r="D26" s="143">
        <f>$D$5*(55*12)</f>
        <v>264000</v>
      </c>
      <c r="E26" s="143">
        <f t="shared" ref="E26:L26" si="9">$D$5*(55*12)</f>
        <v>264000</v>
      </c>
      <c r="F26" s="143">
        <f t="shared" si="9"/>
        <v>264000</v>
      </c>
      <c r="G26" s="143">
        <f t="shared" si="9"/>
        <v>264000</v>
      </c>
      <c r="H26" s="143">
        <f t="shared" si="9"/>
        <v>264000</v>
      </c>
      <c r="I26" s="143">
        <f t="shared" si="9"/>
        <v>264000</v>
      </c>
      <c r="J26" s="143">
        <f t="shared" si="9"/>
        <v>264000</v>
      </c>
      <c r="K26" s="143">
        <f t="shared" si="9"/>
        <v>264000</v>
      </c>
      <c r="L26" s="143">
        <f t="shared" si="9"/>
        <v>264000</v>
      </c>
      <c r="M26" s="143">
        <f>$D$5*(55*12)</f>
        <v>264000</v>
      </c>
      <c r="N26" s="151">
        <v>0</v>
      </c>
      <c r="O26" s="151">
        <v>0</v>
      </c>
      <c r="P26" s="151">
        <v>0</v>
      </c>
      <c r="Q26" s="151">
        <f t="shared" ref="Q26:U26" si="10">P26</f>
        <v>0</v>
      </c>
      <c r="R26" s="151">
        <f t="shared" si="10"/>
        <v>0</v>
      </c>
      <c r="S26" s="151">
        <f t="shared" si="10"/>
        <v>0</v>
      </c>
      <c r="T26" s="151">
        <f t="shared" si="10"/>
        <v>0</v>
      </c>
      <c r="U26" s="151">
        <f t="shared" si="10"/>
        <v>0</v>
      </c>
      <c r="V26" s="151">
        <f>NPV('Rev Req''t'!$G$16,D26:U26)</f>
        <v>1941317.755189341</v>
      </c>
    </row>
    <row r="27" spans="3:23" hidden="1">
      <c r="C27" s="144" t="s">
        <v>201</v>
      </c>
      <c r="D27" s="143">
        <v>0</v>
      </c>
      <c r="E27" s="143">
        <f>$E$5*(55*12)</f>
        <v>264000</v>
      </c>
      <c r="F27" s="143">
        <f t="shared" ref="F27:N27" si="11">$E$5*(55*12)</f>
        <v>264000</v>
      </c>
      <c r="G27" s="143">
        <f t="shared" si="11"/>
        <v>264000</v>
      </c>
      <c r="H27" s="143">
        <f t="shared" si="11"/>
        <v>264000</v>
      </c>
      <c r="I27" s="143">
        <f t="shared" si="11"/>
        <v>264000</v>
      </c>
      <c r="J27" s="143">
        <f t="shared" si="11"/>
        <v>264000</v>
      </c>
      <c r="K27" s="143">
        <f t="shared" si="11"/>
        <v>264000</v>
      </c>
      <c r="L27" s="143">
        <f t="shared" si="11"/>
        <v>264000</v>
      </c>
      <c r="M27" s="143">
        <f t="shared" si="11"/>
        <v>264000</v>
      </c>
      <c r="N27" s="143">
        <f t="shared" si="11"/>
        <v>264000</v>
      </c>
      <c r="O27" s="151">
        <v>0</v>
      </c>
      <c r="P27" s="151">
        <v>0</v>
      </c>
      <c r="Q27" s="151">
        <v>0</v>
      </c>
      <c r="R27" s="151">
        <v>0</v>
      </c>
      <c r="S27" s="151">
        <v>0</v>
      </c>
      <c r="T27" s="151">
        <v>0</v>
      </c>
      <c r="U27" s="151">
        <v>0</v>
      </c>
      <c r="V27" s="151">
        <f>NPV('Rev Req''t'!$G$16,D27:U27)</f>
        <v>1831104.1287375614</v>
      </c>
    </row>
    <row r="28" spans="3:23" hidden="1">
      <c r="C28" s="144" t="s">
        <v>202</v>
      </c>
      <c r="D28" s="146">
        <v>0</v>
      </c>
      <c r="E28" s="146">
        <v>0</v>
      </c>
      <c r="F28" s="146">
        <f>$F$5*(55*12)</f>
        <v>264000</v>
      </c>
      <c r="G28" s="146">
        <f t="shared" ref="G28:O28" si="12">$F$5*(55*12)</f>
        <v>264000</v>
      </c>
      <c r="H28" s="146">
        <f t="shared" si="12"/>
        <v>264000</v>
      </c>
      <c r="I28" s="146">
        <f t="shared" si="12"/>
        <v>264000</v>
      </c>
      <c r="J28" s="146">
        <f t="shared" si="12"/>
        <v>264000</v>
      </c>
      <c r="K28" s="146">
        <f t="shared" si="12"/>
        <v>264000</v>
      </c>
      <c r="L28" s="146">
        <f t="shared" si="12"/>
        <v>264000</v>
      </c>
      <c r="M28" s="146">
        <f t="shared" si="12"/>
        <v>264000</v>
      </c>
      <c r="N28" s="146">
        <f t="shared" si="12"/>
        <v>264000</v>
      </c>
      <c r="O28" s="146">
        <f t="shared" si="12"/>
        <v>264000</v>
      </c>
      <c r="P28" s="146">
        <v>0</v>
      </c>
      <c r="Q28" s="146">
        <v>0</v>
      </c>
      <c r="R28" s="146">
        <v>0</v>
      </c>
      <c r="S28" s="146">
        <v>0</v>
      </c>
      <c r="T28" s="146">
        <v>0</v>
      </c>
      <c r="U28" s="146">
        <v>0</v>
      </c>
      <c r="V28" s="146">
        <f>NPV('Rev Req''t'!$G$16,D28:U28)</f>
        <v>1727147.6147153063</v>
      </c>
    </row>
    <row r="29" spans="3:23">
      <c r="C29" s="144" t="s">
        <v>203</v>
      </c>
      <c r="D29" s="143">
        <f>SUM(D26:D28)</f>
        <v>264000</v>
      </c>
      <c r="E29" s="143">
        <f t="shared" ref="E29:M29" si="13">SUM(E26:E28)</f>
        <v>528000</v>
      </c>
      <c r="F29" s="143">
        <f t="shared" si="13"/>
        <v>792000</v>
      </c>
      <c r="G29" s="143">
        <f t="shared" si="13"/>
        <v>792000</v>
      </c>
      <c r="H29" s="143">
        <f t="shared" si="13"/>
        <v>792000</v>
      </c>
      <c r="I29" s="143">
        <f t="shared" si="13"/>
        <v>792000</v>
      </c>
      <c r="J29" s="143">
        <f t="shared" si="13"/>
        <v>792000</v>
      </c>
      <c r="K29" s="143">
        <f t="shared" si="13"/>
        <v>792000</v>
      </c>
      <c r="L29" s="143">
        <f t="shared" si="13"/>
        <v>792000</v>
      </c>
      <c r="M29" s="143">
        <f t="shared" si="13"/>
        <v>792000</v>
      </c>
      <c r="N29" s="143">
        <f>SUM(N26:N28)</f>
        <v>528000</v>
      </c>
      <c r="O29" s="143">
        <f t="shared" ref="O29:U29" si="14">SUM(O26:O28)</f>
        <v>264000</v>
      </c>
      <c r="P29" s="143">
        <f t="shared" si="14"/>
        <v>0</v>
      </c>
      <c r="Q29" s="143">
        <f t="shared" si="14"/>
        <v>0</v>
      </c>
      <c r="R29" s="143">
        <f t="shared" si="14"/>
        <v>0</v>
      </c>
      <c r="S29" s="143">
        <f t="shared" si="14"/>
        <v>0</v>
      </c>
      <c r="T29" s="143">
        <f t="shared" si="14"/>
        <v>0</v>
      </c>
      <c r="U29" s="143">
        <f t="shared" si="14"/>
        <v>0</v>
      </c>
      <c r="V29" s="146">
        <f>NPV('Rev Req''t'!$G$16,D29:U29)</f>
        <v>5499569.4986422071</v>
      </c>
    </row>
    <row r="30" spans="3:23" ht="15.75" thickBot="1">
      <c r="C30" s="5" t="s">
        <v>186</v>
      </c>
      <c r="D30" s="147">
        <f>SUM(D22,D24,D25,D29,D23)</f>
        <v>2258850</v>
      </c>
      <c r="E30" s="147">
        <f>SUM(E22,E24,E25,E29,E23)</f>
        <v>3275295</v>
      </c>
      <c r="F30" s="147">
        <f>SUM(F22,F24,F25,F29,F23)</f>
        <v>4365835</v>
      </c>
      <c r="G30" s="147">
        <f t="shared" ref="G30:U30" si="15">SUM(G22,G24,G25,G29,G23)</f>
        <v>3201280</v>
      </c>
      <c r="H30" s="147">
        <f t="shared" si="15"/>
        <v>3307605</v>
      </c>
      <c r="I30" s="147">
        <f t="shared" si="15"/>
        <v>3407320</v>
      </c>
      <c r="J30" s="147">
        <f t="shared" si="15"/>
        <v>3530090</v>
      </c>
      <c r="K30" s="147">
        <f t="shared" si="15"/>
        <v>3656795</v>
      </c>
      <c r="L30" s="147">
        <f t="shared" si="15"/>
        <v>3737700</v>
      </c>
      <c r="M30" s="147">
        <f t="shared" si="15"/>
        <v>3825565</v>
      </c>
      <c r="N30" s="147">
        <f t="shared" si="15"/>
        <v>3447525</v>
      </c>
      <c r="O30" s="147">
        <f t="shared" si="15"/>
        <v>2986200</v>
      </c>
      <c r="P30" s="147">
        <f t="shared" si="15"/>
        <v>2368679.9999999995</v>
      </c>
      <c r="Q30" s="147">
        <f t="shared" si="15"/>
        <v>1892574.9999999998</v>
      </c>
      <c r="R30" s="147">
        <f t="shared" si="15"/>
        <v>1199895</v>
      </c>
      <c r="S30" s="147">
        <f t="shared" si="15"/>
        <v>512485</v>
      </c>
      <c r="T30" s="147">
        <f t="shared" si="15"/>
        <v>117154.99999999999</v>
      </c>
      <c r="U30" s="147">
        <f t="shared" si="15"/>
        <v>0</v>
      </c>
      <c r="V30" s="152">
        <f>NPV('Rev Req''t'!$G$16,D30:U30)</f>
        <v>31068172.173785653</v>
      </c>
      <c r="W30" s="47"/>
    </row>
    <row r="31" spans="3:23" ht="15.75" thickTop="1">
      <c r="C31" s="148" t="s">
        <v>187</v>
      </c>
      <c r="D31" s="145">
        <f>D30+D17</f>
        <v>665108.30526653025</v>
      </c>
      <c r="E31" s="145">
        <f>E30+E17</f>
        <v>180674.42820844147</v>
      </c>
      <c r="F31" s="145">
        <f>F30+F17</f>
        <v>-132849.77100978512</v>
      </c>
      <c r="G31" s="145">
        <f t="shared" ref="G31:U31" si="16">G30+G17</f>
        <v>-1023964.3965038061</v>
      </c>
      <c r="H31" s="145">
        <f t="shared" si="16"/>
        <v>-662341.30204623006</v>
      </c>
      <c r="I31" s="145">
        <f t="shared" si="16"/>
        <v>-332479.30159768835</v>
      </c>
      <c r="J31" s="145">
        <f t="shared" si="16"/>
        <v>8338.4036909430288</v>
      </c>
      <c r="K31" s="145">
        <f t="shared" si="16"/>
        <v>345231.66058857553</v>
      </c>
      <c r="L31" s="145">
        <f t="shared" si="16"/>
        <v>622393.68554627337</v>
      </c>
      <c r="M31" s="145">
        <f t="shared" si="16"/>
        <v>887753.1853087456</v>
      </c>
      <c r="N31" s="145">
        <f t="shared" si="16"/>
        <v>1545105.7110116254</v>
      </c>
      <c r="O31" s="145">
        <f t="shared" si="16"/>
        <v>2061440.8848236133</v>
      </c>
      <c r="P31" s="145">
        <f t="shared" si="16"/>
        <v>2368679.9999999995</v>
      </c>
      <c r="Q31" s="145">
        <f t="shared" si="16"/>
        <v>1892574.9999999998</v>
      </c>
      <c r="R31" s="145">
        <f t="shared" si="16"/>
        <v>1199895</v>
      </c>
      <c r="S31" s="145">
        <f t="shared" si="16"/>
        <v>512485</v>
      </c>
      <c r="T31" s="145">
        <f t="shared" si="16"/>
        <v>117154.99999999999</v>
      </c>
      <c r="U31" s="145">
        <f t="shared" si="16"/>
        <v>0</v>
      </c>
      <c r="V31" s="153">
        <f>NPV('Rev Req''t'!$G$16,D31:U31)</f>
        <v>4743371.3233400043</v>
      </c>
      <c r="W31" s="47"/>
    </row>
    <row r="32" spans="3:23">
      <c r="D32" s="142"/>
      <c r="E32" s="142"/>
      <c r="F32" s="142"/>
      <c r="V32" s="10"/>
    </row>
    <row r="33" spans="3:6">
      <c r="C33" t="s">
        <v>217</v>
      </c>
      <c r="D33" s="142"/>
      <c r="E33" s="142"/>
      <c r="F33" s="142"/>
    </row>
  </sheetData>
  <pageMargins left="0.7" right="0.7" top="0.75" bottom="0.75" header="0.3" footer="0.3"/>
  <pageSetup orientation="portrait" r:id="rId1"/>
  <ignoredErrors>
    <ignoredError sqref="V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Assumptions</vt:lpstr>
      <vt:lpstr>Monthly Capacity Value</vt:lpstr>
      <vt:lpstr>Rev Req't</vt:lpstr>
      <vt:lpstr>Capacity Prices</vt:lpstr>
      <vt:lpstr>PowerhubCost</vt:lpstr>
      <vt:lpstr>CustomerPay</vt:lpstr>
      <vt:lpstr>Full Program</vt:lpstr>
      <vt:lpstr>Single System</vt:lpstr>
      <vt:lpstr>Attachment 3</vt:lpstr>
      <vt:lpstr>Availability</vt:lpstr>
      <vt:lpstr>FCMEffective</vt:lpstr>
      <vt:lpstr>FCMForecast</vt:lpstr>
      <vt:lpstr>Losses</vt:lpstr>
      <vt:lpstr>Reserve_Margin</vt:lpstr>
      <vt:lpstr>RNSEffective</vt:lpstr>
      <vt:lpstr>RNSForecast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2021-12-15T17:32:35Z</dcterms:created>
  <dcterms:modified xsi:type="dcterms:W3CDTF">2021-12-15T18:33:20Z</dcterms:modified>
</cp:coreProperties>
</file>