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Regulatory\Cases\2020\20-2022-INV 2021 EEC Rates\Filings\"/>
    </mc:Choice>
  </mc:AlternateContent>
  <xr:revisionPtr revIDLastSave="0" documentId="13_ncr:1_{1F5455BB-E857-4C5E-AE86-8B6AB352376A}" xr6:coauthVersionLast="45" xr6:coauthVersionMax="45" xr10:uidLastSave="{00000000-0000-0000-0000-000000000000}"/>
  <bookViews>
    <workbookView xWindow="25080" yWindow="-120" windowWidth="25440" windowHeight="15390" xr2:uid="{35A93707-1C41-4289-A8FE-A76F64501EEE}"/>
  </bookViews>
  <sheets>
    <sheet name="Original Fixed Rate Calculation" sheetId="1" r:id="rId1"/>
    <sheet name="Original with Corrections" sheetId="4" r:id="rId2"/>
    <sheet name="Revised without C&amp;I Forecast" sheetId="2" r:id="rId3"/>
    <sheet name="2019 Reported Sale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2" l="1"/>
  <c r="D41" i="2"/>
  <c r="F41" i="4"/>
  <c r="D41" i="4"/>
  <c r="F34" i="4"/>
  <c r="D34" i="4"/>
  <c r="F31" i="2"/>
  <c r="D31" i="2"/>
  <c r="C26" i="2"/>
  <c r="B26" i="2"/>
  <c r="E25" i="4"/>
  <c r="E25" i="2" s="1"/>
  <c r="C25" i="4"/>
  <c r="C25" i="2" s="1"/>
  <c r="B25" i="4"/>
  <c r="B26" i="4" s="1"/>
  <c r="C24" i="3"/>
  <c r="D24" i="3"/>
  <c r="E24" i="3"/>
  <c r="D25" i="4" s="1"/>
  <c r="D25" i="2" s="1"/>
  <c r="F24" i="3"/>
  <c r="G24" i="3"/>
  <c r="H24" i="3"/>
  <c r="F25" i="4" s="1"/>
  <c r="F25" i="2" s="1"/>
  <c r="I24" i="3"/>
  <c r="F33" i="2" s="1"/>
  <c r="B24" i="3"/>
  <c r="D26" i="2"/>
  <c r="E26" i="2"/>
  <c r="F26" i="2"/>
  <c r="C25" i="1"/>
  <c r="C27" i="4"/>
  <c r="C28" i="4"/>
  <c r="C29" i="4" s="1"/>
  <c r="C38" i="4" s="1"/>
  <c r="C43" i="4" s="1"/>
  <c r="C46" i="4" s="1"/>
  <c r="E22" i="4"/>
  <c r="D22" i="4"/>
  <c r="B22" i="4"/>
  <c r="F21" i="4"/>
  <c r="F22" i="4" s="1"/>
  <c r="C21" i="4"/>
  <c r="B21" i="4"/>
  <c r="C18" i="4"/>
  <c r="C22" i="4" s="1"/>
  <c r="C27" i="1"/>
  <c r="B26" i="1"/>
  <c r="C22" i="3"/>
  <c r="C10" i="3"/>
  <c r="C8" i="3"/>
  <c r="D33" i="2" l="1"/>
  <c r="F31" i="4"/>
  <c r="F33" i="4" s="1"/>
  <c r="F31" i="1"/>
  <c r="F33" i="1" s="1"/>
  <c r="D31" i="4"/>
  <c r="D33" i="4" s="1"/>
  <c r="D31" i="1"/>
  <c r="D33" i="1" s="1"/>
  <c r="E27" i="4"/>
  <c r="E28" i="4" s="1"/>
  <c r="E29" i="4" s="1"/>
  <c r="E38" i="4" s="1"/>
  <c r="E43" i="4" s="1"/>
  <c r="E46" i="4" s="1"/>
  <c r="F27" i="4"/>
  <c r="F28" i="4" s="1"/>
  <c r="F29" i="4" s="1"/>
  <c r="F38" i="4" s="1"/>
  <c r="F43" i="4" s="1"/>
  <c r="F46" i="4" s="1"/>
  <c r="D28" i="4"/>
  <c r="D29" i="4" s="1"/>
  <c r="D38" i="4" s="1"/>
  <c r="D43" i="4" s="1"/>
  <c r="D46" i="4" s="1"/>
  <c r="B28" i="4"/>
  <c r="B29" i="4" s="1"/>
  <c r="B38" i="4" s="1"/>
  <c r="B43" i="4" s="1"/>
  <c r="B46" i="4" s="1"/>
  <c r="B25" i="2"/>
  <c r="C28" i="1" l="1"/>
  <c r="D28" i="1"/>
  <c r="F27" i="1"/>
  <c r="E27" i="1"/>
  <c r="E28" i="1" s="1"/>
  <c r="B28" i="1"/>
  <c r="C28" i="2"/>
  <c r="C29" i="2" s="1"/>
  <c r="D28" i="2"/>
  <c r="D29" i="2" s="1"/>
  <c r="E28" i="2"/>
  <c r="E29" i="2" s="1"/>
  <c r="F28" i="2"/>
  <c r="F29" i="2" s="1"/>
  <c r="B28" i="2"/>
  <c r="B29" i="2" s="1"/>
  <c r="F28" i="1" l="1"/>
  <c r="E22" i="2"/>
  <c r="E38" i="2" s="1"/>
  <c r="E43" i="2" s="1"/>
  <c r="E46" i="2" s="1"/>
  <c r="D22" i="2"/>
  <c r="D38" i="2" s="1"/>
  <c r="F21" i="2"/>
  <c r="F22" i="2" s="1"/>
  <c r="F38" i="2" s="1"/>
  <c r="C21" i="2"/>
  <c r="B21" i="2"/>
  <c r="B22" i="2" s="1"/>
  <c r="B38" i="2" s="1"/>
  <c r="B43" i="2" s="1"/>
  <c r="B46" i="2" s="1"/>
  <c r="C18" i="2"/>
  <c r="C22" i="2" l="1"/>
  <c r="F43" i="2"/>
  <c r="F46" i="2" s="1"/>
  <c r="D43" i="2"/>
  <c r="D46" i="2" s="1"/>
  <c r="C38" i="2"/>
  <c r="C43" i="2" s="1"/>
  <c r="C46" i="2" s="1"/>
  <c r="D34" i="2"/>
  <c r="F34" i="2"/>
  <c r="F41" i="1" l="1"/>
  <c r="D41" i="1"/>
  <c r="C18" i="1" l="1"/>
  <c r="B21" i="1" l="1"/>
  <c r="F21" i="1" l="1"/>
  <c r="C21" i="1"/>
  <c r="C22" i="1" l="1"/>
  <c r="C29" i="1" s="1"/>
  <c r="D22" i="1"/>
  <c r="D29" i="1" s="1"/>
  <c r="E22" i="1"/>
  <c r="E29" i="1" s="1"/>
  <c r="F22" i="1"/>
  <c r="F29" i="1" s="1"/>
  <c r="B22" i="1"/>
  <c r="B29" i="1" s="1"/>
  <c r="E38" i="1" l="1"/>
  <c r="E43" i="1" s="1"/>
  <c r="E46" i="1" s="1"/>
  <c r="E48" i="2" s="1"/>
  <c r="B38" i="1"/>
  <c r="B43" i="1" s="1"/>
  <c r="B46" i="1" s="1"/>
  <c r="B48" i="2" s="1"/>
  <c r="D34" i="1"/>
  <c r="F34" i="1"/>
  <c r="C38" i="1"/>
  <c r="C43" i="1" s="1"/>
  <c r="C46" i="1" s="1"/>
  <c r="C48" i="2" s="1"/>
  <c r="D38" i="1"/>
  <c r="D43" i="1" s="1"/>
  <c r="D46" i="1" s="1"/>
  <c r="D48" i="2" s="1"/>
  <c r="F38" i="1" l="1"/>
  <c r="F43" i="1" s="1"/>
  <c r="F46" i="1" s="1"/>
  <c r="F4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tc={04AC2CBF-6711-433F-9DAB-A0CE6630CD7F}</author>
    <author>tc={3C91FA08-FDB0-4FEB-B463-09B7A25AC473}</author>
    <author>tc={972C4C5D-ADD6-43AF-94DF-0578BBC53121}</author>
    <author>tc={3086AEFB-1164-45BB-B22B-EE0668A3F2B3}</author>
    <author>tc={02F14782-A64D-4856-8C9E-2F638BAE5A97}</author>
  </authors>
  <commentList>
    <comment ref="A8" authorId="0" shapeId="0" xr:uid="{04AC2CBF-6711-433F-9DAB-A0CE6630CD7F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of SMEEP</t>
      </text>
    </comment>
    <comment ref="E27" authorId="1" shapeId="0" xr:uid="{3C91FA08-FDB0-4FEB-B463-09B7A25AC473}">
      <text>
        <t>[Threaded comment]
Your version of Excel allows you to read this threaded comment; however, any edits to it will get removed if the file is opened in a newer version of Excel. Learn more: https://go.microsoft.com/fwlink/?linkid=870924
Comment:
    value increases total kWh due to the formulaic split used in the 092320 EEC Rate Calculation filing</t>
      </text>
    </comment>
    <comment ref="A41" authorId="2" shapeId="0" xr:uid="{972C4C5D-ADD6-43AF-94DF-0578BBC53121}">
      <text>
        <t>[Threaded comment]
Your version of Excel allows you to read this threaded comment; however, any edits to it will get removed if the file is opened in a newer version of Excel. Learn more: https://go.microsoft.com/fwlink/?linkid=870924
Comment:
    kW not used in setting this fixed charge because demand customers are still billed for their demand. Only energy (kWh) is impacted by net metering. per Scott Anderson at GMP</t>
      </text>
    </comment>
    <comment ref="D41" authorId="3" shapeId="0" xr:uid="{3086AEFB-1164-45BB-B22B-EE0668A3F2B3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  <comment ref="F41" authorId="4" shapeId="0" xr:uid="{02F14782-A64D-4856-8C9E-2F638BAE5A97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tc={7633F966-C11B-4515-AF4F-1D00CF1824A8}</author>
    <author>tc={B3045C61-0575-4B4A-A811-CA1A8835A53E}</author>
    <author>tc={6565C8BF-6DB2-400E-855C-6C1FB55C3317}</author>
    <author>tc={75808481-9945-42BA-8B74-5AAFB8AF9422}</author>
    <author>tc={822E6468-B749-4759-BC67-41191F1DF443}</author>
    <author>tc={CEFAFA1E-F3CD-473B-95CE-1B6EF5CD2269}</author>
    <author>tc={39710302-5480-41CC-AB57-AB977FCEFD57}</author>
    <author>tc={DEB6E1C7-6E0D-4AE7-9437-EA4A140653C2}</author>
    <author>tc={5B455E5A-83C5-45B4-842B-B23DFB178495}</author>
    <author>tc={8E50C6C1-1DB6-4F37-85CD-3AD8127601BF}</author>
    <author>tc={1EECBADF-5720-4622-BCE5-F388CFE1174D}</author>
  </authors>
  <commentList>
    <comment ref="A8" authorId="0" shapeId="0" xr:uid="{7633F966-C11B-4515-AF4F-1D00CF1824A8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of SMEEP</t>
      </text>
    </comment>
    <comment ref="B25" authorId="1" shapeId="0" xr:uid="{B3045C61-0575-4B4A-A811-CA1A8835A53E}">
      <text>
        <t>[Threaded comment]
Your version of Excel allows you to read this threaded comment; however, any edits to it will get removed if the file is opened in a newer version of Excel. Learn more: https://go.microsoft.com/fwlink/?linkid=870924
Comment:
    value doesn't match the 09/23/20 EEC Rate Calculations filing because some NM data was also included in the 2019 residential consumption value</t>
      </text>
    </comment>
    <comment ref="C25" authorId="2" shapeId="0" xr:uid="{6565C8BF-6DB2-400E-855C-6C1FB55C3317}">
      <text>
        <t>[Threaded comment]
Your version of Excel allows you to read this threaded comment; however, any edits to it will get removed if the file is opened in a newer version of Excel. Learn more: https://go.microsoft.com/fwlink/?linkid=870924
Comment:
    value is actual 2019 data. 092320 EEC Rate Calculation was under reporting the actual consumption</t>
      </text>
    </comment>
    <comment ref="D25" authorId="3" shapeId="0" xr:uid="{75808481-9945-42BA-8B74-5AAFB8AF9422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they reported values for Commercial Demand in the Industrial Demand category</t>
      </text>
    </comment>
    <comment ref="F25" authorId="4" shapeId="0" xr:uid="{822E6468-B749-4759-BC67-41191F1DF443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they reported values for Commercial Demand in the Industrial Demand category</t>
      </text>
    </comment>
    <comment ref="B26" authorId="5" shapeId="0" xr:uid="{CEFAFA1E-F3CD-473B-95CE-1B6EF5CD2269}">
      <text>
        <t>[Threaded comment]
Your version of Excel allows you to read this threaded comment; however, any edits to it will get removed if the file is opened in a newer version of Excel. Learn more: https://go.microsoft.com/fwlink/?linkid=870924
Comment:
    value doesn't match the 09/23/20 EEC Rate Calculations filing because some NM data was also included in the residential actual value</t>
      </text>
    </comment>
    <comment ref="D31" authorId="6" shapeId="0" xr:uid="{39710302-5480-41CC-AB57-AB977FCEFD57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they reported values for Commercial Demand in the Industrial Demand category</t>
      </text>
    </comment>
    <comment ref="F31" authorId="7" shapeId="0" xr:uid="{DEB6E1C7-6E0D-4AE7-9437-EA4A140653C2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they reported values for Commercial Demand in the Industrial Demand category</t>
      </text>
    </comment>
    <comment ref="A41" authorId="8" shapeId="0" xr:uid="{5B455E5A-83C5-45B4-842B-B23DFB178495}">
      <text>
        <t>[Threaded comment]
Your version of Excel allows you to read this threaded comment; however, any edits to it will get removed if the file is opened in a newer version of Excel. Learn more: https://go.microsoft.com/fwlink/?linkid=870924
Comment:
    kW not used in setting this fixed charge because demand customers are still billed for their demand. Only energy (kWh) is impacted by net metering. per Scott Anderson at GMP</t>
      </text>
    </comment>
    <comment ref="D41" authorId="9" shapeId="0" xr:uid="{8E50C6C1-1DB6-4F37-85CD-3AD8127601BF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  <comment ref="F41" authorId="10" shapeId="0" xr:uid="{1EECBADF-5720-4622-BCE5-F388CFE1174D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tc={1A43E14A-0D1A-460E-8C70-76AB02E9AE05}</author>
    <author>tc={81708403-D653-44DE-905A-FBEC6084BDBE}</author>
    <author>tc={0F9EBEA3-E932-426C-8A35-598262F5501B}</author>
    <author>tc={AEDF5D82-5623-4D1B-BC40-A65D068321B0}</author>
  </authors>
  <commentList>
    <comment ref="A8" authorId="0" shapeId="0" xr:uid="{1A43E14A-0D1A-460E-8C70-76AB02E9AE05}">
      <text>
        <t>[Threaded comment]
Your version of Excel allows you to read this threaded comment; however, any edits to it will get removed if the file is opened in a newer version of Excel. Learn more: https://go.microsoft.com/fwlink/?linkid=870924
Comment:
    Net of SMEEP</t>
      </text>
    </comment>
    <comment ref="A41" authorId="1" shapeId="0" xr:uid="{81708403-D653-44DE-905A-FBEC6084BDBE}">
      <text>
        <t>[Threaded comment]
Your version of Excel allows you to read this threaded comment; however, any edits to it will get removed if the file is opened in a newer version of Excel. Learn more: https://go.microsoft.com/fwlink/?linkid=870924
Comment:
    kW not used in setting this fixed charge because demand customers are still billed for their demand. Only energy (kWh) is impacted by net metering. per Scott Anderson at GMP</t>
      </text>
    </comment>
    <comment ref="D41" authorId="2" shapeId="0" xr:uid="{0F9EBEA3-E932-426C-8A35-598262F5501B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  <comment ref="F41" authorId="3" shapeId="0" xr:uid="{AEDF5D82-5623-4D1B-BC40-A65D068321B0}">
      <text>
        <t>[Threaded comment]
Your version of Excel allows you to read this threaded comment; however, any edits to it will get removed if the file is opened in a newer version of Excel. Learn more: https://go.microsoft.com/fwlink/?linkid=870924
Comment:
    customers are charged EEC on their actual demand which is almost never offset by net metering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tc={D9ECD941-E90B-4BF3-B33F-2161630C137C}</author>
    <author>tc={325E6C61-EA55-4FB8-AB6E-9774D9848C3A}</author>
  </authors>
  <commentList>
    <comment ref="E23" authorId="0" shapeId="0" xr:uid="{D9ECD941-E90B-4BF3-B33F-2161630C137C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this should have been reported in Commercial Demand, not Industrial Demand</t>
      </text>
    </comment>
    <comment ref="F23" authorId="1" shapeId="0" xr:uid="{325E6C61-EA55-4FB8-AB6E-9774D9848C3A}">
      <text>
        <t>[Threaded comment]
Your version of Excel allows you to read this threaded comment; however, any edits to it will get removed if the file is opened in a newer version of Excel. Learn more: https://go.microsoft.com/fwlink/?linkid=870924
Comment:
    WEC informed me 04/22/21 that this should have been reported in Commercial Demand, not Industrial Demand</t>
      </text>
    </comment>
  </commentList>
</comments>
</file>

<file path=xl/sharedStrings.xml><?xml version="1.0" encoding="utf-8"?>
<sst xmlns="http://schemas.openxmlformats.org/spreadsheetml/2006/main" count="195" uniqueCount="57">
  <si>
    <t>Barton</t>
  </si>
  <si>
    <t>Enosburg Falls</t>
  </si>
  <si>
    <t>Green Mountain Power</t>
  </si>
  <si>
    <t>Hardwick</t>
  </si>
  <si>
    <t>Hyde Park</t>
  </si>
  <si>
    <t>Jacksonville</t>
  </si>
  <si>
    <t>Johnson</t>
  </si>
  <si>
    <t>Ludlow</t>
  </si>
  <si>
    <t>Lyndonville</t>
  </si>
  <si>
    <t>Morrisville</t>
  </si>
  <si>
    <t>Northfield</t>
  </si>
  <si>
    <t>Orleans</t>
  </si>
  <si>
    <t xml:space="preserve">Stowe </t>
  </si>
  <si>
    <t>Swanton</t>
  </si>
  <si>
    <t xml:space="preserve">Washington Electric Coop (WEC) </t>
  </si>
  <si>
    <t>Residential</t>
  </si>
  <si>
    <t>Commerial Demand</t>
  </si>
  <si>
    <t>Industrial Demand</t>
  </si>
  <si>
    <t>Commercial Non-Demand</t>
  </si>
  <si>
    <t>N/A</t>
  </si>
  <si>
    <t>2021 EEC kWh Rates</t>
  </si>
  <si>
    <t>Industrial 
Non-Demand</t>
  </si>
  <si>
    <t>Vermont Electric Coop (VEC)</t>
  </si>
  <si>
    <t>Electric Distribution Utility</t>
  </si>
  <si>
    <t>2021 EEC kW Rates</t>
  </si>
  <si>
    <t>Average 2019 kWh Consumption per Customer</t>
  </si>
  <si>
    <t>Average 2019 kW Demand per Customer</t>
  </si>
  <si>
    <t>2021 Average kWh Charge per Customer</t>
  </si>
  <si>
    <t>2021 Average EEC kW Charges per Customer</t>
  </si>
  <si>
    <t>Total Average Annual EEC Charge per Customer</t>
  </si>
  <si>
    <t>Total Average Monthly EEC Charge per Customer</t>
  </si>
  <si>
    <t>Total Customers Subject to EEC Charge</t>
  </si>
  <si>
    <r>
      <t xml:space="preserve">2021 </t>
    </r>
    <r>
      <rPr>
        <b/>
        <u/>
        <sz val="12"/>
        <color theme="1"/>
        <rFont val="Calibri"/>
        <family val="2"/>
      </rPr>
      <t>Monthly</t>
    </r>
    <r>
      <rPr>
        <b/>
        <sz val="12"/>
        <color theme="1"/>
        <rFont val="Calibri"/>
        <family val="2"/>
      </rPr>
      <t xml:space="preserve"> Fixed Fee EEC Charge per Net Metered Customer without a Gross Consumption Meter</t>
    </r>
  </si>
  <si>
    <r>
      <t xml:space="preserve">ORIGINAL 2021 </t>
    </r>
    <r>
      <rPr>
        <b/>
        <u/>
        <sz val="12"/>
        <color theme="1"/>
        <rFont val="Calibri"/>
        <family val="2"/>
      </rPr>
      <t>Monthly</t>
    </r>
    <r>
      <rPr>
        <b/>
        <sz val="12"/>
        <color theme="1"/>
        <rFont val="Calibri"/>
        <family val="2"/>
      </rPr>
      <t xml:space="preserve"> Fixed Fee EEC Charge per Net Metered Customer without a Gross Consumption Meter</t>
    </r>
  </si>
  <si>
    <t>Total Consumption</t>
  </si>
  <si>
    <t>Consumption and Demand Values from 20-2022-PET</t>
  </si>
  <si>
    <t>Distribution Utility Reported 2019 kWh Consumption</t>
  </si>
  <si>
    <t>Commercial and Industrial Forecast Adjustments</t>
  </si>
  <si>
    <r>
      <t>Estimated 2019 Net Meter Gross Consumption (July-Dec</t>
    </r>
    <r>
      <rPr>
        <i/>
        <sz val="11"/>
        <color theme="1"/>
        <rFont val="Calibri"/>
        <family val="2"/>
      </rPr>
      <t xml:space="preserve"> = 47.3%</t>
    </r>
    <r>
      <rPr>
        <sz val="11"/>
        <color theme="1"/>
        <rFont val="Calibri"/>
        <family val="2"/>
      </rPr>
      <t>)</t>
    </r>
  </si>
  <si>
    <t>Vermont Electric Coop (VEC).</t>
  </si>
  <si>
    <t>Streetlights</t>
  </si>
  <si>
    <t>kWh</t>
  </si>
  <si>
    <t>kW</t>
  </si>
  <si>
    <t>Commercial 
Non-Demand</t>
  </si>
  <si>
    <t>Commercial 
Demand</t>
  </si>
  <si>
    <t>Industrial 
Demand</t>
  </si>
  <si>
    <t>Totals</t>
  </si>
  <si>
    <t>Utility</t>
  </si>
  <si>
    <t>Adjusted Demand Totals</t>
  </si>
  <si>
    <t>Original Filing</t>
  </si>
  <si>
    <r>
      <t xml:space="preserve">CORRECTED 2021 </t>
    </r>
    <r>
      <rPr>
        <b/>
        <u/>
        <sz val="12"/>
        <color theme="1"/>
        <rFont val="Calibri"/>
        <family val="2"/>
      </rPr>
      <t>Monthly</t>
    </r>
    <r>
      <rPr>
        <b/>
        <sz val="12"/>
        <color theme="1"/>
        <rFont val="Calibri"/>
        <family val="2"/>
      </rPr>
      <t xml:space="preserve"> Fixed Fee EEC Charge per Net Metered Customer without a Gross Consumption Meter</t>
    </r>
  </si>
  <si>
    <r>
      <t xml:space="preserve">Commercial and Industrial Forecast Adjustments </t>
    </r>
    <r>
      <rPr>
        <i/>
        <u/>
        <sz val="11"/>
        <color theme="1"/>
        <rFont val="Calibri"/>
        <family val="2"/>
      </rPr>
      <t>(removed)</t>
    </r>
  </si>
  <si>
    <r>
      <t xml:space="preserve">Estimated 2019 Net Meter Gross Consumption </t>
    </r>
    <r>
      <rPr>
        <i/>
        <sz val="11"/>
        <color theme="1"/>
        <rFont val="Calibri"/>
        <family val="2"/>
      </rPr>
      <t>(Jan-Dec = 100%)</t>
    </r>
  </si>
  <si>
    <r>
      <t xml:space="preserve">Estimated 2019 Net Meter Gross Consumption </t>
    </r>
    <r>
      <rPr>
        <i/>
        <sz val="11"/>
        <color theme="1"/>
        <rFont val="Calibri"/>
        <family val="2"/>
      </rPr>
      <t>(July-Dec = 47.3%)</t>
    </r>
  </si>
  <si>
    <t>2019 Customers as Reported to Efficiency Vermont by the DUs  (as filed April 9, 2021)</t>
  </si>
  <si>
    <t>2019 Customers as Reported to Efficiency Vermont by the DUs  (original with corrections April 29, 2021)</t>
  </si>
  <si>
    <t>2019 Customers as Reported to Efficiency Vermont by the DUs (revised April 29,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</si>
</sst>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&quot;$&quot;#,##0.00000"/>
    <numFmt numFmtId="167" formatCode="&quot;$&quot;#,##0"/>
    <numFmt numFmtId="168" formatCode="0.0000%"/>
    <numFmt numFmtId="169" formatCode="0.000000%"/>
  </numFmts>
  <fonts count="12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i/>
      <u/>
      <sz val="14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4"/>
      <color theme="1"/>
      <name val="Calibri"/>
      <family val="2"/>
    </font>
    <font>
      <i/>
      <u/>
      <sz val="11"/>
      <color theme="1"/>
      <name val="Calibri"/>
      <family val="2"/>
    </font>
    <font>
      <u val="singleAccounting"/>
      <sz val="11"/>
      <color theme="1"/>
      <name val="Calibri"/>
      <family val="2"/>
    </font>
    <font>
      <i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1" applyNumberFormat="1" applyFont="1"/>
    <xf numFmtId="0" fontId="3" fillId="0" borderId="0" xfId="0" applyFont="1"/>
    <xf numFmtId="164" fontId="3" fillId="0" borderId="0" xfId="1" applyNumberFormat="1" applyFont="1"/>
    <xf numFmtId="0" fontId="2" fillId="0" borderId="0" xfId="0" applyFont="1"/>
    <xf numFmtId="164" fontId="2" fillId="0" borderId="0" xfId="1" applyNumberFormat="1" applyFont="1"/>
    <xf numFmtId="0" fontId="4" fillId="0" borderId="0" xfId="0" applyFont="1" applyAlignment="1">
      <alignment horizontal="center" wrapText="1"/>
    </xf>
    <xf numFmtId="165" fontId="0" fillId="0" borderId="0" xfId="0" applyNumberFormat="1"/>
    <xf numFmtId="166" fontId="0" fillId="0" borderId="0" xfId="0" applyNumberFormat="1"/>
    <xf numFmtId="0" fontId="5" fillId="0" borderId="0" xfId="0" applyFont="1"/>
    <xf numFmtId="0" fontId="6" fillId="0" borderId="1" xfId="0" applyFont="1" applyBorder="1" applyAlignment="1">
      <alignment wrapText="1"/>
    </xf>
    <xf numFmtId="164" fontId="0" fillId="0" borderId="0" xfId="0" applyNumberFormat="1"/>
    <xf numFmtId="0" fontId="0" fillId="2" borderId="0" xfId="0" applyFill="1" applyAlignment="1">
      <alignment horizontal="right"/>
    </xf>
    <xf numFmtId="166" fontId="0" fillId="0" borderId="0" xfId="0" applyNumberFormat="1" applyFill="1" applyAlignment="1">
      <alignment horizontal="right"/>
    </xf>
    <xf numFmtId="164" fontId="0" fillId="0" borderId="0" xfId="1" applyNumberFormat="1" applyFont="1" applyFill="1"/>
    <xf numFmtId="165" fontId="0" fillId="2" borderId="0" xfId="0" applyNumberFormat="1" applyFill="1" applyAlignment="1">
      <alignment horizontal="right"/>
    </xf>
    <xf numFmtId="165" fontId="8" fillId="0" borderId="2" xfId="0" applyNumberFormat="1" applyFont="1" applyBorder="1"/>
    <xf numFmtId="165" fontId="8" fillId="0" borderId="3" xfId="0" applyNumberFormat="1" applyFont="1" applyBorder="1"/>
    <xf numFmtId="0" fontId="6" fillId="0" borderId="0" xfId="0" applyFont="1"/>
    <xf numFmtId="167" fontId="8" fillId="0" borderId="0" xfId="0" applyNumberFormat="1" applyFont="1"/>
    <xf numFmtId="0" fontId="6" fillId="0" borderId="0" xfId="0" applyFont="1" applyBorder="1" applyAlignment="1">
      <alignment wrapText="1"/>
    </xf>
    <xf numFmtId="165" fontId="8" fillId="0" borderId="0" xfId="0" applyNumberFormat="1" applyFont="1" applyBorder="1"/>
    <xf numFmtId="0" fontId="4" fillId="0" borderId="0" xfId="0" applyFont="1"/>
    <xf numFmtId="164" fontId="10" fillId="0" borderId="0" xfId="1" applyNumberFormat="1" applyFont="1"/>
    <xf numFmtId="168" fontId="0" fillId="0" borderId="0" xfId="2" applyNumberFormat="1" applyFont="1"/>
    <xf numFmtId="169" fontId="0" fillId="0" borderId="0" xfId="2" applyNumberFormat="1" applyFont="1"/>
    <xf numFmtId="169" fontId="2" fillId="0" borderId="0" xfId="2" applyNumberFormat="1" applyFont="1"/>
    <xf numFmtId="165" fontId="8" fillId="0" borderId="0" xfId="0" applyNumberFormat="1" applyFont="1"/>
    <xf numFmtId="164" fontId="4" fillId="0" borderId="0" xfId="1" applyNumberFormat="1" applyFont="1" applyAlignment="1">
      <alignment horizontal="center" wrapText="1"/>
    </xf>
    <xf numFmtId="0" fontId="0" fillId="0" borderId="0" xfId="0" applyFont="1"/>
    <xf numFmtId="0" fontId="2" fillId="0" borderId="0" xfId="0" applyFont="1" applyAlignment="1">
      <alignment horizontal="center" wrapText="1"/>
    </xf>
    <xf numFmtId="0" fontId="3" fillId="2" borderId="0" xfId="0" applyFont="1" applyFill="1" applyAlignment="1">
      <alignment horizontal="right"/>
    </xf>
    <xf numFmtId="164" fontId="0" fillId="3" borderId="0" xfId="1" applyNumberFormat="1" applyFont="1" applyFill="1"/>
    <xf numFmtId="164" fontId="3" fillId="3" borderId="0" xfId="1" applyNumberFormat="1" applyFont="1" applyFill="1"/>
    <xf numFmtId="164" fontId="3" fillId="0" borderId="0" xfId="1" applyNumberFormat="1" applyFont="1" applyFill="1"/>
    <xf numFmtId="0" fontId="2" fillId="0" borderId="0" xfId="0" applyFont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im Massie" id="{64F56B38-32B4-4198-B8A2-2E1242C69606}" userId="S::jmassie@veic.org::80dfa999-5526-4642-837c-b5fa1cd05a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8" dT="2021-03-30T14:50:29.48" personId="{64F56B38-32B4-4198-B8A2-2E1242C69606}" id="{04AC2CBF-6711-433F-9DAB-A0CE6630CD7F}">
    <text>Net of SMEEP</text>
  </threadedComment>
  <threadedComment ref="E27" dT="2021-04-23T14:24:38.82" personId="{64F56B38-32B4-4198-B8A2-2E1242C69606}" id="{3C91FA08-FDB0-4FEB-B463-09B7A25AC473}">
    <text>value increases total kWh due to the formulaic split used in the 092320 EEC Rate Calculation filing</text>
  </threadedComment>
  <threadedComment ref="A41" dT="2021-03-30T19:49:18.88" personId="{64F56B38-32B4-4198-B8A2-2E1242C69606}" id="{972C4C5D-ADD6-43AF-94DF-0578BBC53121}">
    <text>kW not used in setting this fixed charge because demand customers are still billed for their demand. Only energy (kWh) is impacted by net metering. per Scott Anderson at GMP</text>
  </threadedComment>
  <threadedComment ref="D41" dT="2021-04-01T20:27:07.88" personId="{64F56B38-32B4-4198-B8A2-2E1242C69606}" id="{3086AEFB-1164-45BB-B22B-EE0668A3F2B3}">
    <text>customers are charged EEC on their actual demand which is almost never offset by net metering</text>
  </threadedComment>
  <threadedComment ref="F41" dT="2021-04-01T20:27:07.88" personId="{64F56B38-32B4-4198-B8A2-2E1242C69606}" id="{02F14782-A64D-4856-8C9E-2F638BAE5A97}">
    <text>customers are charged EEC on their actual demand which is almost never offset by net metering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8" dT="2021-03-30T14:50:29.48" personId="{64F56B38-32B4-4198-B8A2-2E1242C69606}" id="{7633F966-C11B-4515-AF4F-1D00CF1824A8}">
    <text>Net of SMEEP</text>
  </threadedComment>
  <threadedComment ref="B25" dT="2021-04-23T14:18:26.08" personId="{64F56B38-32B4-4198-B8A2-2E1242C69606}" id="{B3045C61-0575-4B4A-A811-CA1A8835A53E}">
    <text>value doesn't match the 09/23/20 EEC Rate Calculations filing because some NM data was also included in the 2019 residential consumption value</text>
  </threadedComment>
  <threadedComment ref="C25" dT="2021-04-23T14:23:02.98" personId="{64F56B38-32B4-4198-B8A2-2E1242C69606}" id="{6565C8BF-6DB2-400E-855C-6C1FB55C3317}">
    <text>value is actual 2019 data. 092320 EEC Rate Calculation was under reporting the actual consumption</text>
  </threadedComment>
  <threadedComment ref="D25" dT="2021-04-23T14:58:21.41" personId="{64F56B38-32B4-4198-B8A2-2E1242C69606}" id="{75808481-9945-42BA-8B74-5AAFB8AF9422}">
    <text>WEC informed me 04/22/21 that they reported values for Commercial Demand in the Industrial Demand category</text>
  </threadedComment>
  <threadedComment ref="F25" dT="2021-04-23T14:58:21.41" personId="{64F56B38-32B4-4198-B8A2-2E1242C69606}" id="{822E6468-B749-4759-BC67-41191F1DF443}">
    <text>WEC informed me 04/22/21 that they reported values for Commercial Demand in the Industrial Demand category</text>
  </threadedComment>
  <threadedComment ref="B26" dT="2021-04-23T14:18:26.08" personId="{64F56B38-32B4-4198-B8A2-2E1242C69606}" id="{CEFAFA1E-F3CD-473B-95CE-1B6EF5CD2269}">
    <text>value doesn't match the 09/23/20 EEC Rate Calculations filing because some NM data was also included in the residential actual value</text>
  </threadedComment>
  <threadedComment ref="D31" dT="2021-04-23T14:58:21.41" personId="{64F56B38-32B4-4198-B8A2-2E1242C69606}" id="{39710302-5480-41CC-AB57-AB977FCEFD57}">
    <text>WEC informed me 04/22/21 that they reported values for Commercial Demand in the Industrial Demand category</text>
  </threadedComment>
  <threadedComment ref="F31" dT="2021-04-23T14:58:21.41" personId="{64F56B38-32B4-4198-B8A2-2E1242C69606}" id="{DEB6E1C7-6E0D-4AE7-9437-EA4A140653C2}">
    <text>WEC informed me 04/22/21 that they reported values for Commercial Demand in the Industrial Demand category</text>
  </threadedComment>
  <threadedComment ref="A41" dT="2021-03-30T19:49:18.88" personId="{64F56B38-32B4-4198-B8A2-2E1242C69606}" id="{5B455E5A-83C5-45B4-842B-B23DFB178495}">
    <text>kW not used in setting this fixed charge because demand customers are still billed for their demand. Only energy (kWh) is impacted by net metering. per Scott Anderson at GMP</text>
  </threadedComment>
  <threadedComment ref="D41" dT="2021-04-01T20:27:07.88" personId="{64F56B38-32B4-4198-B8A2-2E1242C69606}" id="{8E50C6C1-1DB6-4F37-85CD-3AD8127601BF}">
    <text>customers are charged EEC on their actual demand which is almost never offset by net metering</text>
  </threadedComment>
  <threadedComment ref="F41" dT="2021-04-01T20:27:07.88" personId="{64F56B38-32B4-4198-B8A2-2E1242C69606}" id="{1EECBADF-5720-4622-BCE5-F388CFE1174D}">
    <text>customers are charged EEC on their actual demand which is almost never offset by net metering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8" dT="2021-03-30T14:50:29.48" personId="{64F56B38-32B4-4198-B8A2-2E1242C69606}" id="{1A43E14A-0D1A-460E-8C70-76AB02E9AE05}">
    <text>Net of SMEEP</text>
  </threadedComment>
  <threadedComment ref="A41" dT="2021-03-30T19:49:18.88" personId="{64F56B38-32B4-4198-B8A2-2E1242C69606}" id="{81708403-D653-44DE-905A-FBEC6084BDBE}">
    <text>kW not used in setting this fixed charge because demand customers are still billed for their demand. Only energy (kWh) is impacted by net metering. per Scott Anderson at GMP</text>
  </threadedComment>
  <threadedComment ref="D41" dT="2021-04-01T20:27:07.88" personId="{64F56B38-32B4-4198-B8A2-2E1242C69606}" id="{0F9EBEA3-E932-426C-8A35-598262F5501B}">
    <text>customers are charged EEC on their actual demand which is almost never offset by net metering</text>
  </threadedComment>
  <threadedComment ref="F41" dT="2021-04-01T20:27:07.88" personId="{64F56B38-32B4-4198-B8A2-2E1242C69606}" id="{AEDF5D82-5623-4D1B-BC40-A65D068321B0}">
    <text>customers are charged EEC on their actual demand which is almost never offset by net metering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E23" dT="2021-04-23T14:58:21.41" personId="{64F56B38-32B4-4198-B8A2-2E1242C69606}" id="{D9ECD941-E90B-4BF3-B33F-2161630C137C}">
    <text>WEC informed me 04/22/21 that this should have been reported in Commercial Demand, not Industrial Demand</text>
  </threadedComment>
  <threadedComment ref="F23" dT="2021-04-23T14:58:21.41" personId="{64F56B38-32B4-4198-B8A2-2E1242C69606}" id="{325E6C61-EA55-4FB8-AB6E-9774D9848C3A}">
    <text>WEC informed me 04/22/21 that this should have been reported in Commercial Demand, not Industrial Demand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2413F-1EC6-4EE3-8E83-DC1BC7365A99}">
  <sheetPr codeName="Sheet1"/>
  <dimension ref="A3:M47"/>
  <sheetViews>
    <sheetView tabSelected="1" workbookViewId="0">
      <selection activeCell="A3" sqref="A3"/>
    </sheetView>
  </sheetViews>
  <sheetFormatPr defaultRowHeight="15" x14ac:dyDescent="0.25"/>
  <cols>
    <col min="1" max="1" width="63.28515625" customWidth="1"/>
    <col min="2" max="6" width="13.85546875" customWidth="1"/>
    <col min="7" max="8" width="14.28515625" bestFit="1" customWidth="1"/>
    <col min="9" max="13" width="14.85546875" style="1" customWidth="1"/>
  </cols>
  <sheetData>
    <row r="3" spans="1:13" ht="18.75" x14ac:dyDescent="0.3">
      <c r="A3" s="9" t="s">
        <v>54</v>
      </c>
    </row>
    <row r="4" spans="1:13" ht="18.75" x14ac:dyDescent="0.3">
      <c r="A4" s="9"/>
    </row>
    <row r="5" spans="1:13" s="6" customFormat="1" ht="30" x14ac:dyDescent="0.25">
      <c r="A5" s="6" t="s">
        <v>23</v>
      </c>
      <c r="B5" s="6" t="s">
        <v>15</v>
      </c>
      <c r="C5" s="6" t="s">
        <v>18</v>
      </c>
      <c r="D5" s="6" t="s">
        <v>16</v>
      </c>
      <c r="E5" s="6" t="s">
        <v>21</v>
      </c>
      <c r="F5" s="6" t="s">
        <v>17</v>
      </c>
      <c r="I5" s="28"/>
      <c r="J5" s="28"/>
      <c r="K5" s="28"/>
      <c r="L5" s="28"/>
      <c r="M5" s="28"/>
    </row>
    <row r="6" spans="1:13" x14ac:dyDescent="0.25">
      <c r="A6" t="s">
        <v>0</v>
      </c>
      <c r="B6" s="1">
        <v>1957</v>
      </c>
      <c r="C6" s="1">
        <v>187</v>
      </c>
      <c r="D6" s="1">
        <v>27</v>
      </c>
      <c r="E6" s="1">
        <v>0</v>
      </c>
      <c r="F6" s="1">
        <v>0</v>
      </c>
    </row>
    <row r="7" spans="1:13" x14ac:dyDescent="0.25">
      <c r="A7" t="s">
        <v>1</v>
      </c>
      <c r="B7" s="1">
        <v>1544</v>
      </c>
      <c r="C7" s="1">
        <v>194</v>
      </c>
      <c r="D7" s="1">
        <v>24</v>
      </c>
      <c r="E7" s="1">
        <v>0</v>
      </c>
      <c r="F7" s="1">
        <v>0</v>
      </c>
    </row>
    <row r="8" spans="1:13" x14ac:dyDescent="0.25">
      <c r="A8" t="s">
        <v>2</v>
      </c>
      <c r="B8" s="1">
        <v>222748</v>
      </c>
      <c r="C8" s="1">
        <v>34221</v>
      </c>
      <c r="D8" s="1">
        <v>8999</v>
      </c>
      <c r="E8" s="1">
        <v>0</v>
      </c>
      <c r="F8" s="1">
        <v>70</v>
      </c>
    </row>
    <row r="9" spans="1:13" x14ac:dyDescent="0.25">
      <c r="A9" t="s">
        <v>3</v>
      </c>
      <c r="B9" s="1">
        <v>4020</v>
      </c>
      <c r="C9" s="1">
        <v>398</v>
      </c>
      <c r="D9" s="1">
        <v>29</v>
      </c>
      <c r="E9" s="1"/>
      <c r="F9" s="1"/>
    </row>
    <row r="10" spans="1:13" x14ac:dyDescent="0.25">
      <c r="A10" t="s">
        <v>4</v>
      </c>
      <c r="B10" s="1">
        <v>1359</v>
      </c>
      <c r="C10" s="1">
        <v>158</v>
      </c>
      <c r="D10" s="1">
        <v>3</v>
      </c>
      <c r="E10" s="1">
        <v>0</v>
      </c>
      <c r="F10" s="1">
        <v>0</v>
      </c>
    </row>
    <row r="11" spans="1:13" x14ac:dyDescent="0.25">
      <c r="A11" t="s">
        <v>5</v>
      </c>
      <c r="B11" s="1">
        <v>656</v>
      </c>
      <c r="C11" s="1">
        <v>51</v>
      </c>
      <c r="D11" s="1">
        <v>4</v>
      </c>
      <c r="E11" s="1">
        <v>0</v>
      </c>
      <c r="F11" s="1">
        <v>0</v>
      </c>
    </row>
    <row r="12" spans="1:13" x14ac:dyDescent="0.25">
      <c r="A12" t="s">
        <v>6</v>
      </c>
      <c r="B12" s="1">
        <v>805</v>
      </c>
      <c r="C12" s="1">
        <v>122</v>
      </c>
      <c r="D12" s="1">
        <v>16</v>
      </c>
      <c r="E12" s="1">
        <v>0</v>
      </c>
      <c r="F12" s="1">
        <v>0</v>
      </c>
    </row>
    <row r="13" spans="1:13" x14ac:dyDescent="0.25">
      <c r="A13" t="s">
        <v>7</v>
      </c>
      <c r="B13" s="1">
        <v>3090</v>
      </c>
      <c r="C13" s="1">
        <v>607</v>
      </c>
      <c r="D13" s="1">
        <v>48</v>
      </c>
      <c r="E13" s="1">
        <v>0</v>
      </c>
      <c r="F13" s="1">
        <v>69</v>
      </c>
    </row>
    <row r="14" spans="1:13" x14ac:dyDescent="0.25">
      <c r="A14" t="s">
        <v>8</v>
      </c>
      <c r="B14" s="1">
        <v>4836</v>
      </c>
      <c r="C14" s="1">
        <v>882</v>
      </c>
      <c r="D14" s="1">
        <v>41</v>
      </c>
      <c r="E14" s="1">
        <v>0</v>
      </c>
      <c r="F14" s="1">
        <v>0</v>
      </c>
    </row>
    <row r="15" spans="1:13" x14ac:dyDescent="0.25">
      <c r="A15" t="s">
        <v>9</v>
      </c>
      <c r="B15" s="1">
        <v>3498</v>
      </c>
      <c r="C15" s="1">
        <v>550</v>
      </c>
      <c r="D15" s="1">
        <v>94</v>
      </c>
      <c r="E15" s="1">
        <v>0</v>
      </c>
      <c r="F15" s="1">
        <v>0</v>
      </c>
    </row>
    <row r="16" spans="1:13" x14ac:dyDescent="0.25">
      <c r="A16" t="s">
        <v>10</v>
      </c>
      <c r="B16" s="1">
        <v>1620</v>
      </c>
      <c r="C16" s="1">
        <v>578</v>
      </c>
      <c r="D16" s="1">
        <v>16</v>
      </c>
      <c r="E16" s="1">
        <v>0</v>
      </c>
      <c r="F16" s="1">
        <v>1</v>
      </c>
    </row>
    <row r="17" spans="1:8" x14ac:dyDescent="0.25">
      <c r="A17" t="s">
        <v>11</v>
      </c>
      <c r="B17" s="1">
        <v>569</v>
      </c>
      <c r="C17" s="1">
        <v>89</v>
      </c>
      <c r="D17" s="1">
        <v>0</v>
      </c>
      <c r="E17" s="1">
        <v>0</v>
      </c>
      <c r="F17" s="1">
        <v>1</v>
      </c>
    </row>
    <row r="18" spans="1:8" x14ac:dyDescent="0.25">
      <c r="A18" t="s">
        <v>12</v>
      </c>
      <c r="B18" s="14">
        <v>3405</v>
      </c>
      <c r="C18" s="14">
        <f>757+14</f>
        <v>771</v>
      </c>
      <c r="D18" s="14">
        <v>101</v>
      </c>
      <c r="E18" s="14">
        <v>0</v>
      </c>
      <c r="F18" s="14">
        <v>1</v>
      </c>
    </row>
    <row r="19" spans="1:8" x14ac:dyDescent="0.25">
      <c r="A19" t="s">
        <v>13</v>
      </c>
      <c r="B19" s="1">
        <v>3278</v>
      </c>
      <c r="C19" s="1">
        <v>343</v>
      </c>
      <c r="D19" s="1">
        <v>93</v>
      </c>
      <c r="E19" s="1">
        <v>0</v>
      </c>
      <c r="F19" s="1">
        <v>0</v>
      </c>
    </row>
    <row r="20" spans="1:8" x14ac:dyDescent="0.25">
      <c r="A20" t="s">
        <v>22</v>
      </c>
      <c r="B20" s="1">
        <v>34880</v>
      </c>
      <c r="C20" s="1">
        <v>4540</v>
      </c>
      <c r="D20" s="1">
        <v>146</v>
      </c>
      <c r="E20" s="1">
        <v>6</v>
      </c>
      <c r="F20" s="1">
        <v>10</v>
      </c>
    </row>
    <row r="21" spans="1:8" x14ac:dyDescent="0.25">
      <c r="A21" s="2" t="s">
        <v>14</v>
      </c>
      <c r="B21" s="3">
        <f>130586/12</f>
        <v>10882.166666666666</v>
      </c>
      <c r="C21" s="3">
        <f>8008/12</f>
        <v>667.33333333333337</v>
      </c>
      <c r="D21" s="3">
        <v>0</v>
      </c>
      <c r="E21" s="3">
        <v>0</v>
      </c>
      <c r="F21" s="3">
        <f>144/12</f>
        <v>12</v>
      </c>
    </row>
    <row r="22" spans="1:8" x14ac:dyDescent="0.25">
      <c r="A22" s="4" t="s">
        <v>31</v>
      </c>
      <c r="B22" s="5">
        <f>SUM(B6:B21)</f>
        <v>299147.16666666669</v>
      </c>
      <c r="C22" s="5">
        <f>SUM(C6:C21)</f>
        <v>44358.333333333336</v>
      </c>
      <c r="D22" s="5">
        <f>SUM(D6:D21)</f>
        <v>9641</v>
      </c>
      <c r="E22" s="5">
        <f>SUM(E6:E21)</f>
        <v>6</v>
      </c>
      <c r="F22" s="5">
        <f>SUM(F6:F21)</f>
        <v>164</v>
      </c>
    </row>
    <row r="24" spans="1:8" x14ac:dyDescent="0.25">
      <c r="A24" s="22" t="s">
        <v>35</v>
      </c>
    </row>
    <row r="25" spans="1:8" x14ac:dyDescent="0.25">
      <c r="A25" t="s">
        <v>36</v>
      </c>
      <c r="B25" s="1">
        <v>1984975915</v>
      </c>
      <c r="C25" s="1">
        <f>312108910+13126578-1227571</f>
        <v>324007917</v>
      </c>
      <c r="D25" s="1">
        <v>1491129438</v>
      </c>
      <c r="E25" s="1">
        <v>5578093</v>
      </c>
      <c r="F25" s="1">
        <v>727465365</v>
      </c>
      <c r="G25" s="11"/>
      <c r="H25" s="11"/>
    </row>
    <row r="26" spans="1:8" x14ac:dyDescent="0.25">
      <c r="A26" s="29" t="s">
        <v>38</v>
      </c>
      <c r="B26" s="1">
        <f>2017308355-B25</f>
        <v>32332440</v>
      </c>
      <c r="C26" s="1">
        <v>1912986</v>
      </c>
      <c r="D26" s="1">
        <v>0</v>
      </c>
      <c r="E26" s="1">
        <v>0</v>
      </c>
      <c r="F26" s="1">
        <v>0</v>
      </c>
      <c r="G26" s="11"/>
      <c r="H26" s="11"/>
    </row>
    <row r="27" spans="1:8" x14ac:dyDescent="0.25">
      <c r="A27" s="2" t="s">
        <v>37</v>
      </c>
      <c r="B27" s="3">
        <v>0</v>
      </c>
      <c r="C27" s="3">
        <f>-139765576-D27</f>
        <v>-7288103</v>
      </c>
      <c r="D27" s="3">
        <v>-132477473</v>
      </c>
      <c r="E27" s="3">
        <f>6789470-E25</f>
        <v>1211377</v>
      </c>
      <c r="F27" s="3">
        <f>700597467-F25</f>
        <v>-26867898</v>
      </c>
      <c r="G27" s="11"/>
      <c r="H27" s="11"/>
    </row>
    <row r="28" spans="1:8" x14ac:dyDescent="0.25">
      <c r="A28" s="4" t="s">
        <v>34</v>
      </c>
      <c r="B28" s="5">
        <f>SUM(B25:B27)</f>
        <v>2017308355</v>
      </c>
      <c r="C28" s="5">
        <f t="shared" ref="C28:F28" si="0">SUM(C25:C27)</f>
        <v>318632800</v>
      </c>
      <c r="D28" s="5">
        <f t="shared" si="0"/>
        <v>1358651965</v>
      </c>
      <c r="E28" s="5">
        <f t="shared" si="0"/>
        <v>6789470</v>
      </c>
      <c r="F28" s="5">
        <f t="shared" si="0"/>
        <v>700597467</v>
      </c>
      <c r="G28" s="11"/>
      <c r="H28" s="11"/>
    </row>
    <row r="29" spans="1:8" x14ac:dyDescent="0.25">
      <c r="A29" s="4" t="s">
        <v>25</v>
      </c>
      <c r="B29" s="5">
        <f>B28/B22</f>
        <v>6743.531544953069</v>
      </c>
      <c r="C29" s="5">
        <f t="shared" ref="C29:F29" si="1">C28/C22</f>
        <v>7183.1553635168138</v>
      </c>
      <c r="D29" s="5">
        <f t="shared" si="1"/>
        <v>140924.3818068665</v>
      </c>
      <c r="E29" s="5">
        <f t="shared" si="1"/>
        <v>1131578.3333333333</v>
      </c>
      <c r="F29" s="5">
        <f t="shared" si="1"/>
        <v>4271935.7743902439</v>
      </c>
    </row>
    <row r="31" spans="1:8" x14ac:dyDescent="0.25">
      <c r="A31" t="s">
        <v>36</v>
      </c>
      <c r="B31" s="12" t="s">
        <v>19</v>
      </c>
      <c r="C31" s="12" t="s">
        <v>19</v>
      </c>
      <c r="D31" s="1">
        <f>'2019 Reported Sales'!F24</f>
        <v>4837869.8620000007</v>
      </c>
      <c r="E31" s="12" t="s">
        <v>19</v>
      </c>
      <c r="F31" s="1">
        <f>'2019 Reported Sales'!I24</f>
        <v>1734103.402</v>
      </c>
    </row>
    <row r="32" spans="1:8" x14ac:dyDescent="0.25">
      <c r="A32" s="2" t="s">
        <v>37</v>
      </c>
      <c r="B32" s="31"/>
      <c r="C32" s="31"/>
      <c r="D32" s="3">
        <v>-757125.01400000043</v>
      </c>
      <c r="E32" s="31"/>
      <c r="F32" s="3">
        <v>-218822.70008697035</v>
      </c>
    </row>
    <row r="33" spans="1:6" x14ac:dyDescent="0.25">
      <c r="A33" s="4" t="s">
        <v>48</v>
      </c>
      <c r="B33" s="12"/>
      <c r="C33" s="12"/>
      <c r="D33" s="5">
        <f>SUM(D31:D32)</f>
        <v>4080744.8480000002</v>
      </c>
      <c r="E33" s="12" t="s">
        <v>19</v>
      </c>
      <c r="F33" s="5">
        <f>SUM(F31:F32)</f>
        <v>1515280.7019130297</v>
      </c>
    </row>
    <row r="34" spans="1:6" x14ac:dyDescent="0.25">
      <c r="A34" t="s">
        <v>26</v>
      </c>
      <c r="B34" s="12" t="s">
        <v>19</v>
      </c>
      <c r="C34" s="12" t="s">
        <v>19</v>
      </c>
      <c r="D34" s="1">
        <f>D33/D22</f>
        <v>423.26987324966291</v>
      </c>
      <c r="E34" s="12" t="s">
        <v>19</v>
      </c>
      <c r="F34" s="1">
        <f>F33/F22</f>
        <v>9239.5164750794484</v>
      </c>
    </row>
    <row r="37" spans="1:6" x14ac:dyDescent="0.25">
      <c r="A37" t="s">
        <v>20</v>
      </c>
      <c r="B37" s="8">
        <v>1.1881085167974793E-2</v>
      </c>
      <c r="C37" s="8">
        <v>1.0236807822923627E-2</v>
      </c>
      <c r="D37" s="8">
        <v>6.6197719734247661E-3</v>
      </c>
      <c r="E37" s="8">
        <v>7.5702523544102568E-3</v>
      </c>
      <c r="F37" s="8">
        <v>5.2086163716222877E-3</v>
      </c>
    </row>
    <row r="38" spans="1:6" x14ac:dyDescent="0.25">
      <c r="A38" t="s">
        <v>27</v>
      </c>
      <c r="B38" s="7">
        <f>B37*B29</f>
        <v>80.120472618512053</v>
      </c>
      <c r="C38" s="7">
        <f t="shared" ref="C38:F38" si="2">C37*C29</f>
        <v>73.532581018524738</v>
      </c>
      <c r="D38" s="7">
        <f t="shared" si="2"/>
        <v>932.88727305730583</v>
      </c>
      <c r="E38" s="7">
        <f t="shared" si="2"/>
        <v>8566.333542116301</v>
      </c>
      <c r="F38" s="7">
        <f t="shared" si="2"/>
        <v>22250.87461300796</v>
      </c>
    </row>
    <row r="39" spans="1:6" x14ac:dyDescent="0.25">
      <c r="B39" s="7"/>
      <c r="C39" s="7"/>
      <c r="D39" s="7"/>
      <c r="E39" s="7"/>
      <c r="F39" s="7"/>
    </row>
    <row r="40" spans="1:6" x14ac:dyDescent="0.25">
      <c r="A40" t="s">
        <v>24</v>
      </c>
      <c r="B40" s="12" t="s">
        <v>19</v>
      </c>
      <c r="C40" s="12" t="s">
        <v>19</v>
      </c>
      <c r="D40">
        <v>1.13825</v>
      </c>
      <c r="E40" s="12" t="s">
        <v>19</v>
      </c>
      <c r="F40" s="13">
        <v>1.21316</v>
      </c>
    </row>
    <row r="41" spans="1:6" x14ac:dyDescent="0.25">
      <c r="A41" t="s">
        <v>28</v>
      </c>
      <c r="B41" s="12" t="s">
        <v>19</v>
      </c>
      <c r="C41" s="12" t="s">
        <v>19</v>
      </c>
      <c r="D41" s="15">
        <f>D40*0</f>
        <v>0</v>
      </c>
      <c r="E41" s="12" t="s">
        <v>19</v>
      </c>
      <c r="F41" s="15">
        <f>F40*0</f>
        <v>0</v>
      </c>
    </row>
    <row r="42" spans="1:6" x14ac:dyDescent="0.25">
      <c r="B42" s="7"/>
      <c r="C42" s="7"/>
      <c r="D42" s="7"/>
      <c r="E42" s="7"/>
      <c r="F42" s="7"/>
    </row>
    <row r="43" spans="1:6" x14ac:dyDescent="0.25">
      <c r="A43" t="s">
        <v>29</v>
      </c>
      <c r="B43" s="7">
        <f>B38</f>
        <v>80.120472618512053</v>
      </c>
      <c r="C43" s="7">
        <f t="shared" ref="C43:E43" si="3">C38</f>
        <v>73.532581018524738</v>
      </c>
      <c r="D43" s="7">
        <f>D38+D41</f>
        <v>932.88727305730583</v>
      </c>
      <c r="E43" s="7">
        <f t="shared" si="3"/>
        <v>8566.333542116301</v>
      </c>
      <c r="F43" s="7">
        <f>F38+F41</f>
        <v>22250.87461300796</v>
      </c>
    </row>
    <row r="44" spans="1:6" x14ac:dyDescent="0.25">
      <c r="A44" s="4" t="s">
        <v>30</v>
      </c>
    </row>
    <row r="46" spans="1:6" ht="30.75" customHeight="1" x14ac:dyDescent="0.3">
      <c r="A46" s="20" t="s">
        <v>33</v>
      </c>
      <c r="B46" s="21">
        <f>B43/12</f>
        <v>6.6767060515426708</v>
      </c>
      <c r="C46" s="21">
        <f>C43/12</f>
        <v>6.1277150848770612</v>
      </c>
      <c r="D46" s="21">
        <f>D43/12</f>
        <v>77.740606088108819</v>
      </c>
      <c r="E46" s="21">
        <f>E43/12</f>
        <v>713.86112850969175</v>
      </c>
      <c r="F46" s="21">
        <f>F43/12</f>
        <v>1854.2395510839967</v>
      </c>
    </row>
    <row r="47" spans="1:6" ht="15" customHeight="1" x14ac:dyDescent="0.3">
      <c r="A47" s="20"/>
      <c r="B47" s="21"/>
      <c r="C47" s="21"/>
      <c r="D47" s="21"/>
      <c r="E47" s="21"/>
      <c r="F47" s="21"/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A6C1-4612-4442-8199-00ECAE081C0E}">
  <dimension ref="A3:M48"/>
  <sheetViews>
    <sheetView workbookViewId="0">
      <selection activeCell="H20" sqref="H20"/>
    </sheetView>
  </sheetViews>
  <sheetFormatPr defaultRowHeight="15" x14ac:dyDescent="0.25"/>
  <cols>
    <col min="1" max="1" width="63.28515625" customWidth="1"/>
    <col min="2" max="6" width="13.85546875" customWidth="1"/>
    <col min="7" max="8" width="14.28515625" bestFit="1" customWidth="1"/>
    <col min="9" max="13" width="14.85546875" style="1" customWidth="1"/>
  </cols>
  <sheetData>
    <row r="3" spans="1:13" ht="18.75" x14ac:dyDescent="0.3">
      <c r="A3" s="9" t="s">
        <v>55</v>
      </c>
    </row>
    <row r="4" spans="1:13" ht="18.75" x14ac:dyDescent="0.3">
      <c r="A4" s="9"/>
    </row>
    <row r="5" spans="1:13" s="6" customFormat="1" ht="30" x14ac:dyDescent="0.25">
      <c r="A5" s="6" t="s">
        <v>23</v>
      </c>
      <c r="B5" s="6" t="s">
        <v>15</v>
      </c>
      <c r="C5" s="6" t="s">
        <v>18</v>
      </c>
      <c r="D5" s="6" t="s">
        <v>16</v>
      </c>
      <c r="E5" s="6" t="s">
        <v>21</v>
      </c>
      <c r="F5" s="6" t="s">
        <v>17</v>
      </c>
      <c r="I5" s="28"/>
      <c r="J5" s="28"/>
      <c r="K5" s="28"/>
      <c r="L5" s="28"/>
      <c r="M5" s="28"/>
    </row>
    <row r="6" spans="1:13" x14ac:dyDescent="0.25">
      <c r="A6" t="s">
        <v>0</v>
      </c>
      <c r="B6" s="1">
        <v>1957</v>
      </c>
      <c r="C6" s="1">
        <v>187</v>
      </c>
      <c r="D6" s="1">
        <v>27</v>
      </c>
      <c r="E6" s="1">
        <v>0</v>
      </c>
      <c r="F6" s="1">
        <v>0</v>
      </c>
    </row>
    <row r="7" spans="1:13" x14ac:dyDescent="0.25">
      <c r="A7" t="s">
        <v>1</v>
      </c>
      <c r="B7" s="1">
        <v>1544</v>
      </c>
      <c r="C7" s="1">
        <v>194</v>
      </c>
      <c r="D7" s="1">
        <v>24</v>
      </c>
      <c r="E7" s="1">
        <v>0</v>
      </c>
      <c r="F7" s="1">
        <v>0</v>
      </c>
    </row>
    <row r="8" spans="1:13" x14ac:dyDescent="0.25">
      <c r="A8" t="s">
        <v>2</v>
      </c>
      <c r="B8" s="1">
        <v>222748</v>
      </c>
      <c r="C8" s="1">
        <v>34221</v>
      </c>
      <c r="D8" s="1">
        <v>8999</v>
      </c>
      <c r="E8" s="1">
        <v>0</v>
      </c>
      <c r="F8" s="1">
        <v>70</v>
      </c>
    </row>
    <row r="9" spans="1:13" x14ac:dyDescent="0.25">
      <c r="A9" t="s">
        <v>3</v>
      </c>
      <c r="B9" s="1">
        <v>4020</v>
      </c>
      <c r="C9" s="1">
        <v>398</v>
      </c>
      <c r="D9" s="1">
        <v>29</v>
      </c>
      <c r="E9" s="1"/>
      <c r="F9" s="1"/>
    </row>
    <row r="10" spans="1:13" x14ac:dyDescent="0.25">
      <c r="A10" t="s">
        <v>4</v>
      </c>
      <c r="B10" s="1">
        <v>1359</v>
      </c>
      <c r="C10" s="1">
        <v>158</v>
      </c>
      <c r="D10" s="1">
        <v>3</v>
      </c>
      <c r="E10" s="1">
        <v>0</v>
      </c>
      <c r="F10" s="1">
        <v>0</v>
      </c>
    </row>
    <row r="11" spans="1:13" x14ac:dyDescent="0.25">
      <c r="A11" t="s">
        <v>5</v>
      </c>
      <c r="B11" s="1">
        <v>656</v>
      </c>
      <c r="C11" s="1">
        <v>51</v>
      </c>
      <c r="D11" s="1">
        <v>4</v>
      </c>
      <c r="E11" s="1">
        <v>0</v>
      </c>
      <c r="F11" s="1">
        <v>0</v>
      </c>
    </row>
    <row r="12" spans="1:13" x14ac:dyDescent="0.25">
      <c r="A12" t="s">
        <v>6</v>
      </c>
      <c r="B12" s="1">
        <v>805</v>
      </c>
      <c r="C12" s="1">
        <v>122</v>
      </c>
      <c r="D12" s="1">
        <v>16</v>
      </c>
      <c r="E12" s="1">
        <v>0</v>
      </c>
      <c r="F12" s="1">
        <v>0</v>
      </c>
    </row>
    <row r="13" spans="1:13" x14ac:dyDescent="0.25">
      <c r="A13" t="s">
        <v>7</v>
      </c>
      <c r="B13" s="1">
        <v>3090</v>
      </c>
      <c r="C13" s="1">
        <v>607</v>
      </c>
      <c r="D13" s="1">
        <v>48</v>
      </c>
      <c r="E13" s="1">
        <v>0</v>
      </c>
      <c r="F13" s="1">
        <v>69</v>
      </c>
    </row>
    <row r="14" spans="1:13" x14ac:dyDescent="0.25">
      <c r="A14" t="s">
        <v>8</v>
      </c>
      <c r="B14" s="1">
        <v>4836</v>
      </c>
      <c r="C14" s="1">
        <v>882</v>
      </c>
      <c r="D14" s="1">
        <v>41</v>
      </c>
      <c r="E14" s="1">
        <v>0</v>
      </c>
      <c r="F14" s="1">
        <v>0</v>
      </c>
    </row>
    <row r="15" spans="1:13" x14ac:dyDescent="0.25">
      <c r="A15" t="s">
        <v>9</v>
      </c>
      <c r="B15" s="1">
        <v>3498</v>
      </c>
      <c r="C15" s="1">
        <v>550</v>
      </c>
      <c r="D15" s="1">
        <v>94</v>
      </c>
      <c r="E15" s="1">
        <v>0</v>
      </c>
      <c r="F15" s="1">
        <v>0</v>
      </c>
    </row>
    <row r="16" spans="1:13" x14ac:dyDescent="0.25">
      <c r="A16" t="s">
        <v>10</v>
      </c>
      <c r="B16" s="1">
        <v>1620</v>
      </c>
      <c r="C16" s="1">
        <v>578</v>
      </c>
      <c r="D16" s="1">
        <v>16</v>
      </c>
      <c r="E16" s="1">
        <v>0</v>
      </c>
      <c r="F16" s="1">
        <v>1</v>
      </c>
    </row>
    <row r="17" spans="1:8" x14ac:dyDescent="0.25">
      <c r="A17" t="s">
        <v>11</v>
      </c>
      <c r="B17" s="1">
        <v>569</v>
      </c>
      <c r="C17" s="1">
        <v>89</v>
      </c>
      <c r="D17" s="1">
        <v>0</v>
      </c>
      <c r="E17" s="1">
        <v>0</v>
      </c>
      <c r="F17" s="1">
        <v>1</v>
      </c>
    </row>
    <row r="18" spans="1:8" x14ac:dyDescent="0.25">
      <c r="A18" t="s">
        <v>12</v>
      </c>
      <c r="B18" s="14">
        <v>3405</v>
      </c>
      <c r="C18" s="14">
        <f>757+14</f>
        <v>771</v>
      </c>
      <c r="D18" s="14">
        <v>101</v>
      </c>
      <c r="E18" s="14">
        <v>0</v>
      </c>
      <c r="F18" s="14">
        <v>1</v>
      </c>
    </row>
    <row r="19" spans="1:8" x14ac:dyDescent="0.25">
      <c r="A19" t="s">
        <v>13</v>
      </c>
      <c r="B19" s="1">
        <v>3278</v>
      </c>
      <c r="C19" s="1">
        <v>343</v>
      </c>
      <c r="D19" s="1">
        <v>93</v>
      </c>
      <c r="E19" s="1">
        <v>0</v>
      </c>
      <c r="F19" s="1">
        <v>0</v>
      </c>
    </row>
    <row r="20" spans="1:8" x14ac:dyDescent="0.25">
      <c r="A20" t="s">
        <v>22</v>
      </c>
      <c r="B20" s="1">
        <v>34880</v>
      </c>
      <c r="C20" s="1">
        <v>4540</v>
      </c>
      <c r="D20" s="1">
        <v>146</v>
      </c>
      <c r="E20" s="1">
        <v>6</v>
      </c>
      <c r="F20" s="1">
        <v>10</v>
      </c>
    </row>
    <row r="21" spans="1:8" x14ac:dyDescent="0.25">
      <c r="A21" s="2" t="s">
        <v>14</v>
      </c>
      <c r="B21" s="3">
        <f>130586/12</f>
        <v>10882.166666666666</v>
      </c>
      <c r="C21" s="3">
        <f>8008/12</f>
        <v>667.33333333333337</v>
      </c>
      <c r="D21" s="3">
        <v>0</v>
      </c>
      <c r="E21" s="3">
        <v>0</v>
      </c>
      <c r="F21" s="3">
        <f>144/12</f>
        <v>12</v>
      </c>
    </row>
    <row r="22" spans="1:8" x14ac:dyDescent="0.25">
      <c r="A22" s="4" t="s">
        <v>31</v>
      </c>
      <c r="B22" s="5">
        <f>SUM(B6:B21)</f>
        <v>299147.16666666669</v>
      </c>
      <c r="C22" s="5">
        <f>SUM(C6:C21)</f>
        <v>44358.333333333336</v>
      </c>
      <c r="D22" s="5">
        <f>SUM(D6:D21)</f>
        <v>9641</v>
      </c>
      <c r="E22" s="5">
        <f>SUM(E6:E21)</f>
        <v>6</v>
      </c>
      <c r="F22" s="5">
        <f>SUM(F6:F21)</f>
        <v>164</v>
      </c>
    </row>
    <row r="24" spans="1:8" x14ac:dyDescent="0.25">
      <c r="A24" s="22" t="s">
        <v>35</v>
      </c>
    </row>
    <row r="25" spans="1:8" x14ac:dyDescent="0.25">
      <c r="A25" t="s">
        <v>36</v>
      </c>
      <c r="B25" s="32">
        <f>'2019 Reported Sales'!B24</f>
        <v>1983006158.7350001</v>
      </c>
      <c r="C25" s="32">
        <f>'2019 Reported Sales'!C24+'2019 Reported Sales'!D24</f>
        <v>325235488.48000002</v>
      </c>
      <c r="D25" s="32">
        <f>'2019 Reported Sales'!E24</f>
        <v>1494771203</v>
      </c>
      <c r="E25" s="1">
        <f>'2019 Reported Sales'!G24</f>
        <v>5578093</v>
      </c>
      <c r="F25" s="32">
        <f>'2019 Reported Sales'!H24</f>
        <v>723823600</v>
      </c>
      <c r="G25" s="11"/>
      <c r="H25" s="11"/>
    </row>
    <row r="26" spans="1:8" x14ac:dyDescent="0.25">
      <c r="A26" s="29" t="s">
        <v>53</v>
      </c>
      <c r="B26" s="32">
        <f>2017308355-B25</f>
        <v>34302196.264999866</v>
      </c>
      <c r="C26" s="1">
        <v>1912986</v>
      </c>
      <c r="D26" s="1">
        <v>0</v>
      </c>
      <c r="E26" s="1">
        <v>0</v>
      </c>
      <c r="F26" s="1">
        <v>0</v>
      </c>
      <c r="G26" s="11"/>
      <c r="H26" s="11"/>
    </row>
    <row r="27" spans="1:8" x14ac:dyDescent="0.25">
      <c r="A27" s="2" t="s">
        <v>37</v>
      </c>
      <c r="B27" s="3">
        <v>0</v>
      </c>
      <c r="C27" s="3">
        <f>-139765576-D27</f>
        <v>-7288103</v>
      </c>
      <c r="D27" s="3">
        <v>-132477473</v>
      </c>
      <c r="E27" s="34">
        <f>6789470-E25</f>
        <v>1211377</v>
      </c>
      <c r="F27" s="3">
        <f>700597467-F25</f>
        <v>-23226133</v>
      </c>
      <c r="G27" s="11"/>
      <c r="H27" s="11"/>
    </row>
    <row r="28" spans="1:8" x14ac:dyDescent="0.25">
      <c r="A28" s="4" t="s">
        <v>34</v>
      </c>
      <c r="B28" s="5">
        <f>SUM(B25:B27)</f>
        <v>2017308355</v>
      </c>
      <c r="C28" s="5">
        <f t="shared" ref="C28:F28" si="0">SUM(C25:C27)</f>
        <v>319860371.48000002</v>
      </c>
      <c r="D28" s="5">
        <f t="shared" si="0"/>
        <v>1362293730</v>
      </c>
      <c r="E28" s="5">
        <f t="shared" si="0"/>
        <v>6789470</v>
      </c>
      <c r="F28" s="5">
        <f t="shared" si="0"/>
        <v>700597467</v>
      </c>
      <c r="G28" s="11"/>
      <c r="H28" s="11"/>
    </row>
    <row r="29" spans="1:8" x14ac:dyDescent="0.25">
      <c r="A29" s="4" t="s">
        <v>25</v>
      </c>
      <c r="B29" s="5">
        <f>B28/B22</f>
        <v>6743.531544953069</v>
      </c>
      <c r="C29" s="5">
        <f t="shared" ref="C29:F29" si="1">C28/C22</f>
        <v>7210.8293401465344</v>
      </c>
      <c r="D29" s="5">
        <f t="shared" si="1"/>
        <v>141302.11907478477</v>
      </c>
      <c r="E29" s="5">
        <f t="shared" si="1"/>
        <v>1131578.3333333333</v>
      </c>
      <c r="F29" s="5">
        <f t="shared" si="1"/>
        <v>4271935.7743902439</v>
      </c>
    </row>
    <row r="31" spans="1:8" x14ac:dyDescent="0.25">
      <c r="A31" t="s">
        <v>36</v>
      </c>
      <c r="B31" s="12" t="s">
        <v>19</v>
      </c>
      <c r="C31" s="12" t="s">
        <v>19</v>
      </c>
      <c r="D31" s="32">
        <f>'2019 Reported Sales'!F24</f>
        <v>4837869.8620000007</v>
      </c>
      <c r="E31" s="12" t="s">
        <v>19</v>
      </c>
      <c r="F31" s="32">
        <f>'2019 Reported Sales'!I24</f>
        <v>1734103.402</v>
      </c>
    </row>
    <row r="32" spans="1:8" x14ac:dyDescent="0.25">
      <c r="A32" s="2" t="s">
        <v>37</v>
      </c>
      <c r="B32" s="31"/>
      <c r="C32" s="31"/>
      <c r="D32" s="3">
        <v>-757125.01400000043</v>
      </c>
      <c r="E32" s="31"/>
      <c r="F32" s="3">
        <v>-218822.70008697035</v>
      </c>
    </row>
    <row r="33" spans="1:6" x14ac:dyDescent="0.25">
      <c r="A33" s="4" t="s">
        <v>48</v>
      </c>
      <c r="B33" s="12"/>
      <c r="C33" s="12"/>
      <c r="D33" s="5">
        <f>SUM(D31:D32)</f>
        <v>4080744.8480000002</v>
      </c>
      <c r="E33" s="12" t="s">
        <v>19</v>
      </c>
      <c r="F33" s="5">
        <f>SUM(F31:F32)</f>
        <v>1515280.7019130297</v>
      </c>
    </row>
    <row r="34" spans="1:6" x14ac:dyDescent="0.25">
      <c r="A34" t="s">
        <v>26</v>
      </c>
      <c r="B34" s="12" t="s">
        <v>19</v>
      </c>
      <c r="C34" s="12" t="s">
        <v>19</v>
      </c>
      <c r="D34" s="1">
        <f>D33/D22</f>
        <v>423.26987324966291</v>
      </c>
      <c r="E34" s="12" t="s">
        <v>19</v>
      </c>
      <c r="F34" s="1">
        <f>F33/F22</f>
        <v>9239.5164750794484</v>
      </c>
    </row>
    <row r="37" spans="1:6" x14ac:dyDescent="0.25">
      <c r="A37" t="s">
        <v>20</v>
      </c>
      <c r="B37" s="8">
        <v>1.1881085167974793E-2</v>
      </c>
      <c r="C37" s="8">
        <v>1.0236807822923627E-2</v>
      </c>
      <c r="D37" s="8">
        <v>6.6197719734247661E-3</v>
      </c>
      <c r="E37" s="8">
        <v>7.5702523544102568E-3</v>
      </c>
      <c r="F37" s="8">
        <v>5.2086163716222877E-3</v>
      </c>
    </row>
    <row r="38" spans="1:6" x14ac:dyDescent="0.25">
      <c r="A38" t="s">
        <v>27</v>
      </c>
      <c r="B38" s="7">
        <f>B37*B29</f>
        <v>80.120472618512053</v>
      </c>
      <c r="C38" s="7">
        <f t="shared" ref="C38:F38" si="2">C37*C29</f>
        <v>73.815874198979259</v>
      </c>
      <c r="D38" s="7">
        <f t="shared" si="2"/>
        <v>935.38780763678926</v>
      </c>
      <c r="E38" s="7">
        <f t="shared" si="2"/>
        <v>8566.333542116301</v>
      </c>
      <c r="F38" s="7">
        <f t="shared" si="2"/>
        <v>22250.87461300796</v>
      </c>
    </row>
    <row r="39" spans="1:6" x14ac:dyDescent="0.25">
      <c r="B39" s="7"/>
      <c r="C39" s="7"/>
      <c r="D39" s="7"/>
      <c r="E39" s="7"/>
      <c r="F39" s="7"/>
    </row>
    <row r="40" spans="1:6" x14ac:dyDescent="0.25">
      <c r="A40" t="s">
        <v>24</v>
      </c>
      <c r="B40" s="12" t="s">
        <v>19</v>
      </c>
      <c r="C40" s="12" t="s">
        <v>19</v>
      </c>
      <c r="D40">
        <v>1.13825</v>
      </c>
      <c r="E40" s="12" t="s">
        <v>19</v>
      </c>
      <c r="F40" s="13">
        <v>1.21316</v>
      </c>
    </row>
    <row r="41" spans="1:6" x14ac:dyDescent="0.25">
      <c r="A41" t="s">
        <v>28</v>
      </c>
      <c r="B41" s="12" t="s">
        <v>19</v>
      </c>
      <c r="C41" s="12" t="s">
        <v>19</v>
      </c>
      <c r="D41" s="15">
        <f>D40*0</f>
        <v>0</v>
      </c>
      <c r="E41" s="12" t="s">
        <v>19</v>
      </c>
      <c r="F41" s="15">
        <f>F40*0</f>
        <v>0</v>
      </c>
    </row>
    <row r="42" spans="1:6" x14ac:dyDescent="0.25">
      <c r="B42" s="7"/>
      <c r="C42" s="7"/>
      <c r="D42" s="7"/>
      <c r="E42" s="7"/>
      <c r="F42" s="7"/>
    </row>
    <row r="43" spans="1:6" x14ac:dyDescent="0.25">
      <c r="A43" t="s">
        <v>29</v>
      </c>
      <c r="B43" s="7">
        <f>B38</f>
        <v>80.120472618512053</v>
      </c>
      <c r="C43" s="7">
        <f t="shared" ref="C43:E43" si="3">C38</f>
        <v>73.815874198979259</v>
      </c>
      <c r="D43" s="7">
        <f>D38+D41</f>
        <v>935.38780763678926</v>
      </c>
      <c r="E43" s="7">
        <f t="shared" si="3"/>
        <v>8566.333542116301</v>
      </c>
      <c r="F43" s="7">
        <f>F38+F41</f>
        <v>22250.87461300796</v>
      </c>
    </row>
    <row r="44" spans="1:6" x14ac:dyDescent="0.25">
      <c r="A44" s="4" t="s">
        <v>30</v>
      </c>
    </row>
    <row r="46" spans="1:6" ht="30.75" customHeight="1" x14ac:dyDescent="0.3">
      <c r="A46" s="20" t="s">
        <v>50</v>
      </c>
      <c r="B46" s="21">
        <f>B43/12</f>
        <v>6.6767060515426708</v>
      </c>
      <c r="C46" s="21">
        <f>C43/12</f>
        <v>6.1513228499149379</v>
      </c>
      <c r="D46" s="21">
        <f>D43/12</f>
        <v>77.948983969732438</v>
      </c>
      <c r="E46" s="21">
        <f>E43/12</f>
        <v>713.86112850969175</v>
      </c>
      <c r="F46" s="21">
        <f>F43/12</f>
        <v>1854.2395510839967</v>
      </c>
    </row>
    <row r="47" spans="1:6" ht="18.75" x14ac:dyDescent="0.3">
      <c r="A47" s="20"/>
      <c r="B47" s="21"/>
      <c r="C47" s="21"/>
      <c r="D47" s="21"/>
      <c r="E47" s="21"/>
      <c r="F47" s="21"/>
    </row>
    <row r="48" spans="1:6" ht="18.75" x14ac:dyDescent="0.3">
      <c r="A48" s="20"/>
      <c r="B48" s="21"/>
      <c r="C48" s="21"/>
      <c r="D48" s="21"/>
      <c r="E48" s="21"/>
      <c r="F48" s="21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CDE4-3ACE-466C-80E1-C91324FAEAEA}">
  <dimension ref="A3:L48"/>
  <sheetViews>
    <sheetView workbookViewId="0">
      <selection activeCell="H6" sqref="H6"/>
    </sheetView>
  </sheetViews>
  <sheetFormatPr defaultRowHeight="15" x14ac:dyDescent="0.25"/>
  <cols>
    <col min="1" max="1" width="63.28515625" customWidth="1"/>
    <col min="2" max="6" width="13.85546875" customWidth="1"/>
    <col min="7" max="8" width="14.28515625" bestFit="1" customWidth="1"/>
    <col min="9" max="9" width="10.5703125" bestFit="1" customWidth="1"/>
  </cols>
  <sheetData>
    <row r="3" spans="1:6" ht="18.75" x14ac:dyDescent="0.3">
      <c r="A3" s="9" t="s">
        <v>56</v>
      </c>
    </row>
    <row r="4" spans="1:6" ht="18.75" x14ac:dyDescent="0.3">
      <c r="A4" s="9"/>
    </row>
    <row r="5" spans="1:6" s="6" customFormat="1" ht="30" x14ac:dyDescent="0.25">
      <c r="A5" s="6" t="s">
        <v>23</v>
      </c>
      <c r="B5" s="6" t="s">
        <v>15</v>
      </c>
      <c r="C5" s="6" t="s">
        <v>18</v>
      </c>
      <c r="D5" s="6" t="s">
        <v>16</v>
      </c>
      <c r="E5" s="6" t="s">
        <v>21</v>
      </c>
      <c r="F5" s="6" t="s">
        <v>17</v>
      </c>
    </row>
    <row r="6" spans="1:6" x14ac:dyDescent="0.25">
      <c r="A6" t="s">
        <v>0</v>
      </c>
      <c r="B6" s="1">
        <v>1957</v>
      </c>
      <c r="C6" s="1">
        <v>187</v>
      </c>
      <c r="D6" s="1">
        <v>27</v>
      </c>
      <c r="E6" s="1">
        <v>0</v>
      </c>
      <c r="F6" s="1">
        <v>0</v>
      </c>
    </row>
    <row r="7" spans="1:6" x14ac:dyDescent="0.25">
      <c r="A7" t="s">
        <v>1</v>
      </c>
      <c r="B7" s="1">
        <v>1544</v>
      </c>
      <c r="C7" s="1">
        <v>194</v>
      </c>
      <c r="D7" s="1">
        <v>24</v>
      </c>
      <c r="E7" s="1">
        <v>0</v>
      </c>
      <c r="F7" s="1">
        <v>0</v>
      </c>
    </row>
    <row r="8" spans="1:6" x14ac:dyDescent="0.25">
      <c r="A8" t="s">
        <v>2</v>
      </c>
      <c r="B8" s="1">
        <v>222748</v>
      </c>
      <c r="C8" s="1">
        <v>34221</v>
      </c>
      <c r="D8" s="1">
        <v>8999</v>
      </c>
      <c r="E8" s="1">
        <v>0</v>
      </c>
      <c r="F8" s="1">
        <v>70</v>
      </c>
    </row>
    <row r="9" spans="1:6" x14ac:dyDescent="0.25">
      <c r="A9" t="s">
        <v>3</v>
      </c>
      <c r="B9" s="1">
        <v>4020</v>
      </c>
      <c r="C9" s="1">
        <v>398</v>
      </c>
      <c r="D9" s="1">
        <v>29</v>
      </c>
      <c r="E9" s="1"/>
      <c r="F9" s="1"/>
    </row>
    <row r="10" spans="1:6" x14ac:dyDescent="0.25">
      <c r="A10" t="s">
        <v>4</v>
      </c>
      <c r="B10" s="1">
        <v>1359</v>
      </c>
      <c r="C10" s="1">
        <v>158</v>
      </c>
      <c r="D10" s="1">
        <v>3</v>
      </c>
      <c r="E10" s="1">
        <v>0</v>
      </c>
      <c r="F10" s="1">
        <v>0</v>
      </c>
    </row>
    <row r="11" spans="1:6" x14ac:dyDescent="0.25">
      <c r="A11" t="s">
        <v>5</v>
      </c>
      <c r="B11" s="1">
        <v>656</v>
      </c>
      <c r="C11" s="1">
        <v>51</v>
      </c>
      <c r="D11" s="1">
        <v>4</v>
      </c>
      <c r="E11" s="1">
        <v>0</v>
      </c>
      <c r="F11" s="1">
        <v>0</v>
      </c>
    </row>
    <row r="12" spans="1:6" x14ac:dyDescent="0.25">
      <c r="A12" t="s">
        <v>6</v>
      </c>
      <c r="B12" s="1">
        <v>805</v>
      </c>
      <c r="C12" s="1">
        <v>122</v>
      </c>
      <c r="D12" s="1">
        <v>16</v>
      </c>
      <c r="E12" s="1">
        <v>0</v>
      </c>
      <c r="F12" s="1">
        <v>0</v>
      </c>
    </row>
    <row r="13" spans="1:6" x14ac:dyDescent="0.25">
      <c r="A13" t="s">
        <v>7</v>
      </c>
      <c r="B13" s="1">
        <v>3090</v>
      </c>
      <c r="C13" s="1">
        <v>607</v>
      </c>
      <c r="D13" s="1">
        <v>48</v>
      </c>
      <c r="E13" s="1">
        <v>0</v>
      </c>
      <c r="F13" s="1">
        <v>69</v>
      </c>
    </row>
    <row r="14" spans="1:6" x14ac:dyDescent="0.25">
      <c r="A14" t="s">
        <v>8</v>
      </c>
      <c r="B14" s="1">
        <v>4836</v>
      </c>
      <c r="C14" s="1">
        <v>882</v>
      </c>
      <c r="D14" s="1">
        <v>41</v>
      </c>
      <c r="E14" s="1">
        <v>0</v>
      </c>
      <c r="F14" s="1">
        <v>0</v>
      </c>
    </row>
    <row r="15" spans="1:6" x14ac:dyDescent="0.25">
      <c r="A15" t="s">
        <v>9</v>
      </c>
      <c r="B15" s="1">
        <v>3498</v>
      </c>
      <c r="C15" s="1">
        <v>550</v>
      </c>
      <c r="D15" s="1">
        <v>94</v>
      </c>
      <c r="E15" s="1">
        <v>0</v>
      </c>
      <c r="F15" s="1">
        <v>0</v>
      </c>
    </row>
    <row r="16" spans="1:6" x14ac:dyDescent="0.25">
      <c r="A16" t="s">
        <v>10</v>
      </c>
      <c r="B16" s="1">
        <v>1620</v>
      </c>
      <c r="C16" s="1">
        <v>578</v>
      </c>
      <c r="D16" s="1">
        <v>16</v>
      </c>
      <c r="E16" s="1">
        <v>0</v>
      </c>
      <c r="F16" s="1">
        <v>1</v>
      </c>
    </row>
    <row r="17" spans="1:12" x14ac:dyDescent="0.25">
      <c r="A17" t="s">
        <v>11</v>
      </c>
      <c r="B17" s="1">
        <v>569</v>
      </c>
      <c r="C17" s="1">
        <v>89</v>
      </c>
      <c r="D17" s="1">
        <v>0</v>
      </c>
      <c r="E17" s="1">
        <v>0</v>
      </c>
      <c r="F17" s="1">
        <v>1</v>
      </c>
    </row>
    <row r="18" spans="1:12" x14ac:dyDescent="0.25">
      <c r="A18" t="s">
        <v>12</v>
      </c>
      <c r="B18" s="14">
        <v>3405</v>
      </c>
      <c r="C18" s="14">
        <f>757+14</f>
        <v>771</v>
      </c>
      <c r="D18" s="14">
        <v>101</v>
      </c>
      <c r="E18" s="14">
        <v>0</v>
      </c>
      <c r="F18" s="14">
        <v>1</v>
      </c>
    </row>
    <row r="19" spans="1:12" x14ac:dyDescent="0.25">
      <c r="A19" t="s">
        <v>13</v>
      </c>
      <c r="B19" s="1">
        <v>3278</v>
      </c>
      <c r="C19" s="1">
        <v>343</v>
      </c>
      <c r="D19" s="1">
        <v>93</v>
      </c>
      <c r="E19" s="1">
        <v>0</v>
      </c>
      <c r="F19" s="1">
        <v>0</v>
      </c>
    </row>
    <row r="20" spans="1:12" x14ac:dyDescent="0.25">
      <c r="A20" t="s">
        <v>22</v>
      </c>
      <c r="B20" s="1">
        <v>34880</v>
      </c>
      <c r="C20" s="1">
        <v>4540</v>
      </c>
      <c r="D20" s="1">
        <v>146</v>
      </c>
      <c r="E20" s="1">
        <v>6</v>
      </c>
      <c r="F20" s="1">
        <v>10</v>
      </c>
    </row>
    <row r="21" spans="1:12" x14ac:dyDescent="0.25">
      <c r="A21" s="2" t="s">
        <v>14</v>
      </c>
      <c r="B21" s="3">
        <f>130586/12</f>
        <v>10882.166666666666</v>
      </c>
      <c r="C21" s="3">
        <f>8008/12</f>
        <v>667.33333333333337</v>
      </c>
      <c r="D21" s="3">
        <v>0</v>
      </c>
      <c r="E21" s="3">
        <v>0</v>
      </c>
      <c r="F21" s="3">
        <f>144/12</f>
        <v>12</v>
      </c>
    </row>
    <row r="22" spans="1:12" x14ac:dyDescent="0.25">
      <c r="A22" s="4" t="s">
        <v>31</v>
      </c>
      <c r="B22" s="5">
        <f>SUM(B6:B21)</f>
        <v>299147.16666666669</v>
      </c>
      <c r="C22" s="5">
        <f>SUM(C6:C21)</f>
        <v>44358.333333333336</v>
      </c>
      <c r="D22" s="5">
        <f>SUM(D6:D21)</f>
        <v>9641</v>
      </c>
      <c r="E22" s="5">
        <f>SUM(E6:E21)</f>
        <v>6</v>
      </c>
      <c r="F22" s="5">
        <f>SUM(F6:F21)</f>
        <v>164</v>
      </c>
    </row>
    <row r="23" spans="1:12" x14ac:dyDescent="0.25">
      <c r="A23" s="4"/>
      <c r="B23" s="5"/>
      <c r="C23" s="5"/>
      <c r="D23" s="5"/>
      <c r="E23" s="5"/>
      <c r="F23" s="5"/>
    </row>
    <row r="24" spans="1:12" x14ac:dyDescent="0.25">
      <c r="A24" s="22" t="s">
        <v>35</v>
      </c>
      <c r="H24" s="24"/>
      <c r="I24" s="24"/>
      <c r="J24" s="24"/>
      <c r="K24" s="24"/>
      <c r="L24" s="24"/>
    </row>
    <row r="25" spans="1:12" x14ac:dyDescent="0.25">
      <c r="A25" t="s">
        <v>36</v>
      </c>
      <c r="B25" s="1">
        <f>'Original with Corrections'!B25</f>
        <v>1983006158.7350001</v>
      </c>
      <c r="C25" s="1">
        <f>'Original with Corrections'!C25</f>
        <v>325235488.48000002</v>
      </c>
      <c r="D25" s="1">
        <f>'Original with Corrections'!D25</f>
        <v>1494771203</v>
      </c>
      <c r="E25" s="1">
        <f>'Original with Corrections'!E25</f>
        <v>5578093</v>
      </c>
      <c r="F25" s="1">
        <f>'Original with Corrections'!F25</f>
        <v>723823600</v>
      </c>
      <c r="G25" s="11"/>
      <c r="H25" s="11"/>
    </row>
    <row r="26" spans="1:12" x14ac:dyDescent="0.25">
      <c r="A26" s="29" t="s">
        <v>52</v>
      </c>
      <c r="B26" s="1">
        <f>'Original with Corrections'!B26/0.473</f>
        <v>72520499.503170967</v>
      </c>
      <c r="C26" s="1">
        <f>'Original with Corrections'!C26/0.473</f>
        <v>4044367.8646934461</v>
      </c>
      <c r="D26" s="1">
        <f>'Original with Corrections'!D26</f>
        <v>0</v>
      </c>
      <c r="E26" s="1">
        <f>'Original with Corrections'!E26</f>
        <v>0</v>
      </c>
      <c r="F26" s="1">
        <f>'Original with Corrections'!F26</f>
        <v>0</v>
      </c>
      <c r="G26" s="11"/>
      <c r="H26" s="11"/>
      <c r="I26" s="11"/>
      <c r="J26" s="11"/>
      <c r="K26" s="11"/>
      <c r="L26" s="11"/>
    </row>
    <row r="27" spans="1:12" x14ac:dyDescent="0.25">
      <c r="A27" s="2" t="s">
        <v>51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11"/>
      <c r="H27" s="11"/>
    </row>
    <row r="28" spans="1:12" x14ac:dyDescent="0.25">
      <c r="A28" s="4" t="s">
        <v>34</v>
      </c>
      <c r="B28" s="5">
        <f>SUM(B25:B27)</f>
        <v>2055526658.2381711</v>
      </c>
      <c r="C28" s="5">
        <f t="shared" ref="C28:F28" si="0">SUM(C25:C27)</f>
        <v>329279856.34469348</v>
      </c>
      <c r="D28" s="5">
        <f t="shared" si="0"/>
        <v>1494771203</v>
      </c>
      <c r="E28" s="5">
        <f t="shared" si="0"/>
        <v>5578093</v>
      </c>
      <c r="F28" s="5">
        <f t="shared" si="0"/>
        <v>723823600</v>
      </c>
      <c r="G28" s="11"/>
      <c r="H28" s="25"/>
    </row>
    <row r="29" spans="1:12" x14ac:dyDescent="0.25">
      <c r="A29" s="4" t="s">
        <v>25</v>
      </c>
      <c r="B29" s="5">
        <f>B28/B22</f>
        <v>6871.2890753486581</v>
      </c>
      <c r="C29" s="5">
        <f t="shared" ref="C29:F29" si="1">C28/C22</f>
        <v>7423.1791774118383</v>
      </c>
      <c r="D29" s="5">
        <f t="shared" si="1"/>
        <v>155043.1701068354</v>
      </c>
      <c r="E29" s="5">
        <f t="shared" si="1"/>
        <v>929682.16666666663</v>
      </c>
      <c r="F29" s="5">
        <f t="shared" si="1"/>
        <v>4413558.5365853654</v>
      </c>
      <c r="H29" s="26"/>
    </row>
    <row r="31" spans="1:12" x14ac:dyDescent="0.25">
      <c r="A31" t="s">
        <v>36</v>
      </c>
      <c r="B31" s="12" t="s">
        <v>19</v>
      </c>
      <c r="C31" s="12" t="s">
        <v>19</v>
      </c>
      <c r="D31" s="1">
        <f>'Original with Corrections'!D31</f>
        <v>4837869.8620000007</v>
      </c>
      <c r="E31" s="12" t="s">
        <v>19</v>
      </c>
      <c r="F31" s="1">
        <f>'Original with Corrections'!F31</f>
        <v>1734103.402</v>
      </c>
    </row>
    <row r="32" spans="1:12" x14ac:dyDescent="0.25">
      <c r="A32" s="2" t="s">
        <v>51</v>
      </c>
      <c r="B32" s="31"/>
      <c r="C32" s="31"/>
      <c r="D32" s="3">
        <v>0</v>
      </c>
      <c r="E32" s="31"/>
      <c r="F32" s="3">
        <v>0</v>
      </c>
    </row>
    <row r="33" spans="1:8" x14ac:dyDescent="0.25">
      <c r="A33" s="4" t="s">
        <v>48</v>
      </c>
      <c r="B33" s="12"/>
      <c r="C33" s="12"/>
      <c r="D33" s="5">
        <f>SUM(D31:D32)</f>
        <v>4837869.8620000007</v>
      </c>
      <c r="E33" s="12" t="s">
        <v>19</v>
      </c>
      <c r="F33" s="5">
        <f>SUM(F31:F32)</f>
        <v>1734103.402</v>
      </c>
    </row>
    <row r="34" spans="1:8" x14ac:dyDescent="0.25">
      <c r="A34" t="s">
        <v>26</v>
      </c>
      <c r="B34" s="12" t="s">
        <v>19</v>
      </c>
      <c r="C34" s="12" t="s">
        <v>19</v>
      </c>
      <c r="D34" s="5">
        <f>D33/D22</f>
        <v>501.80166600975008</v>
      </c>
      <c r="E34" s="12" t="s">
        <v>19</v>
      </c>
      <c r="F34" s="5">
        <f>F33/F22</f>
        <v>10573.801231707317</v>
      </c>
    </row>
    <row r="37" spans="1:8" x14ac:dyDescent="0.25">
      <c r="A37" t="s">
        <v>20</v>
      </c>
      <c r="B37" s="8">
        <v>1.1881085167974793E-2</v>
      </c>
      <c r="C37" s="8">
        <v>1.0236807822923627E-2</v>
      </c>
      <c r="D37" s="8">
        <v>6.6197719734247661E-3</v>
      </c>
      <c r="E37" s="8">
        <v>7.5702523544102568E-3</v>
      </c>
      <c r="F37" s="8">
        <v>5.2086163716222877E-3</v>
      </c>
    </row>
    <row r="38" spans="1:8" x14ac:dyDescent="0.25">
      <c r="A38" t="s">
        <v>27</v>
      </c>
      <c r="B38" s="7">
        <f>B37*B29</f>
        <v>81.638370717992174</v>
      </c>
      <c r="C38" s="7">
        <f t="shared" ref="C38:F38" si="2">C37*C29</f>
        <v>75.989658674293281</v>
      </c>
      <c r="D38" s="7">
        <f t="shared" si="2"/>
        <v>1026.3504321441576</v>
      </c>
      <c r="E38" s="7">
        <f t="shared" si="2"/>
        <v>7037.9286110615622</v>
      </c>
      <c r="F38" s="7">
        <f t="shared" si="2"/>
        <v>22988.533250771841</v>
      </c>
    </row>
    <row r="39" spans="1:8" x14ac:dyDescent="0.25">
      <c r="B39" s="7"/>
      <c r="C39" s="7"/>
      <c r="D39" s="7"/>
      <c r="E39" s="7"/>
      <c r="F39" s="7"/>
    </row>
    <row r="40" spans="1:8" x14ac:dyDescent="0.25">
      <c r="A40" t="s">
        <v>24</v>
      </c>
      <c r="B40" s="12" t="s">
        <v>19</v>
      </c>
      <c r="C40" s="12" t="s">
        <v>19</v>
      </c>
      <c r="D40">
        <v>1.13825</v>
      </c>
      <c r="E40" s="12" t="s">
        <v>19</v>
      </c>
      <c r="F40" s="13">
        <v>1.21316</v>
      </c>
    </row>
    <row r="41" spans="1:8" x14ac:dyDescent="0.25">
      <c r="A41" t="s">
        <v>28</v>
      </c>
      <c r="B41" s="12" t="s">
        <v>19</v>
      </c>
      <c r="C41" s="12" t="s">
        <v>19</v>
      </c>
      <c r="D41" s="15">
        <f>D40*0</f>
        <v>0</v>
      </c>
      <c r="E41" s="12" t="s">
        <v>19</v>
      </c>
      <c r="F41" s="15">
        <f>F40*0</f>
        <v>0</v>
      </c>
    </row>
    <row r="42" spans="1:8" x14ac:dyDescent="0.25">
      <c r="B42" s="7"/>
      <c r="C42" s="7"/>
      <c r="D42" s="7"/>
      <c r="E42" s="7"/>
      <c r="F42" s="7"/>
    </row>
    <row r="43" spans="1:8" x14ac:dyDescent="0.25">
      <c r="A43" t="s">
        <v>29</v>
      </c>
      <c r="B43" s="7">
        <f>B38</f>
        <v>81.638370717992174</v>
      </c>
      <c r="C43" s="7">
        <f t="shared" ref="C43:E43" si="3">C38</f>
        <v>75.989658674293281</v>
      </c>
      <c r="D43" s="7">
        <f>D38+D41</f>
        <v>1026.3504321441576</v>
      </c>
      <c r="E43" s="7">
        <f t="shared" si="3"/>
        <v>7037.9286110615622</v>
      </c>
      <c r="F43" s="7">
        <f>F38+F41</f>
        <v>22988.533250771841</v>
      </c>
    </row>
    <row r="44" spans="1:8" x14ac:dyDescent="0.25">
      <c r="A44" s="4" t="s">
        <v>30</v>
      </c>
    </row>
    <row r="46" spans="1:8" ht="30.75" customHeight="1" x14ac:dyDescent="0.3">
      <c r="A46" s="10" t="s">
        <v>32</v>
      </c>
      <c r="B46" s="16">
        <f>B43/12</f>
        <v>6.8031975598326815</v>
      </c>
      <c r="C46" s="16">
        <f>C43/12</f>
        <v>6.3324715561911065</v>
      </c>
      <c r="D46" s="16">
        <f>D43/12</f>
        <v>85.529202678679795</v>
      </c>
      <c r="E46" s="16">
        <f>E43/12</f>
        <v>586.49405092179688</v>
      </c>
      <c r="F46" s="17">
        <f>F43/12</f>
        <v>1915.7111042309868</v>
      </c>
    </row>
    <row r="47" spans="1:8" ht="18.75" x14ac:dyDescent="0.3">
      <c r="A47" s="18"/>
      <c r="B47" s="19"/>
      <c r="C47" s="19"/>
      <c r="D47" s="19"/>
      <c r="E47" s="19"/>
      <c r="F47" s="19"/>
      <c r="G47" s="19"/>
      <c r="H47" s="19"/>
    </row>
    <row r="48" spans="1:8" ht="18.75" x14ac:dyDescent="0.3">
      <c r="A48" s="18" t="s">
        <v>49</v>
      </c>
      <c r="B48" s="27">
        <f>'Original Fixed Rate Calculation'!B46</f>
        <v>6.6767060515426708</v>
      </c>
      <c r="C48" s="27">
        <f>'Original Fixed Rate Calculation'!C46</f>
        <v>6.1277150848770612</v>
      </c>
      <c r="D48" s="27">
        <f>'Original Fixed Rate Calculation'!D46</f>
        <v>77.740606088108819</v>
      </c>
      <c r="E48" s="27">
        <f>'Original Fixed Rate Calculation'!E46</f>
        <v>713.86112850969175</v>
      </c>
      <c r="F48" s="27">
        <f>'Original Fixed Rate Calculation'!F46</f>
        <v>1854.2395510839967</v>
      </c>
      <c r="G48" s="19"/>
      <c r="H48" s="19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12912-93E5-4D54-BF61-8A938C5CADBD}">
  <dimension ref="A6:I26"/>
  <sheetViews>
    <sheetView workbookViewId="0">
      <selection activeCell="M17" sqref="M17"/>
    </sheetView>
  </sheetViews>
  <sheetFormatPr defaultRowHeight="15" x14ac:dyDescent="0.25"/>
  <cols>
    <col min="1" max="1" width="30.42578125" bestFit="1" customWidth="1"/>
    <col min="2" max="5" width="15.5703125" customWidth="1"/>
    <col min="6" max="6" width="11.5703125" customWidth="1"/>
    <col min="7" max="8" width="15.5703125" customWidth="1"/>
    <col min="9" max="9" width="11.28515625" customWidth="1"/>
  </cols>
  <sheetData>
    <row r="6" spans="1:9" s="30" customFormat="1" ht="30" x14ac:dyDescent="0.25">
      <c r="B6" s="30" t="s">
        <v>15</v>
      </c>
      <c r="C6" s="30" t="s">
        <v>43</v>
      </c>
      <c r="D6" s="30" t="s">
        <v>40</v>
      </c>
      <c r="E6" s="35" t="s">
        <v>44</v>
      </c>
      <c r="F6" s="35"/>
      <c r="G6" s="30" t="s">
        <v>21</v>
      </c>
      <c r="H6" s="35" t="s">
        <v>45</v>
      </c>
      <c r="I6" s="35"/>
    </row>
    <row r="7" spans="1:9" s="6" customFormat="1" x14ac:dyDescent="0.25">
      <c r="A7" s="6" t="s">
        <v>47</v>
      </c>
      <c r="B7" s="6" t="s">
        <v>41</v>
      </c>
      <c r="C7" s="6" t="s">
        <v>41</v>
      </c>
      <c r="D7" s="6" t="s">
        <v>41</v>
      </c>
      <c r="E7" s="6" t="s">
        <v>41</v>
      </c>
      <c r="F7" s="6" t="s">
        <v>42</v>
      </c>
      <c r="G7" s="6" t="s">
        <v>41</v>
      </c>
      <c r="H7" s="6" t="s">
        <v>41</v>
      </c>
      <c r="I7" s="6" t="s">
        <v>42</v>
      </c>
    </row>
    <row r="8" spans="1:9" x14ac:dyDescent="0.25">
      <c r="A8" t="s">
        <v>0</v>
      </c>
      <c r="B8" s="1">
        <v>10099154</v>
      </c>
      <c r="C8" s="1">
        <f>1017070</f>
        <v>1017070</v>
      </c>
      <c r="D8" s="1">
        <v>115951</v>
      </c>
      <c r="E8" s="1">
        <v>2332694</v>
      </c>
      <c r="F8" s="1">
        <v>7531</v>
      </c>
      <c r="G8" s="1">
        <v>0</v>
      </c>
      <c r="H8" s="1">
        <v>0</v>
      </c>
      <c r="I8" s="1">
        <v>0</v>
      </c>
    </row>
    <row r="9" spans="1:9" x14ac:dyDescent="0.25">
      <c r="A9" t="s">
        <v>1</v>
      </c>
      <c r="B9" s="1">
        <v>13654274</v>
      </c>
      <c r="C9" s="1">
        <v>2326872</v>
      </c>
      <c r="D9" s="1">
        <v>126686</v>
      </c>
      <c r="E9" s="1">
        <v>10154065</v>
      </c>
      <c r="F9" s="1">
        <v>23474.799999999999</v>
      </c>
      <c r="G9" s="1">
        <v>0</v>
      </c>
      <c r="H9" s="1">
        <v>0</v>
      </c>
      <c r="I9" s="1">
        <v>0</v>
      </c>
    </row>
    <row r="10" spans="1:9" x14ac:dyDescent="0.25">
      <c r="A10" t="s">
        <v>2</v>
      </c>
      <c r="B10" s="1">
        <v>1501327000</v>
      </c>
      <c r="C10" s="1">
        <f>191542863</f>
        <v>191542863</v>
      </c>
      <c r="D10" s="1">
        <v>9592000</v>
      </c>
      <c r="E10" s="1">
        <v>1277876137</v>
      </c>
      <c r="F10" s="1">
        <v>4092514</v>
      </c>
      <c r="G10" s="1">
        <v>0</v>
      </c>
      <c r="H10" s="1">
        <v>587276733</v>
      </c>
      <c r="I10" s="1">
        <v>1433190</v>
      </c>
    </row>
    <row r="11" spans="1:9" x14ac:dyDescent="0.25">
      <c r="A11" t="s">
        <v>3</v>
      </c>
      <c r="B11" s="1">
        <v>23390271</v>
      </c>
      <c r="C11" s="1">
        <v>5056167</v>
      </c>
      <c r="D11" s="1">
        <v>104191.48000000001</v>
      </c>
      <c r="E11" s="1">
        <v>5355407</v>
      </c>
      <c r="F11" s="1">
        <v>19825.963999999996</v>
      </c>
      <c r="G11" s="1">
        <v>0</v>
      </c>
      <c r="H11" s="1">
        <v>0</v>
      </c>
      <c r="I11" s="1">
        <v>0</v>
      </c>
    </row>
    <row r="12" spans="1:9" x14ac:dyDescent="0.25">
      <c r="A12" t="s">
        <v>4</v>
      </c>
      <c r="B12" s="1">
        <v>8195337</v>
      </c>
      <c r="C12" s="1">
        <v>2256753</v>
      </c>
      <c r="D12" s="1">
        <v>43984</v>
      </c>
      <c r="E12" s="1">
        <v>1433440</v>
      </c>
      <c r="F12" s="1">
        <v>4892</v>
      </c>
      <c r="G12" s="1">
        <v>0</v>
      </c>
      <c r="H12" s="1">
        <v>0</v>
      </c>
      <c r="I12" s="1">
        <v>0</v>
      </c>
    </row>
    <row r="13" spans="1:9" x14ac:dyDescent="0.25">
      <c r="A13" t="s">
        <v>5</v>
      </c>
      <c r="B13" s="1">
        <v>3468887</v>
      </c>
      <c r="C13" s="1">
        <v>552438</v>
      </c>
      <c r="D13" s="1">
        <v>52164</v>
      </c>
      <c r="E13" s="1">
        <v>865613</v>
      </c>
      <c r="F13" s="1">
        <v>4748</v>
      </c>
      <c r="G13" s="1">
        <v>0</v>
      </c>
      <c r="H13" s="1">
        <v>0</v>
      </c>
      <c r="I13" s="1">
        <v>0</v>
      </c>
    </row>
    <row r="14" spans="1:9" x14ac:dyDescent="0.25">
      <c r="A14" t="s">
        <v>6</v>
      </c>
      <c r="B14" s="1">
        <v>5134304</v>
      </c>
      <c r="C14" s="1">
        <v>1614205</v>
      </c>
      <c r="D14" s="1">
        <v>63661</v>
      </c>
      <c r="E14" s="1">
        <v>5770337</v>
      </c>
      <c r="F14" s="1">
        <v>13541</v>
      </c>
      <c r="G14" s="1">
        <v>0</v>
      </c>
      <c r="H14" s="1">
        <v>0</v>
      </c>
      <c r="I14" s="1">
        <v>0</v>
      </c>
    </row>
    <row r="15" spans="1:9" x14ac:dyDescent="0.25">
      <c r="A15" t="s">
        <v>7</v>
      </c>
      <c r="B15" s="1">
        <v>16822880</v>
      </c>
      <c r="C15" s="1">
        <v>5491335</v>
      </c>
      <c r="D15" s="1">
        <v>324996</v>
      </c>
      <c r="E15" s="1">
        <v>12851887</v>
      </c>
      <c r="F15" s="1">
        <v>42958</v>
      </c>
      <c r="G15" s="1">
        <v>0</v>
      </c>
      <c r="H15" s="1">
        <v>19848414</v>
      </c>
      <c r="I15" s="1">
        <v>76731</v>
      </c>
    </row>
    <row r="16" spans="1:9" x14ac:dyDescent="0.25">
      <c r="A16" t="s">
        <v>8</v>
      </c>
      <c r="B16" s="1">
        <v>30981386</v>
      </c>
      <c r="C16" s="1">
        <v>12187559</v>
      </c>
      <c r="D16" s="1">
        <v>477436</v>
      </c>
      <c r="E16" s="1">
        <v>17724798</v>
      </c>
      <c r="F16" s="1">
        <v>55604</v>
      </c>
      <c r="G16" s="1">
        <v>0</v>
      </c>
      <c r="H16" s="1">
        <v>0</v>
      </c>
      <c r="I16" s="1">
        <v>0</v>
      </c>
    </row>
    <row r="17" spans="1:9" x14ac:dyDescent="0.25">
      <c r="A17" t="s">
        <v>9</v>
      </c>
      <c r="B17" s="1">
        <v>21460397</v>
      </c>
      <c r="C17" s="1">
        <v>5438160</v>
      </c>
      <c r="D17" s="1">
        <v>38145</v>
      </c>
      <c r="E17" s="1">
        <v>18243106</v>
      </c>
      <c r="F17" s="1">
        <v>52354</v>
      </c>
      <c r="G17" s="1">
        <v>0</v>
      </c>
      <c r="H17" s="1">
        <v>0</v>
      </c>
      <c r="I17" s="1">
        <v>0</v>
      </c>
    </row>
    <row r="18" spans="1:9" x14ac:dyDescent="0.25">
      <c r="A18" t="s">
        <v>10</v>
      </c>
      <c r="B18" s="1">
        <v>10186640</v>
      </c>
      <c r="C18" s="1">
        <v>2384371</v>
      </c>
      <c r="D18" s="1">
        <v>89453</v>
      </c>
      <c r="E18" s="1">
        <v>7314434</v>
      </c>
      <c r="F18" s="1">
        <v>19284.52</v>
      </c>
      <c r="G18" s="1">
        <v>0</v>
      </c>
      <c r="H18" s="1">
        <v>8849076</v>
      </c>
      <c r="I18" s="1">
        <v>18636.401999999998</v>
      </c>
    </row>
    <row r="19" spans="1:9" x14ac:dyDescent="0.25">
      <c r="A19" t="s">
        <v>11</v>
      </c>
      <c r="B19" s="1">
        <v>3938087</v>
      </c>
      <c r="C19" s="1">
        <v>2001449</v>
      </c>
      <c r="D19" s="1">
        <v>124446</v>
      </c>
      <c r="E19" s="1">
        <v>0</v>
      </c>
      <c r="F19" s="1">
        <v>0</v>
      </c>
      <c r="G19" s="1">
        <v>0</v>
      </c>
      <c r="H19" s="1">
        <v>6624000</v>
      </c>
      <c r="I19" s="1">
        <v>25547</v>
      </c>
    </row>
    <row r="20" spans="1:9" x14ac:dyDescent="0.25">
      <c r="A20" t="s">
        <v>12</v>
      </c>
      <c r="B20" s="1">
        <v>24609955.614999998</v>
      </c>
      <c r="C20" s="1">
        <v>7041489</v>
      </c>
      <c r="D20" s="1">
        <v>47599</v>
      </c>
      <c r="E20" s="1">
        <v>35790331</v>
      </c>
      <c r="F20" s="1">
        <v>103570.73</v>
      </c>
      <c r="G20" s="1">
        <v>0</v>
      </c>
      <c r="H20" s="1">
        <v>7767120</v>
      </c>
      <c r="I20" s="1">
        <v>32260</v>
      </c>
    </row>
    <row r="21" spans="1:9" x14ac:dyDescent="0.25">
      <c r="A21" t="s">
        <v>13</v>
      </c>
      <c r="B21" s="1">
        <v>26143717</v>
      </c>
      <c r="C21" s="1">
        <v>3169912</v>
      </c>
      <c r="D21" s="1">
        <v>126916</v>
      </c>
      <c r="E21" s="1">
        <v>23698018</v>
      </c>
      <c r="F21" s="1">
        <v>88468</v>
      </c>
      <c r="G21" s="1">
        <v>0</v>
      </c>
      <c r="H21" s="1">
        <v>0</v>
      </c>
      <c r="I21" s="1">
        <v>0</v>
      </c>
    </row>
    <row r="22" spans="1:9" x14ac:dyDescent="0.25">
      <c r="A22" t="s">
        <v>39</v>
      </c>
      <c r="B22" s="1">
        <v>222123593.12</v>
      </c>
      <c r="C22" s="1">
        <f>64983133</f>
        <v>64983133</v>
      </c>
      <c r="D22" s="1">
        <v>1639471</v>
      </c>
      <c r="E22" s="1">
        <v>71719171</v>
      </c>
      <c r="F22" s="1">
        <v>297499</v>
      </c>
      <c r="G22" s="1">
        <v>5578093</v>
      </c>
      <c r="H22" s="1">
        <v>93458257</v>
      </c>
      <c r="I22" s="1">
        <v>147739</v>
      </c>
    </row>
    <row r="23" spans="1:9" s="2" customFormat="1" x14ac:dyDescent="0.25">
      <c r="A23" s="2" t="s">
        <v>14</v>
      </c>
      <c r="B23" s="3">
        <v>61470276</v>
      </c>
      <c r="C23" s="3">
        <v>5045134</v>
      </c>
      <c r="D23" s="3">
        <v>159479</v>
      </c>
      <c r="E23" s="33">
        <v>3641765</v>
      </c>
      <c r="F23" s="33">
        <v>11604.848</v>
      </c>
      <c r="G23" s="3">
        <v>0</v>
      </c>
      <c r="H23" s="34">
        <v>0</v>
      </c>
      <c r="I23" s="34">
        <v>0</v>
      </c>
    </row>
    <row r="24" spans="1:9" s="4" customFormat="1" x14ac:dyDescent="0.25">
      <c r="A24" s="4" t="s">
        <v>46</v>
      </c>
      <c r="B24" s="5">
        <f>SUM(B8:B23)</f>
        <v>1983006158.7350001</v>
      </c>
      <c r="C24" s="5">
        <f t="shared" ref="C24:I24" si="0">SUM(C8:C23)</f>
        <v>312108910</v>
      </c>
      <c r="D24" s="5">
        <f t="shared" si="0"/>
        <v>13126578.48</v>
      </c>
      <c r="E24" s="5">
        <f t="shared" si="0"/>
        <v>1494771203</v>
      </c>
      <c r="F24" s="5">
        <f t="shared" si="0"/>
        <v>4837869.8620000007</v>
      </c>
      <c r="G24" s="5">
        <f t="shared" si="0"/>
        <v>5578093</v>
      </c>
      <c r="H24" s="5">
        <f t="shared" si="0"/>
        <v>723823600</v>
      </c>
      <c r="I24" s="5">
        <f t="shared" si="0"/>
        <v>1734103.402</v>
      </c>
    </row>
    <row r="25" spans="1:9" ht="17.25" x14ac:dyDescent="0.4">
      <c r="C25" s="23"/>
    </row>
    <row r="26" spans="1:9" x14ac:dyDescent="0.25">
      <c r="C26" s="11"/>
    </row>
  </sheetData>
  <mergeCells count="2">
    <mergeCell ref="E6:F6"/>
    <mergeCell ref="H6:I6"/>
  </mergeCells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Original Fixed Rate Calculation</vt:lpstr>
      <vt:lpstr>Original with Corrections</vt:lpstr>
      <vt:lpstr>Revised without C&amp;I Forecast</vt:lpstr>
      <vt:lpstr>2019 Reported Sales</vt:lpstr>
    </vt:vector>
  </TitlesOfParts>
  <Company>VEIC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Massie</dc:creator>
  <cp:lastModifiedBy>Jim Massie</cp:lastModifiedBy>
  <dcterms:created xsi:type="dcterms:W3CDTF">2021-03-29T17:34:34Z</dcterms:created>
  <dcterms:modified xsi:type="dcterms:W3CDTF">2021-04-29T19:31:36Z</dcterms:modified>
</cp:coreProperties>
</file>