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threadedComments/threadedComment1.xml" ContentType="application/vnd.ms-excel.threadedcomments+xml"/>
  <Override PartName="/xl/comments2.xml" ContentType="application/vnd.openxmlformats-officedocument.spreadsheetml.comments+xml"/>
  <Override PartName="/xl/threadedComments/threadedComment2.xml" ContentType="application/vnd.ms-excel.threadedcomments+xml"/>
  <Override PartName="/xl/drawings/drawing1.xml" ContentType="application/vnd.openxmlformats-officedocument.drawing+xml"/>
  <Override PartName="/xl/drawings/drawing2.xml" ContentType="application/vnd.openxmlformats-officedocument.drawing+xml"/>
  <Override PartName="/xl/comments3.xml" ContentType="application/vnd.openxmlformats-officedocument.spreadsheetml.comments+xml"/>
  <Override PartName="/xl/threadedComments/threadedComment3.xml" ContentType="application/vnd.ms-excel.threadedcomments+xml"/>
  <Override PartName="/xl/drawings/drawing3.xml" ContentType="application/vnd.openxmlformats-officedocument.drawing+xml"/>
  <Override PartName="/xl/comments4.xml" ContentType="application/vnd.openxmlformats-officedocument.spreadsheetml.comments+xml"/>
  <Override PartName="/xl/persons/person.xml" ContentType="application/vnd.ms-excel.person+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127"/>
  <workbookPr codeName="ThisWorkbook" defaultThemeVersion="124226"/>
  <mc:AlternateContent xmlns:mc="http://schemas.openxmlformats.org/markup-compatibility/2006">
    <mc:Choice Requires="x15">
      <x15ac:absPath xmlns:x15ac="http://schemas.microsoft.com/office/spreadsheetml/2010/11/ac" url="L:\EVERYONE\DSM\Case 20-2022 setting 2021 EEC charge\Final resubmittal As Filed by VGS 11 -2-2020\"/>
    </mc:Choice>
  </mc:AlternateContent>
  <xr:revisionPtr revIDLastSave="0" documentId="8_{80E5205E-8F9E-482E-97BE-2C4398156646}" xr6:coauthVersionLast="45" xr6:coauthVersionMax="45" xr10:uidLastSave="{00000000-0000-0000-0000-000000000000}"/>
  <bookViews>
    <workbookView xWindow="-110" yWindow="-110" windowWidth="19420" windowHeight="10420" firstSheet="1" activeTab="1" xr2:uid="{00000000-000D-0000-FFFF-FFFF00000000}"/>
  </bookViews>
  <sheets>
    <sheet name="Proposed CY 2017 rate" sheetId="2" state="hidden" r:id="rId1"/>
    <sheet name="Prop EEC 2021 Rates VGS" sheetId="31" r:id="rId2"/>
    <sheet name="PSD Budget Inves Totals 21-23" sheetId="30" r:id="rId3"/>
    <sheet name="Reallocation 2016-2017" sheetId="22" r:id="rId4"/>
    <sheet name="EEU balance" sheetId="4" r:id="rId5"/>
    <sheet name="CY 2019-2020 forecast" sheetId="1" r:id="rId6"/>
    <sheet name="EEU PSD Proposed budgets18-20" sheetId="11" r:id="rId7"/>
    <sheet name="AVG Liap customers" sheetId="12" r:id="rId8"/>
    <sheet name="Rate Impact VGS" sheetId="19" r:id="rId9"/>
    <sheet name="VGS rates" sheetId="20" r:id="rId10"/>
  </sheets>
  <externalReferences>
    <externalReference r:id="rId11"/>
    <externalReference r:id="rId12"/>
    <externalReference r:id="rId13"/>
    <externalReference r:id="rId14"/>
    <externalReference r:id="rId15"/>
    <externalReference r:id="rId16"/>
    <externalReference r:id="rId17"/>
    <externalReference r:id="rId18"/>
    <externalReference r:id="rId19"/>
  </externalReferences>
  <definedNames>
    <definedName name="\P" localSheetId="2">#REF!</definedName>
    <definedName name="\P" localSheetId="8">#REF!</definedName>
    <definedName name="\P">#REF!</definedName>
    <definedName name="_Order1" hidden="1">0</definedName>
    <definedName name="_TAB5">[1]J:K!$A$35:$L$47</definedName>
    <definedName name="a">#REF!</definedName>
    <definedName name="aaa">[1]results!#REF!</definedName>
    <definedName name="aaaa">[1]results!#REF!</definedName>
    <definedName name="Annual_Avoid_Cost">[1]results!#REF!</definedName>
    <definedName name="Annual_avoided_cost">#REF!</definedName>
    <definedName name="Annual_Savings">#REF!</definedName>
    <definedName name="ap">[1]results!#REF!</definedName>
    <definedName name="avoid_cost">#REF!</definedName>
    <definedName name="B_LOAD" localSheetId="2">#REF!</definedName>
    <definedName name="B_LOAD" localSheetId="8">#REF!</definedName>
    <definedName name="B_LOAD">#REF!</definedName>
    <definedName name="BASE">#REF!</definedName>
    <definedName name="baseinc" localSheetId="2">'[2]Use per DD'!#REF!</definedName>
    <definedName name="baseinc" localSheetId="8">'[2]Use per DD'!#REF!</definedName>
    <definedName name="baseinc">'[2]Use per DD'!#REF!</definedName>
    <definedName name="CER">#REF!</definedName>
    <definedName name="CNC">#REF!</definedName>
    <definedName name="CP_Labor">#REF!</definedName>
    <definedName name="CSR">#REF!</definedName>
    <definedName name="CurrentYr1">[3]Ref!$E$35</definedName>
    <definedName name="CurrentYr2">[3]Ref!$E$36</definedName>
    <definedName name="CurrentYr3">[3]Ref!$E$37</definedName>
    <definedName name="CURTAIL" localSheetId="2">#REF!</definedName>
    <definedName name="CURTAIL">#REF!</definedName>
    <definedName name="Date_of_Filing">[3]Ref!$E$9</definedName>
    <definedName name="dd">[1]results!#REF!</definedName>
    <definedName name="Dist_Comp">[3]Ref!$E$7</definedName>
    <definedName name="ECM_Database">#REF!</definedName>
    <definedName name="Enduse_Lookup">#REF!</definedName>
    <definedName name="FB_LOAD" localSheetId="2">#REF!</definedName>
    <definedName name="FB_LOAD">#REF!</definedName>
    <definedName name="FH_FACTOR" localSheetId="2">#REF!</definedName>
    <definedName name="FH_FACTOR">#REF!</definedName>
    <definedName name="GNP">[1]M!$H$3</definedName>
    <definedName name="graph" localSheetId="2" hidden="1">[4]January!#REF!</definedName>
    <definedName name="graph" hidden="1">[4]January!#REF!</definedName>
    <definedName name="H_FACTOR" localSheetId="2">#REF!</definedName>
    <definedName name="H_FACTOR">#REF!</definedName>
    <definedName name="IB_LOAD" localSheetId="2">#REF!</definedName>
    <definedName name="IB_LOAD">#REF!</definedName>
    <definedName name="IH_FACTOR" localSheetId="2">#REF!</definedName>
    <definedName name="IH_FACTOR">#REF!</definedName>
    <definedName name="JG_Labor">#REF!</definedName>
    <definedName name="JSP_Labor">#REF!</definedName>
    <definedName name="KH_Labor">#REF!</definedName>
    <definedName name="MAR_Labor">#REF!</definedName>
    <definedName name="Measure_Lookup">#REF!</definedName>
    <definedName name="Measure_Screening">#REF!</definedName>
    <definedName name="misc" localSheetId="2" hidden="1">[4]January!#REF!</definedName>
    <definedName name="misc" hidden="1">[4]January!#REF!</definedName>
    <definedName name="MJP_Labor">#REF!</definedName>
    <definedName name="MONTHLY" localSheetId="2">#REF!</definedName>
    <definedName name="MONTHLY">#REF!</definedName>
    <definedName name="NOM_DR">[1]M!$H$4</definedName>
    <definedName name="PA">[3]Ref!$E$8</definedName>
    <definedName name="PAGE1" localSheetId="2">#REF!</definedName>
    <definedName name="PAGE1">#REF!</definedName>
    <definedName name="PAGE10" localSheetId="2">#REF!</definedName>
    <definedName name="PAGE10">#REF!</definedName>
    <definedName name="PAGE11" localSheetId="2">#REF!</definedName>
    <definedName name="PAGE11">#REF!</definedName>
    <definedName name="PAGE12" localSheetId="2">#REF!</definedName>
    <definedName name="PAGE12">#REF!</definedName>
    <definedName name="PAGE2" localSheetId="2">#REF!</definedName>
    <definedName name="PAGE2">#REF!</definedName>
    <definedName name="PAGE2A" localSheetId="2">#REF!</definedName>
    <definedName name="PAGE2A">#REF!</definedName>
    <definedName name="PAGE2B" localSheetId="2">#REF!</definedName>
    <definedName name="PAGE2B">#REF!</definedName>
    <definedName name="PAGE3" localSheetId="2">#REF!</definedName>
    <definedName name="PAGE3">#REF!</definedName>
    <definedName name="PAGE4" localSheetId="2">'[2]Use per DD'!#REF!</definedName>
    <definedName name="PAGE4">'[2]Use per DD'!#REF!</definedName>
    <definedName name="PAGE5" localSheetId="2">#REF!</definedName>
    <definedName name="PAGE5">#REF!</definedName>
    <definedName name="PAGE7" localSheetId="2">#REF!</definedName>
    <definedName name="PAGE7">#REF!</definedName>
    <definedName name="PAGE8" localSheetId="2">#REF!</definedName>
    <definedName name="PAGE8">#REF!</definedName>
    <definedName name="PAGE8A" localSheetId="2">#REF!</definedName>
    <definedName name="PAGE8A">#REF!</definedName>
    <definedName name="PAGE9" localSheetId="2">#REF!</definedName>
    <definedName name="PAGE9">#REF!</definedName>
    <definedName name="Pecent_avoided_cost">#REF!</definedName>
    <definedName name="Pecent_societal_avoided_cost">#REF!</definedName>
    <definedName name="Percent_annual_avoided_cost">#REF!</definedName>
    <definedName name="PI_Tax_Rate">[3]Ref!$E$28</definedName>
    <definedName name="_xlnm.Print_Area" localSheetId="2">#REF!</definedName>
    <definedName name="_xlnm.Print_Area">#REF!</definedName>
    <definedName name="Program_ac">[1]results!#REF!</definedName>
    <definedName name="Program_Avoided_cost">#REF!</definedName>
    <definedName name="Program_Factors">#REF!</definedName>
    <definedName name="RATE_NAME">[1]B!#REF!</definedName>
    <definedName name="REH_Labor">#REF!</definedName>
    <definedName name="RER">#REF!</definedName>
    <definedName name="RIR">#REF!</definedName>
    <definedName name="RNC">#REF!</definedName>
    <definedName name="RNC_Bonus">#REF!</definedName>
    <definedName name="RNC_Bonus_Percent">#REF!</definedName>
    <definedName name="RNC_ERH_Cost">#REF!</definedName>
    <definedName name="RNC_Incentive_sqft">#REF!</definedName>
    <definedName name="RNC_MCF">#REF!</definedName>
    <definedName name="RNC_percent_Signups">#REF!</definedName>
    <definedName name="RNC_sf">#REF!</definedName>
    <definedName name="RNC_SF_MF">#REF!</definedName>
    <definedName name="RNC_Sqft">#REF!</definedName>
    <definedName name="RNC_VGS_QC">#REF!</definedName>
    <definedName name="Savings_lookup">#REF!</definedName>
    <definedName name="Screenings">#REF!</definedName>
    <definedName name="Societal_Annual_Avoided_Cost">#REF!</definedName>
    <definedName name="Societal_Avoided_cost">#REF!</definedName>
    <definedName name="TB_LOAD" localSheetId="2">#REF!</definedName>
    <definedName name="TB_LOAD">#REF!</definedName>
    <definedName name="test" localSheetId="2" hidden="1">[4]January!#REF!</definedName>
    <definedName name="test" hidden="1">[4]January!#REF!</definedName>
    <definedName name="TG_Labor">#REF!</definedName>
    <definedName name="TH_FACTOR" localSheetId="2">#REF!</definedName>
    <definedName name="TH_FACTOR">#REF!</definedName>
    <definedName name="TITLE" localSheetId="2">#REF!</definedName>
    <definedName name="TITLE">#REF!</definedName>
    <definedName name="VGS_Annual_avoided_Cost">#REF!</definedName>
    <definedName name="VGS_Avoided_cost">#REF!</definedName>
    <definedName name="VGS_QC">#REF!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C32" i="31" l="1"/>
  <c r="C31" i="31" s="1"/>
  <c r="L63" i="4"/>
  <c r="G63" i="4"/>
  <c r="F63" i="4"/>
  <c r="E63" i="4"/>
  <c r="D63" i="4"/>
  <c r="C63" i="4"/>
  <c r="B115" i="4"/>
  <c r="C18" i="31" l="1"/>
  <c r="H27" i="31"/>
  <c r="U25" i="30" l="1"/>
  <c r="T25" i="30"/>
  <c r="S25" i="30"/>
  <c r="R25" i="30"/>
  <c r="Q25" i="30"/>
  <c r="P25" i="30"/>
  <c r="O25" i="30"/>
  <c r="N25" i="30"/>
  <c r="M25" i="30"/>
  <c r="L25" i="30"/>
  <c r="K25" i="30"/>
  <c r="J25" i="30"/>
  <c r="I25" i="30"/>
  <c r="H25" i="30"/>
  <c r="G25" i="30"/>
  <c r="F25" i="30"/>
  <c r="E25" i="30"/>
  <c r="D25" i="30"/>
  <c r="C25" i="30"/>
  <c r="B25" i="30"/>
  <c r="U24" i="30"/>
  <c r="T24" i="30"/>
  <c r="S24" i="30"/>
  <c r="R24" i="30"/>
  <c r="Q24" i="30"/>
  <c r="P24" i="30"/>
  <c r="O24" i="30"/>
  <c r="N24" i="30"/>
  <c r="M24" i="30"/>
  <c r="L24" i="30"/>
  <c r="K24" i="30"/>
  <c r="J24" i="30"/>
  <c r="I24" i="30"/>
  <c r="H24" i="30"/>
  <c r="G24" i="30"/>
  <c r="F24" i="30"/>
  <c r="E24" i="30"/>
  <c r="D24" i="30"/>
  <c r="C24" i="30"/>
  <c r="B24" i="30"/>
  <c r="K22" i="31" l="1"/>
  <c r="C17" i="31" l="1"/>
  <c r="C12" i="31"/>
  <c r="B114" i="4" s="1"/>
  <c r="C11" i="31"/>
  <c r="B113" i="4" s="1"/>
  <c r="C10" i="31"/>
  <c r="B112" i="4" s="1"/>
  <c r="C9" i="31"/>
  <c r="B111" i="4" s="1"/>
  <c r="B8" i="31"/>
  <c r="M8" i="31" s="1"/>
  <c r="C7" i="31"/>
  <c r="C8" i="31" l="1"/>
  <c r="B110" i="4" s="1"/>
  <c r="B109" i="4"/>
  <c r="N8" i="31" l="1"/>
  <c r="D8" i="31"/>
  <c r="B22" i="30" l="1"/>
  <c r="C22" i="30"/>
  <c r="C29" i="30" s="1"/>
  <c r="D22" i="30"/>
  <c r="D29" i="30" s="1"/>
  <c r="E22" i="30"/>
  <c r="E29" i="30" s="1"/>
  <c r="F22" i="30"/>
  <c r="F29" i="30" s="1"/>
  <c r="G22" i="30"/>
  <c r="G29" i="30" s="1"/>
  <c r="H22" i="30"/>
  <c r="H29" i="30" s="1"/>
  <c r="I22" i="30"/>
  <c r="I29" i="30" s="1"/>
  <c r="J22" i="30"/>
  <c r="J29" i="30" s="1"/>
  <c r="K22" i="30"/>
  <c r="K29" i="30" s="1"/>
  <c r="L22" i="30"/>
  <c r="L29" i="30" s="1"/>
  <c r="M22" i="30"/>
  <c r="M29" i="30" s="1"/>
  <c r="N22" i="30"/>
  <c r="N29" i="30" s="1"/>
  <c r="O22" i="30"/>
  <c r="O29" i="30" s="1"/>
  <c r="P22" i="30"/>
  <c r="P29" i="30" s="1"/>
  <c r="Q22" i="30"/>
  <c r="Q29" i="30" s="1"/>
  <c r="R22" i="30"/>
  <c r="R29" i="30" s="1"/>
  <c r="S22" i="30"/>
  <c r="S29" i="30" s="1"/>
  <c r="T22" i="30"/>
  <c r="T29" i="30" s="1"/>
  <c r="U22" i="30"/>
  <c r="U29" i="30" s="1"/>
  <c r="B29" i="30" l="1"/>
  <c r="C27" i="12"/>
  <c r="R24" i="12"/>
  <c r="Q24" i="12"/>
  <c r="P24" i="12"/>
  <c r="O24" i="12"/>
  <c r="N24" i="12"/>
  <c r="M24" i="12"/>
  <c r="G24" i="12" l="1"/>
  <c r="G75" i="4" l="1"/>
  <c r="AN39" i="1" l="1"/>
  <c r="AN37" i="1"/>
  <c r="AN36" i="1"/>
  <c r="AN35" i="1"/>
  <c r="AN34" i="1"/>
  <c r="AN33" i="1"/>
  <c r="AN27" i="1"/>
  <c r="AN26" i="1"/>
  <c r="AN24" i="1"/>
  <c r="AN23" i="1"/>
  <c r="AN22" i="1"/>
  <c r="AN21" i="1"/>
  <c r="AN20" i="1"/>
  <c r="AN19" i="1"/>
  <c r="AN18" i="1"/>
  <c r="AN12" i="1"/>
  <c r="AN11" i="1"/>
  <c r="AN9" i="1"/>
  <c r="AN8" i="1"/>
  <c r="AN7" i="1"/>
  <c r="AN6" i="1"/>
  <c r="AN5" i="1"/>
  <c r="AN4" i="1"/>
  <c r="AN3" i="1"/>
  <c r="AM39" i="1"/>
  <c r="AM37" i="1"/>
  <c r="AM36" i="1"/>
  <c r="AM35" i="1"/>
  <c r="AM34" i="1"/>
  <c r="AM33" i="1"/>
  <c r="AM27" i="1"/>
  <c r="AM26" i="1"/>
  <c r="AM24" i="1"/>
  <c r="AM23" i="1"/>
  <c r="AM22" i="1"/>
  <c r="AM21" i="1"/>
  <c r="AM20" i="1"/>
  <c r="AM19" i="1"/>
  <c r="AM18" i="1"/>
  <c r="AM12" i="1"/>
  <c r="AM11" i="1"/>
  <c r="AM9" i="1"/>
  <c r="AM8" i="1"/>
  <c r="AM7" i="1"/>
  <c r="AM6" i="1"/>
  <c r="AM5" i="1"/>
  <c r="AM4" i="1"/>
  <c r="AM3" i="1"/>
  <c r="AL39" i="1"/>
  <c r="AL37" i="1"/>
  <c r="AL36" i="1"/>
  <c r="AL35" i="1"/>
  <c r="AL34" i="1"/>
  <c r="AL33" i="1"/>
  <c r="AL27" i="1"/>
  <c r="AL26" i="1"/>
  <c r="AL24" i="1"/>
  <c r="AL23" i="1"/>
  <c r="AL22" i="1"/>
  <c r="AL21" i="1"/>
  <c r="AL20" i="1"/>
  <c r="AL19" i="1"/>
  <c r="AL18" i="1"/>
  <c r="AL12" i="1"/>
  <c r="AL11" i="1"/>
  <c r="AL9" i="1"/>
  <c r="AL8" i="1"/>
  <c r="AL7" i="1"/>
  <c r="AL6" i="1"/>
  <c r="AL5" i="1"/>
  <c r="AL4" i="1"/>
  <c r="AL3" i="1"/>
  <c r="AK39" i="1"/>
  <c r="AJ39" i="1"/>
  <c r="AI39" i="1"/>
  <c r="AH39" i="1"/>
  <c r="AG39" i="1"/>
  <c r="AF39" i="1"/>
  <c r="AE39" i="1"/>
  <c r="AD39" i="1"/>
  <c r="AC39" i="1"/>
  <c r="AK37" i="1"/>
  <c r="AJ37" i="1"/>
  <c r="AI37" i="1"/>
  <c r="AH37" i="1"/>
  <c r="AG37" i="1"/>
  <c r="AF37" i="1"/>
  <c r="AE37" i="1"/>
  <c r="AD37" i="1"/>
  <c r="AC37" i="1"/>
  <c r="AK36" i="1"/>
  <c r="AJ36" i="1"/>
  <c r="AI36" i="1"/>
  <c r="AH36" i="1"/>
  <c r="AG36" i="1"/>
  <c r="AF36" i="1"/>
  <c r="AE36" i="1"/>
  <c r="AD36" i="1"/>
  <c r="AC36" i="1"/>
  <c r="AK35" i="1"/>
  <c r="AJ35" i="1"/>
  <c r="AI35" i="1"/>
  <c r="AH35" i="1"/>
  <c r="AG35" i="1"/>
  <c r="AF35" i="1"/>
  <c r="AE35" i="1"/>
  <c r="AD35" i="1"/>
  <c r="AC35" i="1"/>
  <c r="AK34" i="1"/>
  <c r="AJ34" i="1"/>
  <c r="AI34" i="1"/>
  <c r="AH34" i="1"/>
  <c r="AG34" i="1"/>
  <c r="AF34" i="1"/>
  <c r="AE34" i="1"/>
  <c r="AD34" i="1"/>
  <c r="AC34" i="1"/>
  <c r="AK33" i="1"/>
  <c r="AJ33" i="1"/>
  <c r="AI33" i="1"/>
  <c r="AH33" i="1"/>
  <c r="AG33" i="1"/>
  <c r="AF33" i="1"/>
  <c r="AE33" i="1"/>
  <c r="AD33" i="1"/>
  <c r="AC33" i="1"/>
  <c r="AK27" i="1"/>
  <c r="AJ27" i="1"/>
  <c r="AI27" i="1"/>
  <c r="AH27" i="1"/>
  <c r="AG27" i="1"/>
  <c r="AF27" i="1"/>
  <c r="AE27" i="1"/>
  <c r="AD27" i="1"/>
  <c r="AC27" i="1"/>
  <c r="AK26" i="1"/>
  <c r="AJ26" i="1"/>
  <c r="AI26" i="1"/>
  <c r="AH26" i="1"/>
  <c r="AG26" i="1"/>
  <c r="AF26" i="1"/>
  <c r="AE26" i="1"/>
  <c r="AD26" i="1"/>
  <c r="AC26" i="1"/>
  <c r="AK24" i="1"/>
  <c r="AJ24" i="1"/>
  <c r="AI24" i="1"/>
  <c r="AH24" i="1"/>
  <c r="AG24" i="1"/>
  <c r="AF24" i="1"/>
  <c r="AE24" i="1"/>
  <c r="AD24" i="1"/>
  <c r="AC24" i="1"/>
  <c r="AK23" i="1"/>
  <c r="AJ23" i="1"/>
  <c r="AI23" i="1"/>
  <c r="AH23" i="1"/>
  <c r="AG23" i="1"/>
  <c r="AF23" i="1"/>
  <c r="AE23" i="1"/>
  <c r="AD23" i="1"/>
  <c r="AC23" i="1"/>
  <c r="AK22" i="1"/>
  <c r="AJ22" i="1"/>
  <c r="AI22" i="1"/>
  <c r="AH22" i="1"/>
  <c r="AG22" i="1"/>
  <c r="AF22" i="1"/>
  <c r="AE22" i="1"/>
  <c r="AD22" i="1"/>
  <c r="AC22" i="1"/>
  <c r="AK21" i="1"/>
  <c r="AJ21" i="1"/>
  <c r="AI21" i="1"/>
  <c r="AH21" i="1"/>
  <c r="AG21" i="1"/>
  <c r="AF21" i="1"/>
  <c r="AE21" i="1"/>
  <c r="AD21" i="1"/>
  <c r="AC21" i="1"/>
  <c r="AK20" i="1"/>
  <c r="AJ20" i="1"/>
  <c r="AI20" i="1"/>
  <c r="AH20" i="1"/>
  <c r="AG20" i="1"/>
  <c r="AF20" i="1"/>
  <c r="AE20" i="1"/>
  <c r="AD20" i="1"/>
  <c r="AC20" i="1"/>
  <c r="AK19" i="1"/>
  <c r="AJ19" i="1"/>
  <c r="AI19" i="1"/>
  <c r="AH19" i="1"/>
  <c r="AG19" i="1"/>
  <c r="AF19" i="1"/>
  <c r="AE19" i="1"/>
  <c r="AD19" i="1"/>
  <c r="AC19" i="1"/>
  <c r="AK18" i="1"/>
  <c r="AJ18" i="1"/>
  <c r="AI18" i="1"/>
  <c r="AH18" i="1"/>
  <c r="AG18" i="1"/>
  <c r="AF18" i="1"/>
  <c r="AE18" i="1"/>
  <c r="AD18" i="1"/>
  <c r="AC18" i="1"/>
  <c r="AK12" i="1"/>
  <c r="AJ12" i="1"/>
  <c r="AI12" i="1"/>
  <c r="AH12" i="1"/>
  <c r="AG12" i="1"/>
  <c r="AF12" i="1"/>
  <c r="AE12" i="1"/>
  <c r="AD12" i="1"/>
  <c r="AC12" i="1"/>
  <c r="AK11" i="1"/>
  <c r="AJ11" i="1"/>
  <c r="AI11" i="1"/>
  <c r="AH11" i="1"/>
  <c r="AG11" i="1"/>
  <c r="AF11" i="1"/>
  <c r="AE11" i="1"/>
  <c r="AD11" i="1"/>
  <c r="AC11" i="1"/>
  <c r="AK9" i="1"/>
  <c r="AJ9" i="1"/>
  <c r="AI9" i="1"/>
  <c r="AH9" i="1"/>
  <c r="AG9" i="1"/>
  <c r="AF9" i="1"/>
  <c r="AE9" i="1"/>
  <c r="AD9" i="1"/>
  <c r="AC9" i="1"/>
  <c r="AK8" i="1"/>
  <c r="AJ8" i="1"/>
  <c r="AI8" i="1"/>
  <c r="AH8" i="1"/>
  <c r="AG8" i="1"/>
  <c r="AF8" i="1"/>
  <c r="AE8" i="1"/>
  <c r="AD8" i="1"/>
  <c r="AC8" i="1"/>
  <c r="AK7" i="1"/>
  <c r="AJ7" i="1"/>
  <c r="AI7" i="1"/>
  <c r="AH7" i="1"/>
  <c r="AG7" i="1"/>
  <c r="AF7" i="1"/>
  <c r="AE7" i="1"/>
  <c r="AD7" i="1"/>
  <c r="AC7" i="1"/>
  <c r="AK6" i="1"/>
  <c r="AJ6" i="1"/>
  <c r="AI6" i="1"/>
  <c r="AH6" i="1"/>
  <c r="AG6" i="1"/>
  <c r="AF6" i="1"/>
  <c r="AE6" i="1"/>
  <c r="AD6" i="1"/>
  <c r="AC6" i="1"/>
  <c r="AK5" i="1"/>
  <c r="AJ5" i="1"/>
  <c r="AI5" i="1"/>
  <c r="AH5" i="1"/>
  <c r="AG5" i="1"/>
  <c r="AF5" i="1"/>
  <c r="AE5" i="1"/>
  <c r="AD5" i="1"/>
  <c r="AC5" i="1"/>
  <c r="AK4" i="1"/>
  <c r="AJ4" i="1"/>
  <c r="AI4" i="1"/>
  <c r="AH4" i="1"/>
  <c r="AG4" i="1"/>
  <c r="AF4" i="1"/>
  <c r="AE4" i="1"/>
  <c r="AD4" i="1"/>
  <c r="AC4" i="1"/>
  <c r="AK3" i="1"/>
  <c r="AJ3" i="1"/>
  <c r="AI3" i="1"/>
  <c r="AH3" i="1"/>
  <c r="AG3" i="1"/>
  <c r="AF3" i="1"/>
  <c r="AE3" i="1"/>
  <c r="AD3" i="1"/>
  <c r="AC3" i="1"/>
  <c r="I54" i="19" l="1"/>
  <c r="I44" i="19"/>
  <c r="I43" i="19"/>
  <c r="I41" i="19"/>
  <c r="I32" i="19"/>
  <c r="I22" i="19"/>
  <c r="I21" i="19"/>
  <c r="I10" i="19"/>
  <c r="BM36" i="20"/>
  <c r="BM34" i="20"/>
  <c r="BM32" i="20"/>
  <c r="I52" i="19" s="1"/>
  <c r="BM29" i="20"/>
  <c r="BM27" i="20"/>
  <c r="BM25" i="20"/>
  <c r="BM22" i="20"/>
  <c r="I35" i="19" s="1"/>
  <c r="BM20" i="20"/>
  <c r="I33" i="19" s="1"/>
  <c r="BM18" i="20"/>
  <c r="BM15" i="20"/>
  <c r="I24" i="19" s="1"/>
  <c r="BM13" i="20"/>
  <c r="BM11" i="20"/>
  <c r="I19" i="19" s="1"/>
  <c r="BM8" i="20"/>
  <c r="BM6" i="20"/>
  <c r="I11" i="19" s="1"/>
  <c r="BM4" i="20"/>
  <c r="I8" i="19" s="1"/>
  <c r="AZ19" i="20"/>
  <c r="AZ26" i="20"/>
  <c r="AZ33" i="20"/>
  <c r="BG33" i="20"/>
  <c r="BG26" i="20"/>
  <c r="BG19" i="20"/>
  <c r="BG12" i="20"/>
  <c r="BG5" i="20"/>
  <c r="I30" i="19" l="1"/>
  <c r="I46" i="19"/>
  <c r="I55" i="19"/>
  <c r="I13" i="19"/>
  <c r="I57" i="19"/>
  <c r="G78" i="4" l="1"/>
  <c r="C75" i="4"/>
  <c r="C71" i="4" l="1"/>
  <c r="D71" i="4"/>
  <c r="E71" i="4"/>
  <c r="C72" i="4"/>
  <c r="D72" i="4"/>
  <c r="H72" i="4" s="1"/>
  <c r="I72" i="4" s="1"/>
  <c r="E72" i="4"/>
  <c r="C73" i="4"/>
  <c r="E73" i="4"/>
  <c r="C74" i="4"/>
  <c r="E74" i="4"/>
  <c r="H71" i="4" l="1"/>
  <c r="I71" i="4" s="1"/>
  <c r="J71" i="4" s="1"/>
  <c r="J72" i="4"/>
  <c r="G30" i="4" l="1"/>
  <c r="G29" i="4"/>
  <c r="G28" i="4"/>
  <c r="G27" i="4"/>
  <c r="G26" i="4"/>
  <c r="G25" i="4"/>
  <c r="G24" i="4"/>
  <c r="G23" i="4"/>
  <c r="G22" i="4"/>
  <c r="G21" i="4"/>
  <c r="G20" i="4"/>
  <c r="G19" i="4"/>
  <c r="G18" i="4"/>
  <c r="G17" i="4"/>
  <c r="G16" i="4"/>
  <c r="G15" i="4"/>
  <c r="G14" i="4"/>
  <c r="G13" i="4"/>
  <c r="G12" i="4"/>
  <c r="G11" i="4"/>
  <c r="G10" i="4"/>
  <c r="G9" i="4"/>
  <c r="G8" i="4"/>
  <c r="G7" i="4"/>
  <c r="F30" i="4"/>
  <c r="F29" i="4"/>
  <c r="F28" i="4"/>
  <c r="F27" i="4"/>
  <c r="F26" i="4"/>
  <c r="F25" i="4"/>
  <c r="F24" i="4"/>
  <c r="F23" i="4"/>
  <c r="F22" i="4"/>
  <c r="F21" i="4"/>
  <c r="F20" i="4"/>
  <c r="F19" i="4"/>
  <c r="F18" i="4"/>
  <c r="F17" i="4"/>
  <c r="F16" i="4"/>
  <c r="F15" i="4"/>
  <c r="F14" i="4"/>
  <c r="F13" i="4"/>
  <c r="F12" i="4"/>
  <c r="F11" i="4"/>
  <c r="F10" i="4"/>
  <c r="F9" i="4"/>
  <c r="F8" i="4"/>
  <c r="F7" i="4"/>
  <c r="F71" i="4" l="1"/>
  <c r="F72" i="4"/>
  <c r="D62" i="4" l="1"/>
  <c r="D61" i="4"/>
  <c r="D60" i="4"/>
  <c r="D59" i="4"/>
  <c r="D58" i="4"/>
  <c r="D57" i="4"/>
  <c r="D56" i="4"/>
  <c r="D55" i="4"/>
  <c r="D54" i="4"/>
  <c r="D53" i="4"/>
  <c r="D52" i="4"/>
  <c r="D51" i="4"/>
  <c r="D50" i="4"/>
  <c r="D49" i="4"/>
  <c r="D48" i="4"/>
  <c r="D47" i="4"/>
  <c r="D46" i="4"/>
  <c r="D45" i="4"/>
  <c r="D44" i="4"/>
  <c r="D43" i="4"/>
  <c r="D42" i="4"/>
  <c r="D41" i="4"/>
  <c r="D40" i="4"/>
  <c r="D39" i="4"/>
  <c r="D38" i="4"/>
  <c r="D37" i="4"/>
  <c r="D36" i="4"/>
  <c r="D35" i="4"/>
  <c r="D34" i="4"/>
  <c r="D33" i="4"/>
  <c r="D32" i="4"/>
  <c r="D31" i="4"/>
  <c r="C66" i="4"/>
  <c r="C65" i="4"/>
  <c r="C64" i="4"/>
  <c r="C62" i="4"/>
  <c r="C61" i="4"/>
  <c r="C60" i="4"/>
  <c r="C59" i="4"/>
  <c r="C58" i="4"/>
  <c r="C57" i="4"/>
  <c r="C56" i="4"/>
  <c r="C55" i="4"/>
  <c r="C54" i="4"/>
  <c r="C53" i="4"/>
  <c r="C52" i="4"/>
  <c r="C51" i="4"/>
  <c r="C50" i="4"/>
  <c r="C49" i="4"/>
  <c r="C48" i="4"/>
  <c r="C47" i="4"/>
  <c r="C46" i="4"/>
  <c r="C45" i="4"/>
  <c r="C44" i="4"/>
  <c r="C43" i="4"/>
  <c r="C42" i="4"/>
  <c r="C41" i="4"/>
  <c r="C40" i="4"/>
  <c r="C39" i="4"/>
  <c r="C38" i="4"/>
  <c r="C37" i="4"/>
  <c r="C36" i="4"/>
  <c r="C35" i="4"/>
  <c r="C34" i="4"/>
  <c r="C33" i="4"/>
  <c r="C32" i="4"/>
  <c r="C31" i="4"/>
  <c r="G48" i="4" l="1"/>
  <c r="F48" i="4"/>
  <c r="G41" i="4"/>
  <c r="F41" i="4"/>
  <c r="F34" i="4"/>
  <c r="G34" i="4"/>
  <c r="F42" i="4"/>
  <c r="G42" i="4"/>
  <c r="F50" i="4"/>
  <c r="G50" i="4"/>
  <c r="F58" i="4"/>
  <c r="G58" i="4"/>
  <c r="F66" i="4"/>
  <c r="G66" i="4"/>
  <c r="F59" i="4"/>
  <c r="G59" i="4"/>
  <c r="G32" i="4"/>
  <c r="F32" i="4"/>
  <c r="G57" i="4"/>
  <c r="F57" i="4"/>
  <c r="F43" i="4"/>
  <c r="G43" i="4"/>
  <c r="G36" i="4"/>
  <c r="F36" i="4"/>
  <c r="F60" i="4"/>
  <c r="G60" i="4"/>
  <c r="F40" i="4"/>
  <c r="G40" i="4"/>
  <c r="F51" i="4"/>
  <c r="G51" i="4"/>
  <c r="F52" i="4"/>
  <c r="G52" i="4"/>
  <c r="F45" i="4"/>
  <c r="G45" i="4"/>
  <c r="F61" i="4"/>
  <c r="G61" i="4"/>
  <c r="F64" i="4"/>
  <c r="G64" i="4"/>
  <c r="G33" i="4"/>
  <c r="F33" i="4"/>
  <c r="G49" i="4"/>
  <c r="F49" i="4"/>
  <c r="G44" i="4"/>
  <c r="F44" i="4"/>
  <c r="F37" i="4"/>
  <c r="G37" i="4"/>
  <c r="F53" i="4"/>
  <c r="G53" i="4"/>
  <c r="G38" i="4"/>
  <c r="F38" i="4"/>
  <c r="G46" i="4"/>
  <c r="F46" i="4"/>
  <c r="F54" i="4"/>
  <c r="G54" i="4"/>
  <c r="G62" i="4"/>
  <c r="F62" i="4"/>
  <c r="G56" i="4"/>
  <c r="F56" i="4"/>
  <c r="G65" i="4"/>
  <c r="F65" i="4"/>
  <c r="F35" i="4"/>
  <c r="G35" i="4"/>
  <c r="G31" i="4"/>
  <c r="F31" i="4"/>
  <c r="G39" i="4"/>
  <c r="F39" i="4"/>
  <c r="G47" i="4"/>
  <c r="F47" i="4"/>
  <c r="G55" i="4"/>
  <c r="F55" i="4"/>
  <c r="L66" i="4"/>
  <c r="L65" i="4"/>
  <c r="L64" i="4"/>
  <c r="L62" i="4"/>
  <c r="L61" i="4"/>
  <c r="L60" i="4"/>
  <c r="L59" i="4"/>
  <c r="L58" i="4"/>
  <c r="L57" i="4"/>
  <c r="L56" i="4"/>
  <c r="L55" i="4"/>
  <c r="L54" i="4"/>
  <c r="L53" i="4"/>
  <c r="L52" i="4"/>
  <c r="L51" i="4"/>
  <c r="L50" i="4"/>
  <c r="L49" i="4"/>
  <c r="L48" i="4"/>
  <c r="L47" i="4"/>
  <c r="L46" i="4"/>
  <c r="L45" i="4"/>
  <c r="L44" i="4"/>
  <c r="L43" i="4"/>
  <c r="L42" i="4"/>
  <c r="L41" i="4"/>
  <c r="L40" i="4"/>
  <c r="L39" i="4"/>
  <c r="L38" i="4"/>
  <c r="L37" i="4"/>
  <c r="L36" i="4"/>
  <c r="L35" i="4"/>
  <c r="L34" i="4"/>
  <c r="L33" i="4"/>
  <c r="L32" i="4"/>
  <c r="L31" i="4"/>
  <c r="L30" i="4"/>
  <c r="L29" i="4"/>
  <c r="L28" i="4"/>
  <c r="L27" i="4"/>
  <c r="L26" i="4"/>
  <c r="L25" i="4"/>
  <c r="L24" i="4"/>
  <c r="L23" i="4"/>
  <c r="L22" i="4"/>
  <c r="L21" i="4"/>
  <c r="L20" i="4"/>
  <c r="L19" i="4"/>
  <c r="L18" i="4"/>
  <c r="L17" i="4"/>
  <c r="L16" i="4"/>
  <c r="L15" i="4"/>
  <c r="L14" i="4"/>
  <c r="L13" i="4"/>
  <c r="L12" i="4"/>
  <c r="L11" i="4"/>
  <c r="L10" i="4"/>
  <c r="L9" i="4"/>
  <c r="L8" i="4"/>
  <c r="L7" i="4"/>
  <c r="F73" i="4" l="1"/>
  <c r="F74" i="4"/>
  <c r="AR40" i="1" l="1"/>
  <c r="AR19" i="1"/>
  <c r="AN41" i="1"/>
  <c r="AM41" i="1"/>
  <c r="AL41" i="1"/>
  <c r="AK41" i="1"/>
  <c r="AJ41" i="1"/>
  <c r="AI41" i="1"/>
  <c r="AH41" i="1"/>
  <c r="AG41" i="1"/>
  <c r="AF41" i="1"/>
  <c r="AE41" i="1"/>
  <c r="AD41" i="1"/>
  <c r="AR39" i="1" l="1"/>
  <c r="F32" i="11" l="1"/>
  <c r="F36" i="11" s="1"/>
  <c r="E54" i="19" l="1"/>
  <c r="E43" i="19"/>
  <c r="E32" i="19"/>
  <c r="E21" i="19"/>
  <c r="E10" i="19"/>
  <c r="AY36" i="20"/>
  <c r="AZ36" i="20" s="1"/>
  <c r="AY35" i="20"/>
  <c r="AZ35" i="20" s="1"/>
  <c r="AY34" i="20"/>
  <c r="AY33" i="20"/>
  <c r="AY32" i="20"/>
  <c r="AY29" i="20"/>
  <c r="AZ29" i="20" s="1"/>
  <c r="AY28" i="20"/>
  <c r="AZ28" i="20" s="1"/>
  <c r="AY27" i="20"/>
  <c r="AY26" i="20"/>
  <c r="AY25" i="20"/>
  <c r="AY22" i="20"/>
  <c r="AZ22" i="20" s="1"/>
  <c r="AY21" i="20"/>
  <c r="AZ21" i="20" s="1"/>
  <c r="AY20" i="20"/>
  <c r="AY19" i="20"/>
  <c r="AY18" i="20"/>
  <c r="AY15" i="20"/>
  <c r="AZ15" i="20" s="1"/>
  <c r="AY14" i="20"/>
  <c r="AZ14" i="20" s="1"/>
  <c r="AY13" i="20"/>
  <c r="AY11" i="20"/>
  <c r="AY8" i="20"/>
  <c r="AY7" i="20"/>
  <c r="AY6" i="20"/>
  <c r="AY4" i="20"/>
  <c r="AQ40" i="1"/>
  <c r="AP40" i="1"/>
  <c r="R5" i="1"/>
  <c r="S5" i="1"/>
  <c r="T5" i="1"/>
  <c r="U5" i="1"/>
  <c r="V5" i="1"/>
  <c r="W5" i="1"/>
  <c r="X5" i="1"/>
  <c r="Y5" i="1"/>
  <c r="Z5" i="1"/>
  <c r="AA5" i="1"/>
  <c r="AB5" i="1"/>
  <c r="R6" i="1"/>
  <c r="S6" i="1"/>
  <c r="T6" i="1"/>
  <c r="U6" i="1"/>
  <c r="V6" i="1"/>
  <c r="W6" i="1"/>
  <c r="X6" i="1"/>
  <c r="Y6" i="1"/>
  <c r="Z6" i="1"/>
  <c r="AA6" i="1"/>
  <c r="AB6" i="1"/>
  <c r="R7" i="1"/>
  <c r="S7" i="1"/>
  <c r="T7" i="1"/>
  <c r="U7" i="1"/>
  <c r="V7" i="1"/>
  <c r="W7" i="1"/>
  <c r="X7" i="1"/>
  <c r="Y7" i="1"/>
  <c r="Z7" i="1"/>
  <c r="AA7" i="1"/>
  <c r="AB7" i="1"/>
  <c r="R8" i="1"/>
  <c r="S8" i="1"/>
  <c r="T8" i="1"/>
  <c r="U8" i="1"/>
  <c r="V8" i="1"/>
  <c r="W8" i="1"/>
  <c r="X8" i="1"/>
  <c r="Y8" i="1"/>
  <c r="Z8" i="1"/>
  <c r="AA8" i="1"/>
  <c r="AB8" i="1"/>
  <c r="R9" i="1"/>
  <c r="S9" i="1"/>
  <c r="T9" i="1"/>
  <c r="U9" i="1"/>
  <c r="V9" i="1"/>
  <c r="W9" i="1"/>
  <c r="X9" i="1"/>
  <c r="Y9" i="1"/>
  <c r="Z9" i="1"/>
  <c r="AA9" i="1"/>
  <c r="AB9" i="1"/>
  <c r="AQ19" i="1"/>
  <c r="AC41" i="1"/>
  <c r="AR41" i="1" s="1"/>
  <c r="AB39" i="1"/>
  <c r="AB41" i="1" s="1"/>
  <c r="AB37" i="1"/>
  <c r="AB36" i="1"/>
  <c r="AB35" i="1"/>
  <c r="AB34" i="1"/>
  <c r="AB33" i="1"/>
  <c r="AB27" i="1"/>
  <c r="AB26" i="1"/>
  <c r="AB24" i="1"/>
  <c r="R114" i="4" s="1"/>
  <c r="AB23" i="1"/>
  <c r="R113" i="4" s="1"/>
  <c r="AB22" i="1"/>
  <c r="R112" i="4" s="1"/>
  <c r="AB21" i="1"/>
  <c r="R111" i="4" s="1"/>
  <c r="AB20" i="1"/>
  <c r="AB12" i="1"/>
  <c r="AB11" i="1"/>
  <c r="AB4" i="1"/>
  <c r="AB19" i="1" s="1"/>
  <c r="AB3" i="1"/>
  <c r="AB18" i="1" s="1"/>
  <c r="AA39" i="1"/>
  <c r="AA41" i="1" s="1"/>
  <c r="AA37" i="1"/>
  <c r="AA36" i="1"/>
  <c r="AA35" i="1"/>
  <c r="AA34" i="1"/>
  <c r="AA33" i="1"/>
  <c r="AA27" i="1"/>
  <c r="AA26" i="1"/>
  <c r="AA24" i="1"/>
  <c r="Q114" i="4" s="1"/>
  <c r="AA23" i="1"/>
  <c r="Q113" i="4" s="1"/>
  <c r="AA22" i="1"/>
  <c r="Q112" i="4" s="1"/>
  <c r="AA21" i="1"/>
  <c r="Q111" i="4" s="1"/>
  <c r="AA20" i="1"/>
  <c r="AA12" i="1"/>
  <c r="AA11" i="1"/>
  <c r="AA4" i="1"/>
  <c r="AA19" i="1" s="1"/>
  <c r="AA3" i="1"/>
  <c r="AA18" i="1" s="1"/>
  <c r="Z39" i="1"/>
  <c r="Z41" i="1" s="1"/>
  <c r="Z37" i="1"/>
  <c r="Z36" i="1"/>
  <c r="Z35" i="1"/>
  <c r="Z34" i="1"/>
  <c r="Z33" i="1"/>
  <c r="Z27" i="1"/>
  <c r="Z26" i="1"/>
  <c r="Z24" i="1"/>
  <c r="P114" i="4" s="1"/>
  <c r="Z23" i="1"/>
  <c r="P113" i="4" s="1"/>
  <c r="Z22" i="1"/>
  <c r="P112" i="4" s="1"/>
  <c r="Z21" i="1"/>
  <c r="P111" i="4" s="1"/>
  <c r="Z20" i="1"/>
  <c r="Z12" i="1"/>
  <c r="Z11" i="1"/>
  <c r="Z4" i="1"/>
  <c r="Z19" i="1" s="1"/>
  <c r="Z3" i="1"/>
  <c r="Z18" i="1" s="1"/>
  <c r="Y39" i="1"/>
  <c r="Y41" i="1" s="1"/>
  <c r="Y37" i="1"/>
  <c r="Y36" i="1"/>
  <c r="Y35" i="1"/>
  <c r="Y34" i="1"/>
  <c r="Y33" i="1"/>
  <c r="Y27" i="1"/>
  <c r="Y26" i="1"/>
  <c r="Y24" i="1"/>
  <c r="O114" i="4" s="1"/>
  <c r="Y23" i="1"/>
  <c r="O113" i="4" s="1"/>
  <c r="Y22" i="1"/>
  <c r="O112" i="4" s="1"/>
  <c r="Y21" i="1"/>
  <c r="O111" i="4" s="1"/>
  <c r="Y20" i="1"/>
  <c r="Y12" i="1"/>
  <c r="Y11" i="1"/>
  <c r="Y4" i="1"/>
  <c r="Y19" i="1" s="1"/>
  <c r="Y3" i="1"/>
  <c r="Y18" i="1" s="1"/>
  <c r="X39" i="1"/>
  <c r="X41" i="1" s="1"/>
  <c r="X37" i="1"/>
  <c r="X36" i="1"/>
  <c r="X35" i="1"/>
  <c r="X34" i="1"/>
  <c r="X33" i="1"/>
  <c r="X27" i="1"/>
  <c r="X26" i="1"/>
  <c r="X24" i="1"/>
  <c r="N114" i="4" s="1"/>
  <c r="X23" i="1"/>
  <c r="N113" i="4" s="1"/>
  <c r="X22" i="1"/>
  <c r="N112" i="4" s="1"/>
  <c r="X21" i="1"/>
  <c r="N111" i="4" s="1"/>
  <c r="X20" i="1"/>
  <c r="X12" i="1"/>
  <c r="X11" i="1"/>
  <c r="X4" i="1"/>
  <c r="X19" i="1" s="1"/>
  <c r="X3" i="1"/>
  <c r="X18" i="1" s="1"/>
  <c r="W39" i="1"/>
  <c r="W41" i="1" s="1"/>
  <c r="W37" i="1"/>
  <c r="W36" i="1"/>
  <c r="W35" i="1"/>
  <c r="W34" i="1"/>
  <c r="W33" i="1"/>
  <c r="W27" i="1"/>
  <c r="W26" i="1"/>
  <c r="W24" i="1"/>
  <c r="M114" i="4" s="1"/>
  <c r="W23" i="1"/>
  <c r="M113" i="4" s="1"/>
  <c r="W22" i="1"/>
  <c r="M112" i="4" s="1"/>
  <c r="W21" i="1"/>
  <c r="M111" i="4" s="1"/>
  <c r="W20" i="1"/>
  <c r="W12" i="1"/>
  <c r="W11" i="1"/>
  <c r="W4" i="1"/>
  <c r="W19" i="1" s="1"/>
  <c r="W3" i="1"/>
  <c r="W18" i="1" s="1"/>
  <c r="V39" i="1"/>
  <c r="V41" i="1" s="1"/>
  <c r="V37" i="1"/>
  <c r="V36" i="1"/>
  <c r="V35" i="1"/>
  <c r="V34" i="1"/>
  <c r="V33" i="1"/>
  <c r="V27" i="1"/>
  <c r="V26" i="1"/>
  <c r="V24" i="1"/>
  <c r="L114" i="4" s="1"/>
  <c r="V23" i="1"/>
  <c r="L113" i="4" s="1"/>
  <c r="V22" i="1"/>
  <c r="L112" i="4" s="1"/>
  <c r="V21" i="1"/>
  <c r="L111" i="4" s="1"/>
  <c r="V20" i="1"/>
  <c r="V12" i="1"/>
  <c r="V11" i="1"/>
  <c r="V4" i="1"/>
  <c r="V19" i="1" s="1"/>
  <c r="V3" i="1"/>
  <c r="V18" i="1" s="1"/>
  <c r="U39" i="1"/>
  <c r="U41" i="1" s="1"/>
  <c r="U37" i="1"/>
  <c r="U36" i="1"/>
  <c r="U35" i="1"/>
  <c r="U34" i="1"/>
  <c r="U33" i="1"/>
  <c r="U27" i="1"/>
  <c r="U26" i="1"/>
  <c r="U24" i="1"/>
  <c r="K114" i="4" s="1"/>
  <c r="U23" i="1"/>
  <c r="K113" i="4" s="1"/>
  <c r="U22" i="1"/>
  <c r="K112" i="4" s="1"/>
  <c r="U21" i="1"/>
  <c r="K111" i="4" s="1"/>
  <c r="U20" i="1"/>
  <c r="U12" i="1"/>
  <c r="U11" i="1"/>
  <c r="U4" i="1"/>
  <c r="U19" i="1" s="1"/>
  <c r="U3" i="1"/>
  <c r="U18" i="1" s="1"/>
  <c r="T39" i="1"/>
  <c r="T41" i="1" s="1"/>
  <c r="T37" i="1"/>
  <c r="T36" i="1"/>
  <c r="T35" i="1"/>
  <c r="T34" i="1"/>
  <c r="T33" i="1"/>
  <c r="T27" i="1"/>
  <c r="T26" i="1"/>
  <c r="T24" i="1"/>
  <c r="J114" i="4" s="1"/>
  <c r="T23" i="1"/>
  <c r="J113" i="4" s="1"/>
  <c r="T22" i="1"/>
  <c r="J112" i="4" s="1"/>
  <c r="T21" i="1"/>
  <c r="J111" i="4" s="1"/>
  <c r="T20" i="1"/>
  <c r="T12" i="1"/>
  <c r="T11" i="1"/>
  <c r="T4" i="1"/>
  <c r="T19" i="1" s="1"/>
  <c r="T3" i="1"/>
  <c r="T18" i="1" s="1"/>
  <c r="S39" i="1"/>
  <c r="S41" i="1" s="1"/>
  <c r="S37" i="1"/>
  <c r="S36" i="1"/>
  <c r="S35" i="1"/>
  <c r="S34" i="1"/>
  <c r="S33" i="1"/>
  <c r="S27" i="1"/>
  <c r="S26" i="1"/>
  <c r="S24" i="1"/>
  <c r="I114" i="4" s="1"/>
  <c r="S23" i="1"/>
  <c r="I113" i="4" s="1"/>
  <c r="S22" i="1"/>
  <c r="I112" i="4" s="1"/>
  <c r="S21" i="1"/>
  <c r="I111" i="4" s="1"/>
  <c r="S20" i="1"/>
  <c r="S12" i="1"/>
  <c r="S11" i="1"/>
  <c r="S4" i="1"/>
  <c r="S19" i="1" s="1"/>
  <c r="S3" i="1"/>
  <c r="S18" i="1" s="1"/>
  <c r="R39" i="1"/>
  <c r="R41" i="1" s="1"/>
  <c r="R37" i="1"/>
  <c r="R36" i="1"/>
  <c r="R35" i="1"/>
  <c r="R34" i="1"/>
  <c r="R33" i="1"/>
  <c r="R27" i="1"/>
  <c r="R26" i="1"/>
  <c r="R24" i="1"/>
  <c r="H114" i="4" s="1"/>
  <c r="R23" i="1"/>
  <c r="H113" i="4" s="1"/>
  <c r="R22" i="1"/>
  <c r="H112" i="4" s="1"/>
  <c r="R21" i="1"/>
  <c r="H111" i="4" s="1"/>
  <c r="R20" i="1"/>
  <c r="R12" i="1"/>
  <c r="R11" i="1"/>
  <c r="R4" i="1"/>
  <c r="R19" i="1" s="1"/>
  <c r="R3" i="1"/>
  <c r="R18" i="1" s="1"/>
  <c r="Q9" i="1"/>
  <c r="Q8" i="1"/>
  <c r="Q7" i="1"/>
  <c r="Q6" i="1"/>
  <c r="Q5" i="1"/>
  <c r="P9" i="1"/>
  <c r="P8" i="1"/>
  <c r="P7" i="1"/>
  <c r="P6" i="1"/>
  <c r="P5" i="1"/>
  <c r="O9" i="1"/>
  <c r="O8" i="1"/>
  <c r="O7" i="1"/>
  <c r="O6" i="1"/>
  <c r="O5" i="1"/>
  <c r="Q11" i="1"/>
  <c r="P11" i="1"/>
  <c r="O11" i="1"/>
  <c r="N11" i="1"/>
  <c r="N9" i="1"/>
  <c r="N8" i="1"/>
  <c r="N7" i="1"/>
  <c r="N6" i="1"/>
  <c r="N5" i="1"/>
  <c r="Q26" i="1"/>
  <c r="P26" i="1"/>
  <c r="O26" i="1"/>
  <c r="N26" i="1"/>
  <c r="Q27" i="1"/>
  <c r="P27" i="1"/>
  <c r="O27" i="1"/>
  <c r="N27" i="1"/>
  <c r="Q12" i="1"/>
  <c r="P12" i="1"/>
  <c r="O12" i="1"/>
  <c r="N12" i="1"/>
  <c r="Q24" i="1"/>
  <c r="G114" i="4" s="1"/>
  <c r="P24" i="1"/>
  <c r="F114" i="4" s="1"/>
  <c r="O24" i="1"/>
  <c r="E114" i="4" s="1"/>
  <c r="Q23" i="1"/>
  <c r="G113" i="4" s="1"/>
  <c r="P23" i="1"/>
  <c r="F113" i="4" s="1"/>
  <c r="O23" i="1"/>
  <c r="E113" i="4" s="1"/>
  <c r="Q22" i="1"/>
  <c r="G112" i="4" s="1"/>
  <c r="P22" i="1"/>
  <c r="F112" i="4" s="1"/>
  <c r="O22" i="1"/>
  <c r="E112" i="4" s="1"/>
  <c r="Q21" i="1"/>
  <c r="G111" i="4" s="1"/>
  <c r="P21" i="1"/>
  <c r="F111" i="4" s="1"/>
  <c r="O21" i="1"/>
  <c r="E111" i="4" s="1"/>
  <c r="Q20" i="1"/>
  <c r="P20" i="1"/>
  <c r="O20" i="1"/>
  <c r="N24" i="1"/>
  <c r="D114" i="4" s="1"/>
  <c r="N23" i="1"/>
  <c r="D113" i="4" s="1"/>
  <c r="N22" i="1"/>
  <c r="D112" i="4" s="1"/>
  <c r="N21" i="1"/>
  <c r="D111" i="4" s="1"/>
  <c r="N20" i="1"/>
  <c r="M12" i="1"/>
  <c r="L12" i="1"/>
  <c r="K12" i="1"/>
  <c r="J12" i="1"/>
  <c r="I12" i="1"/>
  <c r="H12" i="1"/>
  <c r="G12" i="1"/>
  <c r="F12" i="1"/>
  <c r="M11" i="1"/>
  <c r="M13" i="1" s="1"/>
  <c r="L11" i="1"/>
  <c r="L13" i="1" s="1"/>
  <c r="K11" i="1"/>
  <c r="K13" i="1" s="1"/>
  <c r="J11" i="1"/>
  <c r="I11" i="1"/>
  <c r="H11" i="1"/>
  <c r="H13" i="1" s="1"/>
  <c r="G11" i="1"/>
  <c r="F11" i="1"/>
  <c r="F13" i="1" s="1"/>
  <c r="M9" i="1"/>
  <c r="L9" i="1"/>
  <c r="K9" i="1"/>
  <c r="J9" i="1"/>
  <c r="I9" i="1"/>
  <c r="H9" i="1"/>
  <c r="G9" i="1"/>
  <c r="F9" i="1"/>
  <c r="M8" i="1"/>
  <c r="L8" i="1"/>
  <c r="K8" i="1"/>
  <c r="J8" i="1"/>
  <c r="I8" i="1"/>
  <c r="H8" i="1"/>
  <c r="G8" i="1"/>
  <c r="F8" i="1"/>
  <c r="M7" i="1"/>
  <c r="L7" i="1"/>
  <c r="K7" i="1"/>
  <c r="J7" i="1"/>
  <c r="I7" i="1"/>
  <c r="H7" i="1"/>
  <c r="G7" i="1"/>
  <c r="F7" i="1"/>
  <c r="M6" i="1"/>
  <c r="L6" i="1"/>
  <c r="K6" i="1"/>
  <c r="J6" i="1"/>
  <c r="I6" i="1"/>
  <c r="H6" i="1"/>
  <c r="G6" i="1"/>
  <c r="F6" i="1"/>
  <c r="M5" i="1"/>
  <c r="M10" i="1" s="1"/>
  <c r="M14" i="1" s="1"/>
  <c r="L5" i="1"/>
  <c r="L10" i="1" s="1"/>
  <c r="K5" i="1"/>
  <c r="J5" i="1"/>
  <c r="I5" i="1"/>
  <c r="I10" i="1" s="1"/>
  <c r="H5" i="1"/>
  <c r="H10" i="1" s="1"/>
  <c r="G5" i="1"/>
  <c r="F5" i="1"/>
  <c r="Q4" i="1"/>
  <c r="P4" i="1"/>
  <c r="O4" i="1"/>
  <c r="Q3" i="1"/>
  <c r="P3" i="1"/>
  <c r="O3" i="1"/>
  <c r="N4" i="1"/>
  <c r="N3" i="1"/>
  <c r="N18" i="1"/>
  <c r="N31" i="1" s="1"/>
  <c r="N19" i="1"/>
  <c r="N32" i="1" s="1"/>
  <c r="L13" i="31" l="1"/>
  <c r="L14" i="1"/>
  <c r="H14" i="1"/>
  <c r="R10" i="1"/>
  <c r="T10" i="1"/>
  <c r="BI13" i="20"/>
  <c r="AZ13" i="20"/>
  <c r="BA13" i="20" s="1"/>
  <c r="BI25" i="20"/>
  <c r="AZ25" i="20"/>
  <c r="BA25" i="20" s="1"/>
  <c r="BI27" i="20"/>
  <c r="AZ27" i="20"/>
  <c r="BA27" i="20" s="1"/>
  <c r="BI34" i="20"/>
  <c r="AZ34" i="20"/>
  <c r="BA34" i="20" s="1"/>
  <c r="BI4" i="20"/>
  <c r="AZ4" i="20"/>
  <c r="BA4" i="20" s="1"/>
  <c r="BI18" i="20"/>
  <c r="AZ18" i="20"/>
  <c r="BA18" i="20" s="1"/>
  <c r="BI11" i="20"/>
  <c r="AZ11" i="20"/>
  <c r="BA11" i="20" s="1"/>
  <c r="BI6" i="20"/>
  <c r="AZ6" i="20"/>
  <c r="BA6" i="20" s="1"/>
  <c r="BI7" i="20"/>
  <c r="AZ7" i="20"/>
  <c r="BA7" i="20" s="1"/>
  <c r="BI20" i="20"/>
  <c r="AZ20" i="20"/>
  <c r="BA20" i="20" s="1"/>
  <c r="BI32" i="20"/>
  <c r="AZ32" i="20"/>
  <c r="BA32" i="20" s="1"/>
  <c r="BI8" i="20"/>
  <c r="AZ8" i="20"/>
  <c r="BA8" i="20" s="1"/>
  <c r="BI29" i="20"/>
  <c r="BA29" i="20"/>
  <c r="BI21" i="20"/>
  <c r="BA21" i="20"/>
  <c r="BI22" i="20"/>
  <c r="BA22" i="20"/>
  <c r="BI35" i="20"/>
  <c r="BA35" i="20"/>
  <c r="BI14" i="20"/>
  <c r="BA14" i="20"/>
  <c r="BI36" i="20"/>
  <c r="BA36" i="20"/>
  <c r="BI15" i="20"/>
  <c r="BA15" i="20"/>
  <c r="BI28" i="20"/>
  <c r="BA28" i="20"/>
  <c r="I13" i="1"/>
  <c r="I14" i="1" s="1"/>
  <c r="D68" i="4"/>
  <c r="V28" i="1"/>
  <c r="L115" i="4" s="1"/>
  <c r="S10" i="1"/>
  <c r="G13" i="1"/>
  <c r="J13" i="1"/>
  <c r="E44" i="19"/>
  <c r="X10" i="1"/>
  <c r="AB10" i="1"/>
  <c r="N10" i="1"/>
  <c r="AQ11" i="1"/>
  <c r="P10" i="1"/>
  <c r="AQ6" i="1"/>
  <c r="AA10" i="1"/>
  <c r="W10" i="1"/>
  <c r="Z10" i="1"/>
  <c r="V10" i="1"/>
  <c r="AQ7" i="1"/>
  <c r="S38" i="1"/>
  <c r="G10" i="1"/>
  <c r="K10" i="1"/>
  <c r="K14" i="1" s="1"/>
  <c r="AQ8" i="1"/>
  <c r="T38" i="1"/>
  <c r="T42" i="1" s="1"/>
  <c r="V25" i="1"/>
  <c r="X38" i="1"/>
  <c r="X42" i="1" s="1"/>
  <c r="Q10" i="1"/>
  <c r="AQ20" i="1"/>
  <c r="C2" i="12" s="1"/>
  <c r="AQ12" i="1"/>
  <c r="AQ27" i="1"/>
  <c r="AQ26" i="1"/>
  <c r="AQ5" i="1"/>
  <c r="AQ9" i="1"/>
  <c r="X28" i="1"/>
  <c r="N115" i="4" s="1"/>
  <c r="Z38" i="1"/>
  <c r="Z42" i="1" s="1"/>
  <c r="T13" i="1"/>
  <c r="V38" i="1"/>
  <c r="V42" i="1" s="1"/>
  <c r="X13" i="1"/>
  <c r="Y28" i="1"/>
  <c r="O115" i="4" s="1"/>
  <c r="AA38" i="1"/>
  <c r="AA42" i="1" s="1"/>
  <c r="Z25" i="1"/>
  <c r="Z28" i="1"/>
  <c r="P115" i="4" s="1"/>
  <c r="AB38" i="1"/>
  <c r="AB42" i="1" s="1"/>
  <c r="O10" i="1"/>
  <c r="R13" i="1"/>
  <c r="S28" i="1"/>
  <c r="I115" i="4" s="1"/>
  <c r="U38" i="1"/>
  <c r="U42" i="1" s="1"/>
  <c r="V13" i="1"/>
  <c r="Y38" i="1"/>
  <c r="Y42" i="1" s="1"/>
  <c r="AA28" i="1"/>
  <c r="Q115" i="4" s="1"/>
  <c r="R38" i="1"/>
  <c r="R42" i="1" s="1"/>
  <c r="AB25" i="1"/>
  <c r="AB28" i="1"/>
  <c r="R115" i="4" s="1"/>
  <c r="F10" i="1"/>
  <c r="F14" i="1" s="1"/>
  <c r="J10" i="1"/>
  <c r="R28" i="1"/>
  <c r="H115" i="4" s="1"/>
  <c r="T25" i="1"/>
  <c r="T28" i="1"/>
  <c r="J115" i="4" s="1"/>
  <c r="Y25" i="1"/>
  <c r="Z13" i="1"/>
  <c r="AB13" i="1"/>
  <c r="AQ23" i="1"/>
  <c r="W38" i="1"/>
  <c r="W42" i="1" s="1"/>
  <c r="AA25" i="1"/>
  <c r="AQ24" i="1"/>
  <c r="S25" i="1"/>
  <c r="S42" i="1"/>
  <c r="U25" i="1"/>
  <c r="U28" i="1"/>
  <c r="K115" i="4" s="1"/>
  <c r="W25" i="1"/>
  <c r="W28" i="1"/>
  <c r="M115" i="4" s="1"/>
  <c r="X25" i="1"/>
  <c r="Y13" i="1"/>
  <c r="AA13" i="1"/>
  <c r="Y10" i="1"/>
  <c r="AQ21" i="1"/>
  <c r="R25" i="1"/>
  <c r="S13" i="1"/>
  <c r="U13" i="1"/>
  <c r="W13" i="1"/>
  <c r="AQ22" i="1"/>
  <c r="BK19" i="20"/>
  <c r="U10" i="1"/>
  <c r="P13" i="1"/>
  <c r="Q13" i="1"/>
  <c r="O13" i="1"/>
  <c r="N13" i="1"/>
  <c r="E15" i="19" l="1"/>
  <c r="E8" i="19"/>
  <c r="BK12" i="20"/>
  <c r="E48" i="19"/>
  <c r="E59" i="19"/>
  <c r="E13" i="19"/>
  <c r="E11" i="19"/>
  <c r="E55" i="19"/>
  <c r="E46" i="19"/>
  <c r="E26" i="19"/>
  <c r="E22" i="19"/>
  <c r="E24" i="19"/>
  <c r="E35" i="19"/>
  <c r="E52" i="19"/>
  <c r="E19" i="19"/>
  <c r="BK5" i="20"/>
  <c r="E57" i="19"/>
  <c r="E37" i="19"/>
  <c r="E33" i="19"/>
  <c r="E30" i="19"/>
  <c r="E41" i="19"/>
  <c r="O14" i="1"/>
  <c r="AA29" i="1"/>
  <c r="S29" i="1"/>
  <c r="X29" i="1"/>
  <c r="P14" i="1"/>
  <c r="D10" i="19"/>
  <c r="D21" i="19"/>
  <c r="Z29" i="1"/>
  <c r="V29" i="1"/>
  <c r="D54" i="19"/>
  <c r="D32" i="19"/>
  <c r="D43" i="19"/>
  <c r="J14" i="1"/>
  <c r="N14" i="1"/>
  <c r="BK26" i="20"/>
  <c r="BK33" i="20"/>
  <c r="G14" i="1"/>
  <c r="Y29" i="1"/>
  <c r="AB29" i="1"/>
  <c r="W29" i="1"/>
  <c r="R29" i="1"/>
  <c r="T29" i="1"/>
  <c r="AQ10" i="1"/>
  <c r="Q14" i="1"/>
  <c r="AQ13" i="1"/>
  <c r="U29" i="1"/>
  <c r="Q39" i="1"/>
  <c r="AQ39" i="1" s="1"/>
  <c r="P39" i="1"/>
  <c r="O39" i="1"/>
  <c r="Q37" i="1"/>
  <c r="AQ37" i="1" s="1"/>
  <c r="P37" i="1"/>
  <c r="O37" i="1"/>
  <c r="Q36" i="1"/>
  <c r="AQ36" i="1" s="1"/>
  <c r="P36" i="1"/>
  <c r="O36" i="1"/>
  <c r="Q35" i="1"/>
  <c r="AQ35" i="1" s="1"/>
  <c r="P35" i="1"/>
  <c r="O35" i="1"/>
  <c r="Q34" i="1"/>
  <c r="AQ34" i="1" s="1"/>
  <c r="P34" i="1"/>
  <c r="O34" i="1"/>
  <c r="Q33" i="1"/>
  <c r="P33" i="1"/>
  <c r="O33" i="1"/>
  <c r="N39" i="1"/>
  <c r="N37" i="1"/>
  <c r="N36" i="1"/>
  <c r="N35" i="1"/>
  <c r="N34" i="1"/>
  <c r="N33" i="1"/>
  <c r="D30" i="19" l="1"/>
  <c r="D41" i="19"/>
  <c r="D19" i="19"/>
  <c r="D52" i="19"/>
  <c r="Q38" i="1"/>
  <c r="AQ38" i="1" s="1"/>
  <c r="AQ33" i="1"/>
  <c r="O38" i="1"/>
  <c r="P38" i="1"/>
  <c r="L24" i="12"/>
  <c r="K24" i="12"/>
  <c r="J24" i="12"/>
  <c r="I24" i="12"/>
  <c r="H24" i="12"/>
  <c r="F24" i="12"/>
  <c r="E24" i="12"/>
  <c r="D24" i="12"/>
  <c r="C19" i="12" l="1"/>
  <c r="C24" i="12"/>
  <c r="D8" i="19"/>
  <c r="C3" i="12" l="1"/>
  <c r="T14" i="1" l="1"/>
  <c r="S14" i="1" l="1"/>
  <c r="R14" i="1" l="1"/>
  <c r="V14" i="1" l="1"/>
  <c r="U14" i="1"/>
  <c r="W14" i="1"/>
  <c r="Y14" i="1" l="1"/>
  <c r="X14" i="1"/>
  <c r="Z14" i="1" l="1"/>
  <c r="AA14" i="1" l="1"/>
  <c r="AB14" i="1" l="1"/>
  <c r="AQ14" i="1" s="1"/>
  <c r="AI36" i="20" l="1"/>
  <c r="AC36" i="20"/>
  <c r="AD36" i="20" s="1"/>
  <c r="AE36" i="20" s="1"/>
  <c r="AF36" i="20" s="1"/>
  <c r="AG36" i="20" s="1"/>
  <c r="AI34" i="20"/>
  <c r="AE34" i="20"/>
  <c r="AF34" i="20" s="1"/>
  <c r="AG34" i="20" s="1"/>
  <c r="X34" i="20"/>
  <c r="Y34" i="20" s="1"/>
  <c r="U34" i="20"/>
  <c r="V34" i="20" s="1"/>
  <c r="P34" i="20"/>
  <c r="Q34" i="20" s="1"/>
  <c r="R34" i="20" s="1"/>
  <c r="L34" i="20"/>
  <c r="M34" i="20" s="1"/>
  <c r="N34" i="20" s="1"/>
  <c r="J34" i="20"/>
  <c r="BS33" i="20"/>
  <c r="BS37" i="20" s="1"/>
  <c r="AI32" i="20"/>
  <c r="AE32" i="20"/>
  <c r="AF32" i="20" s="1"/>
  <c r="AG32" i="20" s="1"/>
  <c r="X32" i="20"/>
  <c r="Y32" i="20" s="1"/>
  <c r="U32" i="20"/>
  <c r="V32" i="20" s="1"/>
  <c r="P32" i="20"/>
  <c r="Q32" i="20" s="1"/>
  <c r="R32" i="20" s="1"/>
  <c r="L32" i="20"/>
  <c r="M32" i="20" s="1"/>
  <c r="N32" i="20" s="1"/>
  <c r="J32" i="20"/>
  <c r="AI29" i="20"/>
  <c r="AC29" i="20"/>
  <c r="AD29" i="20" s="1"/>
  <c r="AE29" i="20" s="1"/>
  <c r="AF29" i="20" s="1"/>
  <c r="AG29" i="20" s="1"/>
  <c r="AI27" i="20"/>
  <c r="AE27" i="20"/>
  <c r="AF27" i="20" s="1"/>
  <c r="AG27" i="20" s="1"/>
  <c r="X27" i="20"/>
  <c r="Y27" i="20" s="1"/>
  <c r="U27" i="20"/>
  <c r="V27" i="20" s="1"/>
  <c r="P27" i="20"/>
  <c r="Q27" i="20" s="1"/>
  <c r="R27" i="20" s="1"/>
  <c r="L27" i="20"/>
  <c r="M27" i="20" s="1"/>
  <c r="N27" i="20" s="1"/>
  <c r="J27" i="20"/>
  <c r="BS26" i="20"/>
  <c r="BS30" i="20" s="1"/>
  <c r="AI25" i="20"/>
  <c r="AE25" i="20"/>
  <c r="AF25" i="20" s="1"/>
  <c r="AG25" i="20" s="1"/>
  <c r="X25" i="20"/>
  <c r="Y25" i="20" s="1"/>
  <c r="U25" i="20"/>
  <c r="V25" i="20" s="1"/>
  <c r="P25" i="20"/>
  <c r="Q25" i="20" s="1"/>
  <c r="R25" i="20" s="1"/>
  <c r="L25" i="20"/>
  <c r="M25" i="20" s="1"/>
  <c r="N25" i="20" s="1"/>
  <c r="J25" i="20"/>
  <c r="B23" i="20"/>
  <c r="B30" i="20" s="1"/>
  <c r="B37" i="20" s="1"/>
  <c r="AI22" i="20"/>
  <c r="AC22" i="20"/>
  <c r="AD22" i="20" s="1"/>
  <c r="AE22" i="20" s="1"/>
  <c r="AF22" i="20" s="1"/>
  <c r="AG22" i="20" s="1"/>
  <c r="AI20" i="20"/>
  <c r="AE20" i="20"/>
  <c r="AF20" i="20" s="1"/>
  <c r="AG20" i="20" s="1"/>
  <c r="X20" i="20"/>
  <c r="Y20" i="20" s="1"/>
  <c r="U20" i="20"/>
  <c r="V20" i="20" s="1"/>
  <c r="P20" i="20"/>
  <c r="Q20" i="20" s="1"/>
  <c r="R20" i="20" s="1"/>
  <c r="L20" i="20"/>
  <c r="M20" i="20" s="1"/>
  <c r="N20" i="20" s="1"/>
  <c r="J20" i="20"/>
  <c r="BS19" i="20"/>
  <c r="BS23" i="20" s="1"/>
  <c r="AI18" i="20"/>
  <c r="AE18" i="20"/>
  <c r="AF18" i="20" s="1"/>
  <c r="AG18" i="20" s="1"/>
  <c r="X18" i="20"/>
  <c r="Y18" i="20" s="1"/>
  <c r="U18" i="20"/>
  <c r="V18" i="20" s="1"/>
  <c r="P18" i="20"/>
  <c r="Q18" i="20" s="1"/>
  <c r="R18" i="20" s="1"/>
  <c r="L18" i="20"/>
  <c r="M18" i="20" s="1"/>
  <c r="N18" i="20" s="1"/>
  <c r="J18" i="20"/>
  <c r="AI15" i="20"/>
  <c r="AC15" i="20"/>
  <c r="AD15" i="20" s="1"/>
  <c r="AE15" i="20" s="1"/>
  <c r="AF15" i="20" s="1"/>
  <c r="AG15" i="20" s="1"/>
  <c r="BS13" i="20"/>
  <c r="BS16" i="20" s="1"/>
  <c r="AI13" i="20"/>
  <c r="AE13" i="20"/>
  <c r="AF13" i="20" s="1"/>
  <c r="AG13" i="20" s="1"/>
  <c r="X13" i="20"/>
  <c r="Y13" i="20" s="1"/>
  <c r="U13" i="20"/>
  <c r="V13" i="20" s="1"/>
  <c r="P13" i="20"/>
  <c r="Q13" i="20" s="1"/>
  <c r="R13" i="20" s="1"/>
  <c r="L13" i="20"/>
  <c r="M13" i="20" s="1"/>
  <c r="N13" i="20" s="1"/>
  <c r="J13" i="20"/>
  <c r="AI11" i="20"/>
  <c r="AE11" i="20"/>
  <c r="AF11" i="20" s="1"/>
  <c r="AG11" i="20" s="1"/>
  <c r="X11" i="20"/>
  <c r="Y11" i="20" s="1"/>
  <c r="U11" i="20"/>
  <c r="V11" i="20" s="1"/>
  <c r="P11" i="20"/>
  <c r="Q11" i="20" s="1"/>
  <c r="R11" i="20" s="1"/>
  <c r="L11" i="20"/>
  <c r="M11" i="20" s="1"/>
  <c r="N11" i="20" s="1"/>
  <c r="J11" i="20"/>
  <c r="BT9" i="20"/>
  <c r="AI8" i="20"/>
  <c r="AC8" i="20"/>
  <c r="AD8" i="20" s="1"/>
  <c r="AE8" i="20" s="1"/>
  <c r="AF8" i="20" s="1"/>
  <c r="AG8" i="20" s="1"/>
  <c r="BS7" i="20"/>
  <c r="BS9" i="20" s="1"/>
  <c r="AI6" i="20"/>
  <c r="AE6" i="20"/>
  <c r="AF6" i="20" s="1"/>
  <c r="AG6" i="20" s="1"/>
  <c r="X6" i="20"/>
  <c r="Y6" i="20" s="1"/>
  <c r="U6" i="20"/>
  <c r="V6" i="20" s="1"/>
  <c r="P6" i="20"/>
  <c r="Q6" i="20" s="1"/>
  <c r="R6" i="20" s="1"/>
  <c r="L6" i="20"/>
  <c r="M6" i="20" s="1"/>
  <c r="N6" i="20" s="1"/>
  <c r="J6" i="20"/>
  <c r="AI4" i="20"/>
  <c r="AE4" i="20"/>
  <c r="AF4" i="20" s="1"/>
  <c r="AG4" i="20" s="1"/>
  <c r="X4" i="20"/>
  <c r="Y4" i="20" s="1"/>
  <c r="U4" i="20"/>
  <c r="V4" i="20" s="1"/>
  <c r="P4" i="20"/>
  <c r="Q4" i="20" s="1"/>
  <c r="R4" i="20" s="1"/>
  <c r="L4" i="20"/>
  <c r="M4" i="20" s="1"/>
  <c r="N4" i="20" s="1"/>
  <c r="J4" i="20"/>
  <c r="AP19" i="1" l="1"/>
  <c r="Q19" i="1"/>
  <c r="P19" i="1"/>
  <c r="O19" i="1"/>
  <c r="M19" i="1"/>
  <c r="L19" i="1"/>
  <c r="K19" i="1"/>
  <c r="J19" i="1"/>
  <c r="I19" i="1"/>
  <c r="H19" i="1"/>
  <c r="G19" i="1"/>
  <c r="F19" i="1"/>
  <c r="E19" i="1"/>
  <c r="D19" i="1"/>
  <c r="C19" i="1"/>
  <c r="Q18" i="1"/>
  <c r="P18" i="1"/>
  <c r="O18" i="1"/>
  <c r="M18" i="1"/>
  <c r="L18" i="1"/>
  <c r="K18" i="1"/>
  <c r="J18" i="1"/>
  <c r="I18" i="1"/>
  <c r="H18" i="1"/>
  <c r="G18" i="1"/>
  <c r="F18" i="1"/>
  <c r="E18" i="1"/>
  <c r="D18" i="1"/>
  <c r="C18" i="1"/>
  <c r="Q41" i="1"/>
  <c r="AQ41" i="1" s="1"/>
  <c r="E53" i="19"/>
  <c r="E42" i="19"/>
  <c r="E31" i="19"/>
  <c r="E20" i="19"/>
  <c r="Q28" i="1" l="1"/>
  <c r="G115" i="4" s="1"/>
  <c r="Q42" i="1"/>
  <c r="AQ42" i="1" s="1"/>
  <c r="Q25" i="1"/>
  <c r="AQ25" i="1" s="1"/>
  <c r="I53" i="19"/>
  <c r="I31" i="19"/>
  <c r="E9" i="19"/>
  <c r="AQ28" i="1" l="1"/>
  <c r="Q29" i="1"/>
  <c r="AQ29" i="1" s="1"/>
  <c r="I9" i="19"/>
  <c r="I42" i="19"/>
  <c r="I20" i="19"/>
  <c r="E12" i="1" l="1"/>
  <c r="AP12" i="1" s="1"/>
  <c r="D12" i="1"/>
  <c r="C12" i="1"/>
  <c r="E11" i="1"/>
  <c r="D11" i="1"/>
  <c r="C11" i="1"/>
  <c r="E9" i="1"/>
  <c r="AP9" i="1" s="1"/>
  <c r="D9" i="1"/>
  <c r="C9" i="1"/>
  <c r="E8" i="1"/>
  <c r="AP8" i="1" s="1"/>
  <c r="D8" i="1"/>
  <c r="C8" i="1"/>
  <c r="E7" i="1"/>
  <c r="AP7" i="1" s="1"/>
  <c r="D7" i="1"/>
  <c r="C7" i="1"/>
  <c r="E6" i="1"/>
  <c r="AP6" i="1" s="1"/>
  <c r="D6" i="1"/>
  <c r="C6" i="1"/>
  <c r="E5" i="1"/>
  <c r="AP5" i="1" s="1"/>
  <c r="D5" i="1"/>
  <c r="C5" i="1"/>
  <c r="M27" i="1"/>
  <c r="L27" i="1"/>
  <c r="K27" i="1"/>
  <c r="J27" i="1"/>
  <c r="I27" i="1"/>
  <c r="H27" i="1"/>
  <c r="G27" i="1"/>
  <c r="F27" i="1"/>
  <c r="E27" i="1"/>
  <c r="D27" i="1"/>
  <c r="C27" i="1"/>
  <c r="M26" i="1"/>
  <c r="L26" i="1"/>
  <c r="K26" i="1"/>
  <c r="J26" i="1"/>
  <c r="I26" i="1"/>
  <c r="H26" i="1"/>
  <c r="G26" i="1"/>
  <c r="F26" i="1"/>
  <c r="E26" i="1"/>
  <c r="D26" i="1"/>
  <c r="C26" i="1"/>
  <c r="M24" i="1"/>
  <c r="C114" i="4" s="1"/>
  <c r="L24" i="1"/>
  <c r="K24" i="1"/>
  <c r="J24" i="1"/>
  <c r="I24" i="1"/>
  <c r="H24" i="1"/>
  <c r="G24" i="1"/>
  <c r="F24" i="1"/>
  <c r="E24" i="1"/>
  <c r="D24" i="1"/>
  <c r="C24" i="1"/>
  <c r="M23" i="1"/>
  <c r="C113" i="4" s="1"/>
  <c r="L23" i="1"/>
  <c r="K23" i="1"/>
  <c r="J23" i="1"/>
  <c r="I23" i="1"/>
  <c r="H23" i="1"/>
  <c r="G23" i="1"/>
  <c r="F23" i="1"/>
  <c r="E23" i="1"/>
  <c r="D23" i="1"/>
  <c r="C23" i="1"/>
  <c r="M22" i="1"/>
  <c r="C112" i="4" s="1"/>
  <c r="L22" i="1"/>
  <c r="K22" i="1"/>
  <c r="J22" i="1"/>
  <c r="I22" i="1"/>
  <c r="H22" i="1"/>
  <c r="G22" i="1"/>
  <c r="F22" i="1"/>
  <c r="E22" i="1"/>
  <c r="D22" i="1"/>
  <c r="C22" i="1"/>
  <c r="M21" i="1"/>
  <c r="C111" i="4" s="1"/>
  <c r="L21" i="1"/>
  <c r="K21" i="1"/>
  <c r="J21" i="1"/>
  <c r="I21" i="1"/>
  <c r="H21" i="1"/>
  <c r="G21" i="1"/>
  <c r="F21" i="1"/>
  <c r="E21" i="1"/>
  <c r="D21" i="1"/>
  <c r="C21" i="1"/>
  <c r="M20" i="1"/>
  <c r="L20" i="1"/>
  <c r="K20" i="1"/>
  <c r="J20" i="1"/>
  <c r="I20" i="1"/>
  <c r="H20" i="1"/>
  <c r="G20" i="1"/>
  <c r="F20" i="1"/>
  <c r="E20" i="1"/>
  <c r="D20" i="1"/>
  <c r="C20" i="1"/>
  <c r="P41" i="1"/>
  <c r="O41" i="1"/>
  <c r="N41" i="1"/>
  <c r="M39" i="1"/>
  <c r="M41" i="1" s="1"/>
  <c r="L39" i="1"/>
  <c r="L41" i="1" s="1"/>
  <c r="K39" i="1"/>
  <c r="K41" i="1" s="1"/>
  <c r="J39" i="1"/>
  <c r="J41" i="1" s="1"/>
  <c r="I39" i="1"/>
  <c r="I41" i="1" s="1"/>
  <c r="H39" i="1"/>
  <c r="H41" i="1" s="1"/>
  <c r="G39" i="1"/>
  <c r="G41" i="1" s="1"/>
  <c r="F39" i="1"/>
  <c r="F41" i="1" s="1"/>
  <c r="E39" i="1"/>
  <c r="D39" i="1"/>
  <c r="D41" i="1" s="1"/>
  <c r="C39" i="1"/>
  <c r="C41" i="1" s="1"/>
  <c r="M37" i="1"/>
  <c r="L37" i="1"/>
  <c r="K37" i="1"/>
  <c r="J37" i="1"/>
  <c r="I37" i="1"/>
  <c r="H37" i="1"/>
  <c r="G37" i="1"/>
  <c r="F37" i="1"/>
  <c r="E37" i="1"/>
  <c r="D37" i="1"/>
  <c r="C37" i="1"/>
  <c r="M36" i="1"/>
  <c r="L36" i="1"/>
  <c r="K36" i="1"/>
  <c r="J36" i="1"/>
  <c r="I36" i="1"/>
  <c r="H36" i="1"/>
  <c r="G36" i="1"/>
  <c r="F36" i="1"/>
  <c r="E36" i="1"/>
  <c r="D36" i="1"/>
  <c r="C36" i="1"/>
  <c r="M35" i="1"/>
  <c r="L35" i="1"/>
  <c r="K35" i="1"/>
  <c r="J35" i="1"/>
  <c r="I35" i="1"/>
  <c r="H35" i="1"/>
  <c r="G35" i="1"/>
  <c r="F35" i="1"/>
  <c r="E35" i="1"/>
  <c r="D35" i="1"/>
  <c r="C35" i="1"/>
  <c r="M34" i="1"/>
  <c r="L34" i="1"/>
  <c r="K34" i="1"/>
  <c r="J34" i="1"/>
  <c r="I34" i="1"/>
  <c r="H34" i="1"/>
  <c r="G34" i="1"/>
  <c r="F34" i="1"/>
  <c r="E34" i="1"/>
  <c r="D34" i="1"/>
  <c r="C34" i="1"/>
  <c r="M33" i="1"/>
  <c r="L33" i="1"/>
  <c r="K33" i="1"/>
  <c r="J33" i="1"/>
  <c r="I33" i="1"/>
  <c r="H33" i="1"/>
  <c r="G33" i="1"/>
  <c r="F33" i="1"/>
  <c r="E33" i="1"/>
  <c r="D33" i="1"/>
  <c r="C33" i="1"/>
  <c r="B39" i="1"/>
  <c r="B41" i="1" s="1"/>
  <c r="B37" i="1"/>
  <c r="B36" i="1"/>
  <c r="B35" i="1"/>
  <c r="B34" i="1"/>
  <c r="B33" i="1"/>
  <c r="B27" i="1"/>
  <c r="B26" i="1"/>
  <c r="B24" i="1"/>
  <c r="B23" i="1"/>
  <c r="B22" i="1"/>
  <c r="B21" i="1"/>
  <c r="B20" i="1"/>
  <c r="B12" i="1"/>
  <c r="B11" i="1"/>
  <c r="B9" i="1"/>
  <c r="B8" i="1"/>
  <c r="B7" i="1"/>
  <c r="B6" i="1"/>
  <c r="B5" i="1"/>
  <c r="B19" i="1"/>
  <c r="B18" i="1"/>
  <c r="AP39" i="1" l="1"/>
  <c r="AP33" i="1"/>
  <c r="AP37" i="1"/>
  <c r="AP36" i="1"/>
  <c r="AP35" i="1"/>
  <c r="AP34" i="1"/>
  <c r="F38" i="1"/>
  <c r="F42" i="1" s="1"/>
  <c r="J38" i="1"/>
  <c r="J42" i="1" s="1"/>
  <c r="N38" i="1"/>
  <c r="N42" i="1" s="1"/>
  <c r="B13" i="1"/>
  <c r="B10" i="1"/>
  <c r="B38" i="1"/>
  <c r="F25" i="1"/>
  <c r="J25" i="1"/>
  <c r="N25" i="1"/>
  <c r="H28" i="1"/>
  <c r="L28" i="1"/>
  <c r="P28" i="1"/>
  <c r="F115" i="4" s="1"/>
  <c r="D10" i="1"/>
  <c r="B28" i="1"/>
  <c r="D28" i="1"/>
  <c r="G25" i="1"/>
  <c r="K25" i="1"/>
  <c r="O25" i="1"/>
  <c r="I25" i="1"/>
  <c r="M25" i="1"/>
  <c r="I28" i="1"/>
  <c r="M28" i="1"/>
  <c r="C115" i="4" s="1"/>
  <c r="C13" i="1"/>
  <c r="E41" i="1"/>
  <c r="AP41" i="1" s="1"/>
  <c r="C25" i="1"/>
  <c r="E25" i="1"/>
  <c r="AP21" i="1"/>
  <c r="AP23" i="1"/>
  <c r="E28" i="1"/>
  <c r="AP26" i="1"/>
  <c r="B25" i="1"/>
  <c r="D38" i="1"/>
  <c r="D42" i="1" s="1"/>
  <c r="H38" i="1"/>
  <c r="H42" i="1" s="1"/>
  <c r="L38" i="1"/>
  <c r="L42" i="1" s="1"/>
  <c r="P42" i="1"/>
  <c r="D25" i="1"/>
  <c r="H25" i="1"/>
  <c r="L25" i="1"/>
  <c r="P25" i="1"/>
  <c r="F28" i="1"/>
  <c r="J28" i="1"/>
  <c r="J29" i="1" s="1"/>
  <c r="N28" i="1"/>
  <c r="D115" i="4" s="1"/>
  <c r="D13" i="1"/>
  <c r="E38" i="1"/>
  <c r="I38" i="1"/>
  <c r="I42" i="1" s="1"/>
  <c r="M38" i="1"/>
  <c r="M42" i="1" s="1"/>
  <c r="C38" i="1"/>
  <c r="C42" i="1" s="1"/>
  <c r="G38" i="1"/>
  <c r="G42" i="1" s="1"/>
  <c r="K38" i="1"/>
  <c r="K42" i="1" s="1"/>
  <c r="O42" i="1"/>
  <c r="AP20" i="1"/>
  <c r="AP22" i="1"/>
  <c r="AP24" i="1"/>
  <c r="C28" i="1"/>
  <c r="G28" i="1"/>
  <c r="K28" i="1"/>
  <c r="O28" i="1"/>
  <c r="E115" i="4" s="1"/>
  <c r="AP27" i="1"/>
  <c r="C10" i="1"/>
  <c r="E10" i="1"/>
  <c r="AP10" i="1" s="1"/>
  <c r="E13" i="1"/>
  <c r="AP13" i="1" s="1"/>
  <c r="AP11" i="1"/>
  <c r="B42" i="1"/>
  <c r="E9" i="4"/>
  <c r="E10" i="4" s="1"/>
  <c r="E11" i="4" s="1"/>
  <c r="E12" i="4" s="1"/>
  <c r="E13" i="4" s="1"/>
  <c r="E14" i="4" s="1"/>
  <c r="E15" i="4" s="1"/>
  <c r="E16" i="4" s="1"/>
  <c r="E17" i="4" s="1"/>
  <c r="E18" i="4" s="1"/>
  <c r="E19" i="4" s="1"/>
  <c r="E20" i="4" s="1"/>
  <c r="E21" i="4" s="1"/>
  <c r="E22" i="4" s="1"/>
  <c r="E23" i="4" s="1"/>
  <c r="E24" i="4" s="1"/>
  <c r="E25" i="4" s="1"/>
  <c r="E26" i="4" s="1"/>
  <c r="P29" i="1" l="1"/>
  <c r="K29" i="1"/>
  <c r="H29" i="1"/>
  <c r="E42" i="1"/>
  <c r="AP42" i="1" s="1"/>
  <c r="AP38" i="1"/>
  <c r="B29" i="1"/>
  <c r="B14" i="1"/>
  <c r="N29" i="1"/>
  <c r="L29" i="1"/>
  <c r="I29" i="1"/>
  <c r="G29" i="1"/>
  <c r="D14" i="1"/>
  <c r="C14" i="1"/>
  <c r="D29" i="1"/>
  <c r="C29" i="1"/>
  <c r="F29" i="1"/>
  <c r="F11" i="19"/>
  <c r="F19" i="19"/>
  <c r="F24" i="19"/>
  <c r="J24" i="19"/>
  <c r="J19" i="19"/>
  <c r="O29" i="1"/>
  <c r="F57" i="19"/>
  <c r="F52" i="19"/>
  <c r="J52" i="19"/>
  <c r="J57" i="19"/>
  <c r="F13" i="19"/>
  <c r="F8" i="19"/>
  <c r="J13" i="19"/>
  <c r="J8" i="19"/>
  <c r="F30" i="19"/>
  <c r="J35" i="19"/>
  <c r="F35" i="19"/>
  <c r="J30" i="19"/>
  <c r="F41" i="19"/>
  <c r="J46" i="19"/>
  <c r="F46" i="19"/>
  <c r="J41" i="19"/>
  <c r="M29" i="1"/>
  <c r="E29" i="1"/>
  <c r="AP25" i="1"/>
  <c r="AP28" i="1"/>
  <c r="E14" i="1"/>
  <c r="AP14" i="1" s="1"/>
  <c r="F10" i="19" l="1"/>
  <c r="F12" i="19" s="1"/>
  <c r="F15" i="19"/>
  <c r="J10" i="19"/>
  <c r="J11" i="19"/>
  <c r="AP29" i="1"/>
  <c r="F63" i="19"/>
  <c r="F72" i="19"/>
  <c r="K41" i="19"/>
  <c r="K30" i="19"/>
  <c r="F55" i="19"/>
  <c r="D66" i="19"/>
  <c r="F59" i="19"/>
  <c r="J54" i="19"/>
  <c r="J55" i="19"/>
  <c r="F54" i="19"/>
  <c r="K8" i="19"/>
  <c r="J68" i="19"/>
  <c r="K57" i="19"/>
  <c r="K46" i="19"/>
  <c r="K35" i="19"/>
  <c r="K13" i="19"/>
  <c r="J72" i="19"/>
  <c r="J63" i="19"/>
  <c r="K52" i="19"/>
  <c r="K19" i="19"/>
  <c r="J33" i="19"/>
  <c r="F37" i="19"/>
  <c r="F32" i="19"/>
  <c r="F33" i="19"/>
  <c r="J32" i="19"/>
  <c r="F26" i="19"/>
  <c r="F21" i="19"/>
  <c r="F22" i="19"/>
  <c r="J22" i="19"/>
  <c r="J21" i="19"/>
  <c r="F68" i="19"/>
  <c r="F48" i="19"/>
  <c r="F43" i="19"/>
  <c r="F44" i="19"/>
  <c r="J43" i="19"/>
  <c r="J44" i="19"/>
  <c r="K24" i="19"/>
  <c r="F56" i="19" l="1"/>
  <c r="F58" i="19" s="1"/>
  <c r="F60" i="19" s="1"/>
  <c r="K10" i="19"/>
  <c r="J12" i="19"/>
  <c r="J14" i="19" s="1"/>
  <c r="K11" i="19"/>
  <c r="K32" i="19"/>
  <c r="F23" i="19"/>
  <c r="F25" i="19" s="1"/>
  <c r="F27" i="19" s="1"/>
  <c r="J34" i="19"/>
  <c r="J36" i="19" s="1"/>
  <c r="K33" i="19"/>
  <c r="K54" i="19"/>
  <c r="K72" i="19"/>
  <c r="K44" i="19"/>
  <c r="K43" i="19"/>
  <c r="K22" i="19"/>
  <c r="K63" i="19"/>
  <c r="F70" i="19"/>
  <c r="F45" i="19"/>
  <c r="F47" i="19" s="1"/>
  <c r="F49" i="19" s="1"/>
  <c r="F69" i="19"/>
  <c r="J69" i="19"/>
  <c r="K21" i="19"/>
  <c r="J23" i="19"/>
  <c r="J56" i="19"/>
  <c r="F65" i="19"/>
  <c r="F14" i="19"/>
  <c r="F34" i="19"/>
  <c r="F36" i="19" s="1"/>
  <c r="F38" i="19" s="1"/>
  <c r="F75" i="19"/>
  <c r="J70" i="19"/>
  <c r="K68" i="19"/>
  <c r="K55" i="19"/>
  <c r="J45" i="19"/>
  <c r="K12" i="19" l="1"/>
  <c r="F71" i="19"/>
  <c r="F73" i="19" s="1"/>
  <c r="F76" i="19" s="1"/>
  <c r="K69" i="19"/>
  <c r="K70" i="19"/>
  <c r="J71" i="19"/>
  <c r="F62" i="19"/>
  <c r="K45" i="19"/>
  <c r="J47" i="19"/>
  <c r="F16" i="19"/>
  <c r="F66" i="19" s="1"/>
  <c r="F64" i="19"/>
  <c r="K56" i="19"/>
  <c r="J58" i="19"/>
  <c r="K23" i="19"/>
  <c r="J25" i="19"/>
  <c r="K34" i="19"/>
  <c r="J62" i="19"/>
  <c r="I25" i="11"/>
  <c r="J64" i="19" l="1"/>
  <c r="K64" i="19" s="1"/>
  <c r="K62" i="19"/>
  <c r="J73" i="19"/>
  <c r="K73" i="19" s="1"/>
  <c r="K71" i="19"/>
  <c r="I24" i="11" l="1"/>
  <c r="I26" i="11"/>
  <c r="I29" i="11"/>
  <c r="F27" i="11"/>
  <c r="H27" i="11"/>
  <c r="G27" i="11"/>
  <c r="H32" i="11"/>
  <c r="H36" i="11" s="1"/>
  <c r="G32" i="11"/>
  <c r="G36" i="11" s="1"/>
  <c r="I31" i="11"/>
  <c r="I30" i="11"/>
  <c r="F34" i="11" l="1"/>
  <c r="D73" i="4" s="1"/>
  <c r="G34" i="11"/>
  <c r="D74" i="4" s="1"/>
  <c r="H74" i="4" s="1"/>
  <c r="I74" i="4" s="1"/>
  <c r="I32" i="11"/>
  <c r="H34" i="11"/>
  <c r="D75" i="4" s="1"/>
  <c r="I27" i="11"/>
  <c r="I34" i="11" s="1"/>
  <c r="H73" i="4" l="1"/>
  <c r="I73" i="4" s="1"/>
  <c r="J73" i="4" s="1"/>
  <c r="J74" i="4" s="1"/>
  <c r="D78" i="4"/>
  <c r="E27" i="4"/>
  <c r="E28" i="4" l="1"/>
  <c r="E29" i="4" s="1"/>
  <c r="E30" i="4" s="1"/>
  <c r="E31" i="4" l="1"/>
  <c r="E32" i="4" s="1"/>
  <c r="E33" i="4" s="1"/>
  <c r="E34" i="4" s="1"/>
  <c r="E35" i="4" s="1"/>
  <c r="E36" i="4" s="1"/>
  <c r="E37" i="4" s="1"/>
  <c r="E38" i="4" s="1"/>
  <c r="E39" i="4" s="1"/>
  <c r="E40" i="4" s="1"/>
  <c r="E41" i="4" s="1"/>
  <c r="E42" i="4" s="1"/>
  <c r="E43" i="4" s="1"/>
  <c r="E44" i="4" s="1"/>
  <c r="E45" i="4" s="1"/>
  <c r="E46" i="4" s="1"/>
  <c r="E47" i="4" s="1"/>
  <c r="E48" i="4" s="1"/>
  <c r="E49" i="4" s="1"/>
  <c r="E50" i="4" s="1"/>
  <c r="E51" i="4" s="1"/>
  <c r="E52" i="4" s="1"/>
  <c r="E53" i="4" s="1"/>
  <c r="E54" i="4" s="1"/>
  <c r="E55" i="4" s="1"/>
  <c r="E56" i="4" s="1"/>
  <c r="E57" i="4" s="1"/>
  <c r="E58" i="4" s="1"/>
  <c r="E59" i="4" s="1"/>
  <c r="E60" i="4" s="1"/>
  <c r="E61" i="4" s="1"/>
  <c r="E62" i="4" s="1"/>
  <c r="E64" i="4" s="1"/>
  <c r="E65" i="4" s="1"/>
  <c r="E66" i="4" s="1"/>
  <c r="B18" i="2" l="1"/>
  <c r="B19" i="2" l="1"/>
  <c r="B20" i="2" s="1"/>
  <c r="C8" i="2" l="1"/>
  <c r="C11" i="2"/>
  <c r="C9" i="2"/>
  <c r="C13" i="2"/>
  <c r="D11" i="2"/>
  <c r="D9" i="2"/>
  <c r="D10" i="2"/>
  <c r="C12" i="2"/>
  <c r="D12" i="2"/>
  <c r="C10" i="2"/>
  <c r="D13" i="2"/>
  <c r="D8" i="2" l="1"/>
  <c r="D14" i="2" s="1"/>
  <c r="C14" i="2"/>
  <c r="B11" i="2" l="1"/>
  <c r="E11" i="2" s="1"/>
  <c r="F11" i="2" s="1"/>
  <c r="G11" i="2" s="1"/>
  <c r="B12" i="2"/>
  <c r="E12" i="2" s="1"/>
  <c r="F12" i="2" s="1"/>
  <c r="G12" i="2" s="1"/>
  <c r="B9" i="2"/>
  <c r="E9" i="2" s="1"/>
  <c r="F9" i="2" s="1"/>
  <c r="G9" i="2" s="1"/>
  <c r="B8" i="2"/>
  <c r="B10" i="2"/>
  <c r="E10" i="2" s="1"/>
  <c r="F10" i="2" s="1"/>
  <c r="G10" i="2" s="1"/>
  <c r="B13" i="2"/>
  <c r="E13" i="2" s="1"/>
  <c r="F13" i="2" s="1"/>
  <c r="G13" i="2" s="1"/>
  <c r="H11" i="2" l="1"/>
  <c r="L11" i="2"/>
  <c r="H13" i="2"/>
  <c r="L13" i="2"/>
  <c r="H12" i="2"/>
  <c r="L12" i="2"/>
  <c r="H9" i="2"/>
  <c r="L9" i="2"/>
  <c r="H10" i="2"/>
  <c r="L10" i="2"/>
  <c r="E8" i="2"/>
  <c r="B14" i="2"/>
  <c r="E14" i="2" l="1"/>
  <c r="F14" i="2" s="1"/>
  <c r="G14" i="2" s="1"/>
  <c r="F8" i="2"/>
  <c r="G8" i="2" s="1"/>
  <c r="H8" i="2" l="1"/>
  <c r="H14" i="2" s="1"/>
  <c r="L8" i="2"/>
  <c r="I13" i="2" l="1"/>
  <c r="I9" i="2"/>
  <c r="I12" i="2"/>
  <c r="I10" i="2"/>
  <c r="I11" i="2"/>
  <c r="I8" i="2"/>
  <c r="AL13" i="1" l="1"/>
  <c r="AK13" i="1"/>
  <c r="AM13" i="1"/>
  <c r="AE13" i="1"/>
  <c r="AE28" i="1"/>
  <c r="AF28" i="1"/>
  <c r="AF13" i="1"/>
  <c r="AI13" i="1"/>
  <c r="AN10" i="1"/>
  <c r="AE25" i="1"/>
  <c r="AH13" i="1"/>
  <c r="AJ13" i="1"/>
  <c r="AG13" i="1"/>
  <c r="AF38" i="1"/>
  <c r="AF42" i="1" s="1"/>
  <c r="AJ28" i="1"/>
  <c r="AL10" i="1"/>
  <c r="AM38" i="1"/>
  <c r="AM42" i="1" s="1"/>
  <c r="AK28" i="1"/>
  <c r="AE29" i="1" l="1"/>
  <c r="AH38" i="1"/>
  <c r="AH42" i="1" s="1"/>
  <c r="AL38" i="1"/>
  <c r="AL42" i="1" s="1"/>
  <c r="AH10" i="1"/>
  <c r="AH14" i="1" s="1"/>
  <c r="AF25" i="1"/>
  <c r="AF29" i="1" s="1"/>
  <c r="AR24" i="1"/>
  <c r="AD25" i="1"/>
  <c r="AN38" i="1"/>
  <c r="AN42" i="1" s="1"/>
  <c r="AJ38" i="1"/>
  <c r="AJ42" i="1" s="1"/>
  <c r="AG10" i="1"/>
  <c r="AG14" i="1" s="1"/>
  <c r="AR9" i="1"/>
  <c r="AD10" i="1"/>
  <c r="AR33" i="1"/>
  <c r="AC38" i="1"/>
  <c r="AI38" i="1"/>
  <c r="AI42" i="1" s="1"/>
  <c r="AD38" i="1"/>
  <c r="AD42" i="1" s="1"/>
  <c r="AJ25" i="1"/>
  <c r="AJ29" i="1" s="1"/>
  <c r="AI10" i="1"/>
  <c r="AI14" i="1" s="1"/>
  <c r="AE10" i="1"/>
  <c r="AE14" i="1" s="1"/>
  <c r="AG38" i="1"/>
  <c r="AG42" i="1" s="1"/>
  <c r="AF10" i="1"/>
  <c r="AF14" i="1" s="1"/>
  <c r="AJ10" i="1"/>
  <c r="AJ14" i="1" s="1"/>
  <c r="AR21" i="1"/>
  <c r="S111" i="4"/>
  <c r="AR23" i="1"/>
  <c r="S113" i="4"/>
  <c r="AR37" i="1"/>
  <c r="AK10" i="1"/>
  <c r="AK14" i="1" s="1"/>
  <c r="AM28" i="1"/>
  <c r="AR7" i="1"/>
  <c r="AI28" i="1"/>
  <c r="AK25" i="1"/>
  <c r="AK29" i="1" s="1"/>
  <c r="AN25" i="1"/>
  <c r="AR22" i="1"/>
  <c r="S112" i="4"/>
  <c r="AG25" i="1"/>
  <c r="AL14" i="1"/>
  <c r="AR8" i="1"/>
  <c r="AM10" i="1"/>
  <c r="AM14" i="1" s="1"/>
  <c r="AR34" i="1"/>
  <c r="AM25" i="1"/>
  <c r="AH28" i="1"/>
  <c r="AG28" i="1"/>
  <c r="AR5" i="1"/>
  <c r="AC10" i="1"/>
  <c r="AK38" i="1"/>
  <c r="AK42" i="1" s="1"/>
  <c r="AR6" i="1"/>
  <c r="AH25" i="1"/>
  <c r="AR35" i="1"/>
  <c r="AE38" i="1"/>
  <c r="AE42" i="1" s="1"/>
  <c r="AL25" i="1"/>
  <c r="AR36" i="1"/>
  <c r="AR20" i="1"/>
  <c r="AC25" i="1"/>
  <c r="AL28" i="1"/>
  <c r="AI25" i="1"/>
  <c r="L10" i="31" l="1"/>
  <c r="B9" i="31"/>
  <c r="B12" i="31"/>
  <c r="B7" i="31"/>
  <c r="L7" i="31"/>
  <c r="L11" i="31"/>
  <c r="L12" i="31"/>
  <c r="L9" i="31"/>
  <c r="B10" i="31"/>
  <c r="B11" i="31"/>
  <c r="AM29" i="1"/>
  <c r="AI29" i="1"/>
  <c r="AL29" i="1"/>
  <c r="AR25" i="1"/>
  <c r="C5" i="12"/>
  <c r="AR10" i="1"/>
  <c r="AG29" i="1"/>
  <c r="AH29" i="1"/>
  <c r="AR38" i="1"/>
  <c r="AC42" i="1"/>
  <c r="AR42" i="1" s="1"/>
  <c r="M7" i="31" l="1"/>
  <c r="N7" i="31" s="1"/>
  <c r="D7" i="31"/>
  <c r="M12" i="31"/>
  <c r="N12" i="31" s="1"/>
  <c r="D12" i="31"/>
  <c r="D11" i="31"/>
  <c r="M11" i="31"/>
  <c r="N11" i="31" s="1"/>
  <c r="D9" i="31"/>
  <c r="M9" i="31"/>
  <c r="N9" i="31" s="1"/>
  <c r="M10" i="31"/>
  <c r="N10" i="31" s="1"/>
  <c r="D10" i="31"/>
  <c r="C6" i="12"/>
  <c r="A108" i="4" s="1"/>
  <c r="A107" i="4"/>
  <c r="Q109" i="4" l="1"/>
  <c r="M109" i="4"/>
  <c r="I109" i="4"/>
  <c r="E109" i="4"/>
  <c r="R109" i="4"/>
  <c r="N109" i="4"/>
  <c r="J109" i="4"/>
  <c r="F109" i="4"/>
  <c r="L109" i="4"/>
  <c r="K109" i="4"/>
  <c r="O109" i="4"/>
  <c r="P109" i="4"/>
  <c r="C109" i="4"/>
  <c r="G109" i="4"/>
  <c r="D109" i="4"/>
  <c r="H109" i="4"/>
  <c r="R110" i="4"/>
  <c r="P110" i="4"/>
  <c r="D110" i="4"/>
  <c r="E110" i="4"/>
  <c r="E116" i="4" s="1"/>
  <c r="H110" i="4"/>
  <c r="I110" i="4"/>
  <c r="J110" i="4"/>
  <c r="L110" i="4"/>
  <c r="O110" i="4"/>
  <c r="N110" i="4"/>
  <c r="Q110" i="4"/>
  <c r="C110" i="4"/>
  <c r="G110" i="4"/>
  <c r="K110" i="4"/>
  <c r="F110" i="4"/>
  <c r="M110" i="4"/>
  <c r="M116" i="4" s="1"/>
  <c r="S109" i="4"/>
  <c r="S110" i="4"/>
  <c r="L116" i="4" l="1"/>
  <c r="G116" i="4"/>
  <c r="K116" i="4"/>
  <c r="Q116" i="4"/>
  <c r="Q123" i="4" s="1"/>
  <c r="N116" i="4"/>
  <c r="D116" i="4"/>
  <c r="I116" i="4"/>
  <c r="F116" i="4"/>
  <c r="H116" i="4"/>
  <c r="C116" i="4"/>
  <c r="J116" i="4"/>
  <c r="P116" i="4"/>
  <c r="P123" i="4" s="1"/>
  <c r="S120" i="4"/>
  <c r="C67" i="4"/>
  <c r="O116" i="4"/>
  <c r="O123" i="4" s="1"/>
  <c r="R116" i="4"/>
  <c r="R123" i="4" s="1"/>
  <c r="AD28" i="1"/>
  <c r="AD29" i="1" s="1"/>
  <c r="AR26" i="1"/>
  <c r="AR27" i="1"/>
  <c r="AC28" i="1"/>
  <c r="C76" i="4" l="1"/>
  <c r="C68" i="4"/>
  <c r="F67" i="4"/>
  <c r="E75" i="4" s="1"/>
  <c r="E78" i="4" s="1"/>
  <c r="G67" i="4"/>
  <c r="F75" i="4" s="1"/>
  <c r="F78" i="4" s="1"/>
  <c r="AR12" i="1"/>
  <c r="AD13" i="1"/>
  <c r="AD14" i="1" s="1"/>
  <c r="S116" i="4"/>
  <c r="S123" i="4" s="1"/>
  <c r="AC29" i="1"/>
  <c r="AN28" i="1"/>
  <c r="AN29" i="1" s="1"/>
  <c r="AC13" i="1"/>
  <c r="H75" i="4" l="1"/>
  <c r="I75" i="4" s="1"/>
  <c r="J75" i="4" s="1"/>
  <c r="I76" i="4"/>
  <c r="C78" i="4"/>
  <c r="AC14" i="1"/>
  <c r="AR28" i="1"/>
  <c r="AR29" i="1"/>
  <c r="B13" i="31" l="1"/>
  <c r="H78" i="4"/>
  <c r="I78" i="4" s="1"/>
  <c r="J76" i="4"/>
  <c r="AN13" i="1"/>
  <c r="AR11" i="1"/>
  <c r="D13" i="31" l="1"/>
  <c r="M13" i="31"/>
  <c r="N13" i="31" s="1"/>
  <c r="B14" i="31"/>
  <c r="C14" i="31" s="1"/>
  <c r="C19" i="31"/>
  <c r="AN14" i="1"/>
  <c r="AR14" i="1" s="1"/>
  <c r="AR13" i="1"/>
  <c r="K23" i="31" l="1"/>
  <c r="C20" i="31"/>
  <c r="D14" i="31"/>
  <c r="C22" i="31" l="1"/>
  <c r="E8" i="31"/>
  <c r="E12" i="31"/>
  <c r="E9" i="31"/>
  <c r="E7" i="31"/>
  <c r="E11" i="31"/>
  <c r="E10" i="31"/>
  <c r="E13" i="31"/>
  <c r="C23" i="31" l="1"/>
  <c r="K24" i="31"/>
  <c r="K26" i="31" s="1"/>
  <c r="E14" i="31"/>
  <c r="C25" i="31" l="1"/>
  <c r="C27" i="31" s="1"/>
  <c r="C29" i="31" s="1"/>
  <c r="K29" i="31"/>
  <c r="F11" i="31" l="1"/>
  <c r="G11" i="31" s="1"/>
  <c r="H11" i="31" s="1"/>
  <c r="BM28" i="20" s="1"/>
  <c r="I48" i="19" s="1"/>
  <c r="J48" i="19" s="1"/>
  <c r="J49" i="19" l="1"/>
  <c r="K49" i="19" s="1"/>
  <c r="K48" i="19"/>
  <c r="F8" i="31"/>
  <c r="G8" i="31" s="1"/>
  <c r="H8" i="31" s="1"/>
  <c r="F13" i="31"/>
  <c r="G13" i="31" s="1"/>
  <c r="H13" i="31" s="1"/>
  <c r="I13" i="31" s="1"/>
  <c r="F10" i="31"/>
  <c r="G10" i="31" s="1"/>
  <c r="H10" i="31" s="1"/>
  <c r="F12" i="31"/>
  <c r="G12" i="31" s="1"/>
  <c r="H12" i="31" s="1"/>
  <c r="F7" i="31"/>
  <c r="G7" i="31" s="1"/>
  <c r="H7" i="31" s="1"/>
  <c r="BM7" i="20" s="1"/>
  <c r="I15" i="19" s="1"/>
  <c r="J15" i="19" s="1"/>
  <c r="F9" i="31"/>
  <c r="G9" i="31" s="1"/>
  <c r="H9" i="31" s="1"/>
  <c r="O11" i="31"/>
  <c r="P11" i="31" s="1"/>
  <c r="Q11" i="31" s="1"/>
  <c r="I11" i="31"/>
  <c r="K15" i="19" l="1"/>
  <c r="J16" i="19"/>
  <c r="O9" i="31"/>
  <c r="P9" i="31" s="1"/>
  <c r="Q9" i="31" s="1"/>
  <c r="BM14" i="20"/>
  <c r="I26" i="19" s="1"/>
  <c r="J26" i="19" s="1"/>
  <c r="I12" i="31"/>
  <c r="BM35" i="20"/>
  <c r="I59" i="19" s="1"/>
  <c r="J59" i="19" s="1"/>
  <c r="O10" i="31"/>
  <c r="P10" i="31" s="1"/>
  <c r="Q10" i="31" s="1"/>
  <c r="BM21" i="20"/>
  <c r="I37" i="19" s="1"/>
  <c r="J37" i="19" s="1"/>
  <c r="O13" i="31"/>
  <c r="P13" i="31" s="1"/>
  <c r="Q13" i="31" s="1"/>
  <c r="I8" i="31"/>
  <c r="O8" i="31"/>
  <c r="P8" i="31" s="1"/>
  <c r="Q8" i="31" s="1"/>
  <c r="I10" i="31"/>
  <c r="I9" i="31"/>
  <c r="F14" i="31"/>
  <c r="G14" i="31" s="1"/>
  <c r="O12" i="31"/>
  <c r="P12" i="31" s="1"/>
  <c r="Q12" i="31" s="1"/>
  <c r="H14" i="31"/>
  <c r="I14" i="31" s="1"/>
  <c r="I7" i="31"/>
  <c r="O7" i="31"/>
  <c r="P7" i="31" s="1"/>
  <c r="Q7" i="31" s="1"/>
  <c r="K59" i="19" l="1"/>
  <c r="J60" i="19"/>
  <c r="K60" i="19" s="1"/>
  <c r="K26" i="19"/>
  <c r="J27" i="19"/>
  <c r="K27" i="19" s="1"/>
  <c r="J65" i="19"/>
  <c r="K65" i="19" s="1"/>
  <c r="K16" i="19"/>
  <c r="J66" i="19"/>
  <c r="K37" i="19"/>
  <c r="J38" i="19"/>
  <c r="K38" i="19" s="1"/>
  <c r="J75" i="19"/>
  <c r="K75" i="19" l="1"/>
  <c r="J76" i="19"/>
  <c r="K76" i="19"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tc={BB06ADF9-7EC5-4EA8-B73B-90A1168074AE}</author>
  </authors>
  <commentList>
    <comment ref="C25" authorId="0" shapeId="0" xr:uid="{BB06ADF9-7EC5-4EA8-B73B-90A1168074AE}">
      <text>
        <t>[Threaded comment]
Your version of Excel allows you to read this threaded comment; however, any edits to it will get removed if the file is opened in a newer version of Excel. Learn more: https://go.microsoft.com/fwlink/?linkid=870924
Comment:
    Amount financed divided by the PUC approved 15 years.  Once the full carrying costs are known for each year, they will then be included in the following years calculation. So only the principal is included in the current year projection for EEC rates</t>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tc={8E0FE317-429A-4FAE-9E36-CFD9C8BE9CB0}</author>
  </authors>
  <commentList>
    <comment ref="A27" authorId="0" shapeId="0" xr:uid="{8E0FE317-429A-4FAE-9E36-CFD9C8BE9CB0}">
      <text>
        <t>[Threaded comment]
Your version of Excel allows you to read this threaded comment; however, any edits to it will get removed if the file is opened in a newer version of Excel. Learn more: https://go.microsoft.com/fwlink/?linkid=870924
Comment:
    Row 44 from TJ Poor workpapers in PSD surrebuttal worksheet, additional investment added on to BAU</t>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tc={1B8F51BC-91DD-47CA-8452-D94407DD1678}</author>
    <author>tc={D56DA025-3DDC-4376-B1A8-9C7C7D79D898}</author>
    <author>tc={BDB7BAEB-A49D-4E0B-B977-E3015159CD99}</author>
    <author>tc={A0653557-1328-4ABA-A5E6-6F40EC50211A}</author>
  </authors>
  <commentList>
    <comment ref="C4" authorId="0" shapeId="0" xr:uid="{1B8F51BC-91DD-47CA-8452-D94407DD1678}">
      <text>
        <t>[Threaded comment]
Your version of Excel allows you to read this threaded comment; however, any edits to it will get removed if the file is opened in a newer version of Excel. Learn more: https://go.microsoft.com/fwlink/?linkid=870924
Comment:
    1/1/2016 only included Rate IN and therefore to include an entire CY for each performance period it is based on an entire year of collections from all rates</t>
      </text>
    </comment>
    <comment ref="D64" authorId="1" shapeId="0" xr:uid="{D56DA025-3DDC-4376-B1A8-9C7C7D79D898}">
      <text>
        <t>[Threaded comment]
Your version of Excel allows you to read this threaded comment; however, any edits to it will get removed if the file is opened in a newer version of Excel. Learn more: https://go.microsoft.com/fwlink/?linkid=870924
Comment:
    VGS is assuming it will exhaust all RA and most of all DSS budget numbers by year end. IF not, it will close out Performance year 2018-2020 after all the books are closed (PSD, other) and reconcile leftover funds.</t>
      </text>
    </comment>
    <comment ref="C67" authorId="2" shapeId="0" xr:uid="{BDB7BAEB-A49D-4E0B-B977-E3015159CD99}">
      <text>
        <t>[Threaded comment]
Your version of Excel allows you to read this threaded comment; however, any edits to it will get removed if the file is opened in a newer version of Excel. Learn more: https://go.microsoft.com/fwlink/?linkid=870924
Comment:
    VGS only began collecting firm collections in Feb 2016 - this gives 5 complete years of collections from 2016-2020</t>
      </text>
    </comment>
    <comment ref="G75" authorId="3" shapeId="0" xr:uid="{A0653557-1328-4ABA-A5E6-6F40EC50211A}">
      <text>
        <t>[Threaded comment]
Your version of Excel allows you to read this threaded comment; however, any edits to it will get removed if the file is opened in a newer version of Excel. Learn more: https://go.microsoft.com/fwlink/?linkid=870924
Comment:
    Potential study for 2021-2023 specific DRP proceedings not in budget, but needed in collections.  March 2020 VGS paid $64,399 and APril 2020 VGS paid $18098 towards the potential study conducted by PSD for a total of $82,497</t>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Ashley Shaw</author>
  </authors>
  <commentList>
    <comment ref="AB8" authorId="0" shapeId="0" xr:uid="{00000000-0006-0000-0800-000001000000}">
      <text>
        <r>
          <rPr>
            <sz val="9"/>
            <color indexed="81"/>
            <rFont val="Tahoma"/>
            <family val="2"/>
          </rPr>
          <t xml:space="preserve">LIAP became effective July 1, 2014 for the first year of implementation.  Every year thereafter, it will be implemented with base rates (November 1st)
</t>
        </r>
      </text>
    </comment>
    <comment ref="AB15" authorId="0" shapeId="0" xr:uid="{00000000-0006-0000-0800-000002000000}">
      <text>
        <r>
          <rPr>
            <b/>
            <sz val="9"/>
            <color indexed="81"/>
            <rFont val="Tahoma"/>
            <family val="2"/>
          </rPr>
          <t xml:space="preserve">LIAP became effective July 1, 2014
</t>
        </r>
      </text>
    </comment>
    <comment ref="AB22" authorId="0" shapeId="0" xr:uid="{00000000-0006-0000-0800-000003000000}">
      <text>
        <r>
          <rPr>
            <b/>
            <sz val="9"/>
            <color indexed="81"/>
            <rFont val="Tahoma"/>
            <family val="2"/>
          </rPr>
          <t xml:space="preserve">LIAP became effective July 1, 2014
</t>
        </r>
      </text>
    </comment>
    <comment ref="AB29" authorId="0" shapeId="0" xr:uid="{00000000-0006-0000-0800-000004000000}">
      <text>
        <r>
          <rPr>
            <b/>
            <sz val="9"/>
            <color indexed="81"/>
            <rFont val="Tahoma"/>
            <family val="2"/>
          </rPr>
          <t xml:space="preserve">LIAP became effective July 1, 2014
</t>
        </r>
      </text>
    </comment>
    <comment ref="AB36" authorId="0" shapeId="0" xr:uid="{00000000-0006-0000-0800-000005000000}">
      <text>
        <r>
          <rPr>
            <b/>
            <sz val="9"/>
            <color indexed="81"/>
            <rFont val="Tahoma"/>
            <family val="2"/>
          </rPr>
          <t xml:space="preserve">LIAP became effective July 1, 2014
</t>
        </r>
      </text>
    </comment>
  </commentList>
</comments>
</file>

<file path=xl/sharedStrings.xml><?xml version="1.0" encoding="utf-8"?>
<sst xmlns="http://schemas.openxmlformats.org/spreadsheetml/2006/main" count="462" uniqueCount="280">
  <si>
    <t>EEU budget CY 2017</t>
  </si>
  <si>
    <t xml:space="preserve">  MCF  SALES</t>
  </si>
  <si>
    <t xml:space="preserve">    R</t>
  </si>
  <si>
    <t xml:space="preserve">    G1</t>
  </si>
  <si>
    <t xml:space="preserve">    G2</t>
  </si>
  <si>
    <t xml:space="preserve">    G3</t>
  </si>
  <si>
    <t xml:space="preserve">    G4</t>
  </si>
  <si>
    <t>Total Firm</t>
  </si>
  <si>
    <t>Interuptible Sales</t>
  </si>
  <si>
    <t>Less Exempt Interruptible Customers</t>
  </si>
  <si>
    <t>October</t>
  </si>
  <si>
    <t>November</t>
  </si>
  <si>
    <t>December</t>
  </si>
  <si>
    <t>January</t>
  </si>
  <si>
    <t>February</t>
  </si>
  <si>
    <t>March</t>
  </si>
  <si>
    <t>April</t>
  </si>
  <si>
    <t>May</t>
  </si>
  <si>
    <t>June</t>
  </si>
  <si>
    <t>July</t>
  </si>
  <si>
    <t>August</t>
  </si>
  <si>
    <t>September</t>
  </si>
  <si>
    <t>Net Interruptible</t>
  </si>
  <si>
    <t>Total Mcf Sales</t>
  </si>
  <si>
    <t>Forecasted Revenue</t>
  </si>
  <si>
    <t>Firm Revenues</t>
  </si>
  <si>
    <t>Total Interruptible</t>
  </si>
  <si>
    <t>SUB-TOTAL: Firm + Interruptible</t>
  </si>
  <si>
    <t>Net Interruptibles</t>
  </si>
  <si>
    <t>Volumetric Rate Development for energy (Mcf)</t>
  </si>
  <si>
    <t>Forecasted</t>
  </si>
  <si>
    <t xml:space="preserve">GEEC To Be </t>
  </si>
  <si>
    <t>RATE</t>
  </si>
  <si>
    <t>Billed</t>
  </si>
  <si>
    <t>per Mcf</t>
  </si>
  <si>
    <t>% of Total Revenue</t>
  </si>
  <si>
    <t>Mcf</t>
  </si>
  <si>
    <t>Revenue</t>
  </si>
  <si>
    <t>By Rate Class</t>
  </si>
  <si>
    <t>w/o Tax</t>
  </si>
  <si>
    <t>Residential</t>
  </si>
  <si>
    <t>G1 Class</t>
  </si>
  <si>
    <t>G2 Class</t>
  </si>
  <si>
    <t>G3 Class</t>
  </si>
  <si>
    <t>G4 Class</t>
  </si>
  <si>
    <t>Interruptible</t>
  </si>
  <si>
    <t>Under Collections 2016</t>
  </si>
  <si>
    <t>Revenue Requirements CY 2017</t>
  </si>
  <si>
    <t>WX tax Adjustment (formula=rate w/o tax/.9895)</t>
  </si>
  <si>
    <t>Final Rates with GRT and WT adj</t>
  </si>
  <si>
    <t>GEEC Projected Revenues</t>
  </si>
  <si>
    <t>Current GEEC Rates</t>
  </si>
  <si>
    <t>Projected GEEC Revenues at Current Rates</t>
  </si>
  <si>
    <t>Class Share GEEC Revenues</t>
  </si>
  <si>
    <t>Class Share GEEC Revenues at Current Rates</t>
  </si>
  <si>
    <t>Adjusted for GRT and Weatherization</t>
  </si>
  <si>
    <t>Proposed GEEC Rates per MCf</t>
  </si>
  <si>
    <t>Proposed GEEC Rates per CCf</t>
  </si>
  <si>
    <t>Percent Change GEEC</t>
  </si>
  <si>
    <t>GEEC To Be Billed by Rate Class</t>
  </si>
  <si>
    <t>Total</t>
  </si>
  <si>
    <t>EEU RUNNING BALANCE</t>
  </si>
  <si>
    <t>Represents</t>
  </si>
  <si>
    <t>Collections</t>
  </si>
  <si>
    <t>Sub Total</t>
  </si>
  <si>
    <t>FUNDS</t>
  </si>
  <si>
    <t>COST</t>
  </si>
  <si>
    <t>Number of Customers</t>
  </si>
  <si>
    <t>Rate R</t>
  </si>
  <si>
    <t>VERMONT GAS SYSTEMS</t>
  </si>
  <si>
    <t>COMPARISON OF RATES</t>
  </si>
  <si>
    <t>Revenues at Current Rates</t>
  </si>
  <si>
    <t>Daily Access Charge</t>
  </si>
  <si>
    <t>Monthly Equivalent</t>
  </si>
  <si>
    <t>Natural Gas Charge</t>
  </si>
  <si>
    <t>Distribution Charge</t>
  </si>
  <si>
    <t>Total VGS Revenues</t>
  </si>
  <si>
    <t>LIAP</t>
  </si>
  <si>
    <t>VGS Revenues with LIAP</t>
  </si>
  <si>
    <t>EEU Charge</t>
  </si>
  <si>
    <t>Total Residential Revenues with EEU</t>
  </si>
  <si>
    <t>Rate G1</t>
  </si>
  <si>
    <t>Total G1 Revenues with EEU</t>
  </si>
  <si>
    <t>Rate G2</t>
  </si>
  <si>
    <t>Total G2 Revenues with EEU</t>
  </si>
  <si>
    <t>Rate G3</t>
  </si>
  <si>
    <t>Total G3 Revenues with EEU</t>
  </si>
  <si>
    <t>Rate G4</t>
  </si>
  <si>
    <t>Total G4 Revenues with EEU</t>
  </si>
  <si>
    <t>Grand Total VGS Revenues</t>
  </si>
  <si>
    <t>Grand Total with EEU</t>
  </si>
  <si>
    <t>Total Daily Access Charge</t>
  </si>
  <si>
    <t>Total Natural Gas Charge</t>
  </si>
  <si>
    <t>Total Distribution Charge</t>
  </si>
  <si>
    <t>Total Revenues</t>
  </si>
  <si>
    <t>Total EEU Charge</t>
  </si>
  <si>
    <t>Total Revenues w/ EEU Charge</t>
  </si>
  <si>
    <t>Grand Total LIAP</t>
  </si>
  <si>
    <t>Grand Total VGS with LIAP</t>
  </si>
  <si>
    <t>Grand Total EEU</t>
  </si>
  <si>
    <t>LIAP Revenues</t>
  </si>
  <si>
    <t>Grand Total VGS revenues with LIAP</t>
  </si>
  <si>
    <t>Total customers</t>
  </si>
  <si>
    <t>Data source</t>
  </si>
  <si>
    <t>Source above is L:\supply\budget\17-18\update\Sept17 FY18.xls</t>
  </si>
  <si>
    <t>old source for 2017 EEC charge factored Nov 2016 was Jan-Dec -February 2017 PGA file</t>
  </si>
  <si>
    <t>TOTAL</t>
  </si>
  <si>
    <t>G1</t>
  </si>
  <si>
    <t>G2</t>
  </si>
  <si>
    <t>G3</t>
  </si>
  <si>
    <t>G4</t>
  </si>
  <si>
    <t>Current GEEC Rates Mcf</t>
  </si>
  <si>
    <t>Projected</t>
  </si>
  <si>
    <t>VGS</t>
  </si>
  <si>
    <t>RA</t>
  </si>
  <si>
    <t>Total 3 yr</t>
  </si>
  <si>
    <t>DSS</t>
  </si>
  <si>
    <t>VGS Total</t>
  </si>
  <si>
    <t>Thermal Clearing House</t>
  </si>
  <si>
    <t>Total VGS EEC Budget</t>
  </si>
  <si>
    <t>PUC order 10/12/2017</t>
  </si>
  <si>
    <t>pg 14</t>
  </si>
  <si>
    <t>pg 16</t>
  </si>
  <si>
    <t>pg 18</t>
  </si>
  <si>
    <t>pg 19</t>
  </si>
  <si>
    <t>Low Income</t>
  </si>
  <si>
    <t>Eval ng</t>
  </si>
  <si>
    <t>Fiscal Agent ng</t>
  </si>
  <si>
    <t>Independent Audit ng</t>
  </si>
  <si>
    <t>PUC Order 7/7/2017</t>
  </si>
  <si>
    <t>pg 26 &amp; 63</t>
  </si>
  <si>
    <t>PUC order</t>
  </si>
  <si>
    <t>pg # in document</t>
  </si>
  <si>
    <t>DRP Case No. EEU-2016-03</t>
  </si>
  <si>
    <t>Percent LIAP</t>
  </si>
  <si>
    <t>Percent Rate R</t>
  </si>
  <si>
    <t>Gross receipts tax</t>
  </si>
  <si>
    <t>EEU 2015-02 - September 22, 2015</t>
  </si>
  <si>
    <t xml:space="preserve">VGS TPP NG EEC Budget Recommendation </t>
  </si>
  <si>
    <t>Funded via Natual Gas EEC</t>
  </si>
  <si>
    <t>2-yr Total</t>
  </si>
  <si>
    <t>Vermont Gas EE Program</t>
  </si>
  <si>
    <t xml:space="preserve">Resource Acquisition </t>
  </si>
  <si>
    <t>Non-Resource Acquisition</t>
  </si>
  <si>
    <t>Sub-total</t>
  </si>
  <si>
    <t>Other</t>
  </si>
  <si>
    <t>DPS Evaluation</t>
  </si>
  <si>
    <t>modified 11/10/2015 (to reflect updated DPS Evaluation proposed costs as filed on 9/29/15)</t>
  </si>
  <si>
    <t>TEPF Clearinghouse</t>
  </si>
  <si>
    <t>Modified 11/10/2015 (to reflect VGS TEPF Clearinghouse cost-share)</t>
  </si>
  <si>
    <t>Fiscal Agent</t>
  </si>
  <si>
    <t>Total TEPF Clearing house cost for 2016-17</t>
  </si>
  <si>
    <t>Fiscal Agent Audit</t>
  </si>
  <si>
    <t>VGS Share 31%</t>
  </si>
  <si>
    <t>Natural Gas EEC-Funded Total</t>
  </si>
  <si>
    <t>Approved</t>
  </si>
  <si>
    <t>Totals</t>
  </si>
  <si>
    <t># of Customers Enrolled in LIAP</t>
  </si>
  <si>
    <t>Actuals</t>
  </si>
  <si>
    <t>"BILLS RENDERED" DATE</t>
  </si>
  <si>
    <t>START&gt;</t>
  </si>
  <si>
    <t>END&gt;</t>
  </si>
  <si>
    <t xml:space="preserve">R </t>
  </si>
  <si>
    <t>ACCESS</t>
  </si>
  <si>
    <t>GAS</t>
  </si>
  <si>
    <t>}</t>
  </si>
  <si>
    <t>DISTRIBUTION</t>
  </si>
  <si>
    <t>EEU</t>
  </si>
  <si>
    <t>/ccf</t>
  </si>
  <si>
    <t>2018 Tax Adj</t>
  </si>
  <si>
    <t xml:space="preserve">Notes: </t>
  </si>
  <si>
    <t>Access charged per day</t>
  </si>
  <si>
    <t>Gas, Distribution &amp; EEU charged per ccf</t>
  </si>
  <si>
    <t>LIAP charged per # of meters per month</t>
  </si>
  <si>
    <t>2018 Tax Adj. for Feb-Oct 2018 bills</t>
  </si>
  <si>
    <t>Residential Low Income</t>
  </si>
  <si>
    <t>Low Income multiplier</t>
  </si>
  <si>
    <t>CY 2019 total</t>
  </si>
  <si>
    <t>Projected Revenue Oct, Nov, Dec 2018 and Jan 2020</t>
  </si>
  <si>
    <t>Base on Aug 18 FY19 excel file from LH</t>
  </si>
  <si>
    <t>Average MCFUsage (MCF/Bill)</t>
  </si>
  <si>
    <t>Total Mcf LIAP/Month</t>
  </si>
  <si>
    <t>Based on Sept FY20 from Todd L</t>
  </si>
  <si>
    <t>Estimated EEU Revenues</t>
  </si>
  <si>
    <t>avg</t>
  </si>
  <si>
    <t>Sum</t>
  </si>
  <si>
    <t>sum</t>
  </si>
  <si>
    <t>Current Rates effective 8/6/2019</t>
  </si>
  <si>
    <t>Total CY2018 Residential</t>
  </si>
  <si>
    <t>Prior Plan, not included</t>
  </si>
  <si>
    <t>DPS eval/fiscal/TEPF</t>
  </si>
  <si>
    <t>L:\EVERYONE\DSM\Case 20-2022 setting 2021 EEC charge\TL-1 NG Projections for EEC rates</t>
  </si>
  <si>
    <t>CY 2021 Total</t>
  </si>
  <si>
    <t>Forecasted 2021 Mcf</t>
  </si>
  <si>
    <t>CY 2020 Total</t>
  </si>
  <si>
    <t>Projected CY2021</t>
  </si>
  <si>
    <t>CY 2021</t>
  </si>
  <si>
    <t>Oct</t>
  </si>
  <si>
    <t>Nov</t>
  </si>
  <si>
    <t>Dec</t>
  </si>
  <si>
    <t>Jan</t>
  </si>
  <si>
    <t>Feb</t>
  </si>
  <si>
    <t>Mar</t>
  </si>
  <si>
    <t>Apr</t>
  </si>
  <si>
    <t>Aug</t>
  </si>
  <si>
    <t>Sept</t>
  </si>
  <si>
    <t>Projected Collections</t>
  </si>
  <si>
    <t>Potential Study</t>
  </si>
  <si>
    <t>PSD Recommendations - VGS Budgets, EEC Collections, Investment Levels</t>
  </si>
  <si>
    <t>Total VGS Budget</t>
  </si>
  <si>
    <t>VGS Investment Level</t>
  </si>
  <si>
    <t># customers</t>
  </si>
  <si>
    <t>Mcf/Part</t>
  </si>
  <si>
    <t>PUC order dated 9/24/2020 approving return of 177840 to ratepayer</t>
  </si>
  <si>
    <t>Case No. 20-2241-PET</t>
  </si>
  <si>
    <t>Proposed</t>
  </si>
  <si>
    <t>Budgets All-in total EEU</t>
  </si>
  <si>
    <t>Gross Receipts Tax</t>
  </si>
  <si>
    <t>Wx</t>
  </si>
  <si>
    <t>Over/Under</t>
  </si>
  <si>
    <t>Wx Tax</t>
  </si>
  <si>
    <t>Actual</t>
  </si>
  <si>
    <t>VGS Proposal</t>
  </si>
  <si>
    <t>VGS Proposed Budget 2021</t>
  </si>
  <si>
    <t>Projected Jan to only include firm</t>
  </si>
  <si>
    <t>If negative then under collected</t>
  </si>
  <si>
    <t>L:\EVERYONE\TARIFFS</t>
  </si>
  <si>
    <t>Bills rendered on or after</t>
  </si>
  <si>
    <t>Rates effective 11/1/2020, with Proposed new EEC charge</t>
  </si>
  <si>
    <t>Give back per Case 20-2241</t>
  </si>
  <si>
    <t>CY2021 Funding requirements</t>
  </si>
  <si>
    <t>Difference to be Financed</t>
  </si>
  <si>
    <t>Amorization of Difference to be Financed</t>
  </si>
  <si>
    <t>Amount to be collected in EEC</t>
  </si>
  <si>
    <t>Under Collections</t>
  </si>
  <si>
    <t>TEPF Clearing House</t>
  </si>
  <si>
    <t>VGS only (RA/DSS invoices)</t>
  </si>
  <si>
    <t>Total projected expenditures</t>
  </si>
  <si>
    <t>Jan 2021 Firm collections for complete year of collections</t>
  </si>
  <si>
    <t>Annual Variance</t>
  </si>
  <si>
    <t>Monthly Variance</t>
  </si>
  <si>
    <t>EEC Current</t>
  </si>
  <si>
    <t>EEC 20201 Proposed</t>
  </si>
  <si>
    <t>EEC 2021 Proposed</t>
  </si>
  <si>
    <t>Projected Avg</t>
  </si>
  <si>
    <t>Firm Rate Impact Overall - Current and VGS Proposed Rates</t>
  </si>
  <si>
    <t>Taken from Oct PGA to get one calendar year on most recent rate case</t>
  </si>
  <si>
    <t>Monthly count</t>
  </si>
  <si>
    <t># of Customers Enrolled in LIAP annual</t>
  </si>
  <si>
    <t>Total EEU</t>
  </si>
  <si>
    <t>Total Other Costs</t>
  </si>
  <si>
    <t>By Category</t>
  </si>
  <si>
    <t>PSD Budgets by Category</t>
  </si>
  <si>
    <t>Reallocation</t>
  </si>
  <si>
    <t>Under collections</t>
  </si>
  <si>
    <t>Invest ment</t>
  </si>
  <si>
    <t>Per TJ DRP file, VGS collections based on load with no EEC change</t>
  </si>
  <si>
    <t>Per TJ Formula- Investment Level</t>
  </si>
  <si>
    <t>Add'l added on to BAU  (hard keyed by TJ)</t>
  </si>
  <si>
    <t>Weatherization Tax</t>
  </si>
  <si>
    <t>VGS BAU EEU Natural Gas EEC FUND Collections 2021</t>
  </si>
  <si>
    <t>Gross Receipts</t>
  </si>
  <si>
    <t>Wx .0075</t>
  </si>
  <si>
    <t>GRT .00525 effective 7/1/19</t>
  </si>
  <si>
    <t>VGS reallocation of leftover funds from prior reporting year case 20-2241</t>
  </si>
  <si>
    <t>VGS PUC order dated 10/22/2020 in case 19-3272-PET</t>
  </si>
  <si>
    <t>Total EEC Collection required for 2021</t>
  </si>
  <si>
    <t>Attachment: VGS Proposed 2021 EEC rates</t>
  </si>
  <si>
    <t>PUC approved level of investment</t>
  </si>
  <si>
    <t>Due to higher load we are collecting more</t>
  </si>
  <si>
    <t>Level of investment for 2021 (CY2021 Funding requirements - VGS BAU Collections)</t>
  </si>
  <si>
    <t>Projected fund collections at current rates (Business as Usual)</t>
  </si>
  <si>
    <t xml:space="preserve"> AMORTIZATION OF PRINCIPAL ONLY (level of financing divided by 15 years)</t>
  </si>
  <si>
    <t>GRT increased to .00525 effective 7/1/19.  DPS/PUC remains at .003. Wx .0075</t>
  </si>
  <si>
    <t>GRT times Wx</t>
  </si>
  <si>
    <t>Principal in PSD included in Yr one investment - not needed for BAU allows loan amount to be reduced and also allows for more constant rate impact in 2022</t>
  </si>
  <si>
    <t>Fund collections plus principal on loan only</t>
  </si>
  <si>
    <t>DRP Related expenses</t>
  </si>
  <si>
    <t>EEC based on EEC 2021 proposal</t>
  </si>
  <si>
    <t>reallocation given back to ratepayer in 2021 EEC</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</si>
</sst>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4">
    <numFmt numFmtId="5" formatCode="&quot;$&quot;#,##0_);\(&quot;$&quot;#,##0\)"/>
    <numFmt numFmtId="6" formatCode="&quot;$&quot;#,##0_);[Red]\(&quot;$&quot;#,##0\)"/>
    <numFmt numFmtId="7" formatCode="&quot;$&quot;#,##0.00_);\(&quot;$&quot;#,##0.00\)"/>
    <numFmt numFmtId="44" formatCode="_(&quot;$&quot;* #,##0.00_);_(&quot;$&quot;* \(#,##0.00\);_(&quot;$&quot;* &quot;-&quot;??_);_(@_)"/>
    <numFmt numFmtId="43" formatCode="_(* #,##0.00_);_(* \(#,##0.00\);_(* &quot;-&quot;??_);_(@_)"/>
    <numFmt numFmtId="164" formatCode="&quot;$&quot;#,##0"/>
    <numFmt numFmtId="165" formatCode="0.0%"/>
    <numFmt numFmtId="166" formatCode="_(* #,##0_);_(* \(#,##0\);_(* &quot;-&quot;??_);_(@_)"/>
    <numFmt numFmtId="167" formatCode="&quot;$&quot;#,##0.00000"/>
    <numFmt numFmtId="168" formatCode="&quot;$&quot;#,##0.000"/>
    <numFmt numFmtId="169" formatCode="0.0000"/>
    <numFmt numFmtId="170" formatCode="&quot;$&quot;#,##0.00"/>
    <numFmt numFmtId="171" formatCode="&quot;$&quot;#,##0.0000"/>
    <numFmt numFmtId="172" formatCode="[$-409]mmmm\-yy;@"/>
    <numFmt numFmtId="173" formatCode="_(&quot;$&quot;* #,##0_);_(&quot;$&quot;* \(#,##0\);_(&quot;$&quot;* &quot;-&quot;??_);_(@_)"/>
    <numFmt numFmtId="174" formatCode="0.00000"/>
    <numFmt numFmtId="175" formatCode="_(* #,##0.00000_);_(* \(#,##0.00000\);_(* &quot;-&quot;??_);_(@_)"/>
    <numFmt numFmtId="176" formatCode="_(* #,##0.0000_);_(* \(#,##0.0000\);_(* &quot;-&quot;??_);_(@_)"/>
    <numFmt numFmtId="177" formatCode="_(* #,##0.000_);_(* \(#,##0.000\);_(* &quot;-&quot;??_);_(@_)"/>
    <numFmt numFmtId="178" formatCode="mm/dd/yyyy"/>
    <numFmt numFmtId="179" formatCode="0.000%"/>
    <numFmt numFmtId="180" formatCode="_(&quot;$&quot;* #,##0.0_);_(&quot;$&quot;* \(#,##0.0\);_(&quot;$&quot;* &quot;-&quot;??_);_(@_)"/>
    <numFmt numFmtId="181" formatCode="_(* #,##0.0_);_(* \(#,##0.0\);_(* &quot;-&quot;??_);_(@_)"/>
    <numFmt numFmtId="182" formatCode="yyyy"/>
  </numFmts>
  <fonts count="38">
    <font>
      <sz val="11"/>
      <color theme="1"/>
      <name val="Calibri"/>
      <family val="2"/>
      <scheme val="minor"/>
    </font>
    <font>
      <sz val="11"/>
      <color theme="1"/>
      <name val="Calibri"/>
      <family val="2"/>
      <scheme val="minor"/>
    </font>
    <font>
      <b/>
      <sz val="11"/>
      <color theme="1"/>
      <name val="Calibri"/>
      <family val="2"/>
      <scheme val="minor"/>
    </font>
    <font>
      <sz val="12"/>
      <name val="SWISS"/>
    </font>
    <font>
      <sz val="12"/>
      <name val="Arial"/>
      <family val="2"/>
    </font>
    <font>
      <sz val="11"/>
      <name val="Calibri"/>
      <family val="2"/>
      <scheme val="minor"/>
    </font>
    <font>
      <b/>
      <sz val="11"/>
      <name val="Calibri"/>
      <family val="2"/>
      <scheme val="minor"/>
    </font>
    <font>
      <sz val="10"/>
      <name val="Arial"/>
      <family val="2"/>
    </font>
    <font>
      <sz val="11"/>
      <color rgb="FFFF0000"/>
      <name val="Calibri"/>
      <family val="2"/>
      <scheme val="minor"/>
    </font>
    <font>
      <b/>
      <sz val="14"/>
      <color theme="1"/>
      <name val="Calibri"/>
      <family val="2"/>
      <scheme val="minor"/>
    </font>
    <font>
      <b/>
      <sz val="12"/>
      <color theme="1"/>
      <name val="Calibri"/>
      <family val="2"/>
      <scheme val="minor"/>
    </font>
    <font>
      <b/>
      <sz val="10"/>
      <name val="Arial"/>
      <family val="2"/>
    </font>
    <font>
      <sz val="10"/>
      <name val="Arial"/>
      <family val="2"/>
    </font>
    <font>
      <sz val="11"/>
      <color theme="0"/>
      <name val="Calibri"/>
      <family val="2"/>
      <scheme val="minor"/>
    </font>
    <font>
      <b/>
      <sz val="12"/>
      <name val="Arial"/>
      <family val="2"/>
    </font>
    <font>
      <sz val="10"/>
      <color indexed="8"/>
      <name val="Arial"/>
      <family val="2"/>
    </font>
    <font>
      <sz val="14"/>
      <color theme="1"/>
      <name val="Calibri"/>
      <family val="2"/>
      <scheme val="minor"/>
    </font>
    <font>
      <b/>
      <sz val="16"/>
      <color theme="1"/>
      <name val="Calibri"/>
      <family val="2"/>
      <scheme val="minor"/>
    </font>
    <font>
      <sz val="16"/>
      <color theme="1"/>
      <name val="Calibri"/>
      <family val="2"/>
      <scheme val="minor"/>
    </font>
    <font>
      <sz val="12"/>
      <name val="Arial"/>
      <family val="2"/>
    </font>
    <font>
      <sz val="12"/>
      <color rgb="FF000000"/>
      <name val="Calibri"/>
      <family val="2"/>
    </font>
    <font>
      <sz val="11"/>
      <color rgb="FF000000"/>
      <name val="Calibri"/>
      <family val="2"/>
    </font>
    <font>
      <b/>
      <sz val="12"/>
      <color indexed="8"/>
      <name val="Calibri"/>
      <family val="2"/>
    </font>
    <font>
      <b/>
      <sz val="12"/>
      <color rgb="FF000000"/>
      <name val="Calibri"/>
      <family val="2"/>
    </font>
    <font>
      <b/>
      <sz val="11"/>
      <color rgb="FF000000"/>
      <name val="Calibri"/>
      <family val="2"/>
    </font>
    <font>
      <sz val="11"/>
      <name val="Calibri"/>
      <family val="2"/>
    </font>
    <font>
      <i/>
      <sz val="9"/>
      <name val="Arial"/>
      <family val="2"/>
    </font>
    <font>
      <sz val="9"/>
      <name val="Arial"/>
      <family val="2"/>
    </font>
    <font>
      <sz val="22"/>
      <name val="Arial"/>
      <family val="2"/>
    </font>
    <font>
      <u/>
      <sz val="10"/>
      <name val="Arial"/>
      <family val="2"/>
    </font>
    <font>
      <sz val="9"/>
      <color indexed="81"/>
      <name val="Tahoma"/>
      <family val="2"/>
    </font>
    <font>
      <b/>
      <sz val="9"/>
      <color indexed="81"/>
      <name val="Tahoma"/>
      <family val="2"/>
    </font>
    <font>
      <sz val="10"/>
      <name val="Arial"/>
      <family val="2"/>
    </font>
    <font>
      <sz val="12"/>
      <color theme="1"/>
      <name val="Arial"/>
      <family val="2"/>
    </font>
    <font>
      <sz val="28"/>
      <name val="Arial"/>
      <family val="2"/>
    </font>
    <font>
      <u/>
      <sz val="11"/>
      <color theme="10"/>
      <name val="Calibri"/>
      <family val="2"/>
      <scheme val="minor"/>
    </font>
    <font>
      <b/>
      <sz val="11"/>
      <name val="Times New Roman"/>
      <family val="1"/>
    </font>
    <font>
      <sz val="9"/>
      <color indexed="81"/>
      <name val="Tahoma"/>
      <charset val="1"/>
    </font>
  </fonts>
  <fills count="19">
    <fill>
      <patternFill patternType="none"/>
    </fill>
    <fill>
      <patternFill patternType="gray125"/>
    </fill>
    <fill>
      <patternFill patternType="solid">
        <fgColor theme="4" tint="0.79998168889431442"/>
        <bgColor indexed="64"/>
      </patternFill>
    </fill>
    <fill>
      <patternFill patternType="solid">
        <fgColor rgb="FFFFFF00"/>
        <bgColor indexed="64"/>
      </patternFill>
    </fill>
    <fill>
      <patternFill patternType="solid">
        <fgColor theme="9" tint="0.59999389629810485"/>
        <bgColor indexed="64"/>
      </patternFill>
    </fill>
    <fill>
      <patternFill patternType="solid">
        <fgColor theme="3" tint="0.79998168889431442"/>
        <bgColor indexed="64"/>
      </patternFill>
    </fill>
    <fill>
      <patternFill patternType="solid">
        <fgColor theme="7" tint="0.59999389629810485"/>
        <bgColor indexed="64"/>
      </patternFill>
    </fill>
    <fill>
      <patternFill patternType="solid">
        <fgColor rgb="FFFFC000"/>
        <bgColor indexed="64"/>
      </patternFill>
    </fill>
    <fill>
      <patternFill patternType="solid">
        <fgColor rgb="FF00B0F0"/>
        <bgColor indexed="64"/>
      </patternFill>
    </fill>
    <fill>
      <patternFill patternType="solid">
        <fgColor rgb="FFBFBFBF"/>
        <bgColor rgb="FF000000"/>
      </patternFill>
    </fill>
    <fill>
      <patternFill patternType="solid">
        <fgColor theme="0" tint="-0.249977111117893"/>
        <bgColor indexed="64"/>
      </patternFill>
    </fill>
    <fill>
      <patternFill patternType="solid">
        <fgColor theme="0" tint="-0.249977111117893"/>
        <bgColor rgb="FF000000"/>
      </patternFill>
    </fill>
    <fill>
      <patternFill patternType="solid">
        <fgColor rgb="FFFFFF00"/>
        <bgColor rgb="FF000000"/>
      </patternFill>
    </fill>
    <fill>
      <patternFill patternType="solid">
        <fgColor theme="5" tint="0.59999389629810485"/>
        <bgColor indexed="64"/>
      </patternFill>
    </fill>
    <fill>
      <patternFill patternType="solid">
        <fgColor indexed="22"/>
        <bgColor indexed="64"/>
      </patternFill>
    </fill>
    <fill>
      <patternFill patternType="solid">
        <fgColor theme="5" tint="0.79998168889431442"/>
        <bgColor indexed="64"/>
      </patternFill>
    </fill>
    <fill>
      <patternFill patternType="solid">
        <fgColor theme="6" tint="0.79998168889431442"/>
        <bgColor indexed="64"/>
      </patternFill>
    </fill>
    <fill>
      <patternFill patternType="solid">
        <fgColor theme="7" tint="0.79998168889431442"/>
        <bgColor indexed="64"/>
      </patternFill>
    </fill>
    <fill>
      <patternFill patternType="solid">
        <fgColor theme="6" tint="0.59999389629810485"/>
        <bgColor indexed="64"/>
      </patternFill>
    </fill>
  </fills>
  <borders count="33">
    <border>
      <left/>
      <right/>
      <top/>
      <bottom/>
      <diagonal/>
    </border>
    <border>
      <left/>
      <right/>
      <top/>
      <bottom style="medium">
        <color indexed="64"/>
      </bottom>
      <diagonal/>
    </border>
    <border>
      <left style="thin">
        <color indexed="64"/>
      </left>
      <right style="thin">
        <color indexed="64"/>
      </right>
      <top/>
      <bottom/>
      <diagonal/>
    </border>
    <border>
      <left style="thin">
        <color indexed="64"/>
      </left>
      <right/>
      <top/>
      <bottom/>
      <diagonal/>
    </border>
    <border>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right/>
      <top/>
      <bottom style="thin">
        <color indexed="64"/>
      </bottom>
      <diagonal/>
    </border>
    <border>
      <left/>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bottom style="double">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right/>
      <top style="thin">
        <color indexed="64"/>
      </top>
      <bottom/>
      <diagonal/>
    </border>
    <border>
      <left style="thin">
        <color indexed="64"/>
      </left>
      <right/>
      <top style="thin">
        <color indexed="64"/>
      </top>
      <bottom/>
      <diagonal/>
    </border>
    <border>
      <left/>
      <right style="thin">
        <color indexed="64"/>
      </right>
      <top style="medium">
        <color indexed="64"/>
      </top>
      <bottom style="medium">
        <color indexed="64"/>
      </bottom>
      <diagonal/>
    </border>
    <border>
      <left style="medium">
        <color indexed="64"/>
      </left>
      <right/>
      <top/>
      <bottom style="thin">
        <color indexed="64"/>
      </bottom>
      <diagonal/>
    </border>
  </borders>
  <cellStyleXfs count="142">
    <xf numFmtId="0" fontId="0" fillId="0" borderId="0"/>
    <xf numFmtId="43" fontId="1" fillId="0" borderId="0" applyFont="0" applyFill="0" applyBorder="0" applyAlignment="0" applyProtection="0"/>
    <xf numFmtId="44" fontId="1" fillId="0" borderId="0" applyFont="0" applyFill="0" applyBorder="0" applyAlignment="0" applyProtection="0"/>
    <xf numFmtId="9" fontId="1" fillId="0" borderId="0" applyFont="0" applyFill="0" applyBorder="0" applyAlignment="0" applyProtection="0"/>
    <xf numFmtId="43" fontId="7" fillId="0" borderId="0" applyFont="0" applyFill="0" applyBorder="0" applyAlignment="0" applyProtection="0"/>
    <xf numFmtId="0" fontId="12" fillId="0" borderId="0"/>
    <xf numFmtId="43" fontId="12" fillId="0" borderId="0" applyFont="0" applyFill="0" applyBorder="0" applyAlignment="0" applyProtection="0"/>
    <xf numFmtId="43" fontId="1" fillId="0" borderId="0" applyFont="0" applyFill="0" applyBorder="0" applyAlignment="0" applyProtection="0"/>
    <xf numFmtId="44" fontId="12" fillId="0" borderId="0" applyFont="0" applyFill="0" applyBorder="0" applyAlignment="0" applyProtection="0"/>
    <xf numFmtId="0" fontId="4" fillId="0" borderId="0"/>
    <xf numFmtId="0" fontId="4" fillId="0" borderId="0"/>
    <xf numFmtId="0" fontId="7" fillId="0" borderId="0"/>
    <xf numFmtId="0" fontId="1" fillId="0" borderId="0"/>
    <xf numFmtId="9" fontId="12" fillId="0" borderId="0" applyFont="0" applyFill="0" applyBorder="0" applyAlignment="0" applyProtection="0"/>
    <xf numFmtId="9" fontId="1" fillId="0" borderId="0" applyFont="0" applyFill="0" applyBorder="0" applyAlignment="0" applyProtection="0"/>
    <xf numFmtId="44" fontId="7" fillId="0" borderId="0" applyFont="0" applyFill="0" applyBorder="0" applyAlignment="0" applyProtection="0"/>
    <xf numFmtId="44" fontId="15" fillId="0" borderId="0" applyFont="0" applyFill="0" applyBorder="0" applyAlignment="0" applyProtection="0">
      <alignment vertical="top"/>
    </xf>
    <xf numFmtId="37" fontId="4" fillId="0" borderId="0"/>
    <xf numFmtId="37" fontId="4" fillId="0" borderId="0"/>
    <xf numFmtId="37" fontId="4" fillId="0" borderId="0"/>
    <xf numFmtId="0" fontId="4" fillId="0" borderId="0"/>
    <xf numFmtId="37" fontId="4" fillId="0" borderId="0"/>
    <xf numFmtId="37" fontId="4" fillId="0" borderId="0"/>
    <xf numFmtId="37" fontId="4" fillId="0" borderId="0"/>
    <xf numFmtId="37" fontId="4" fillId="0" borderId="0"/>
    <xf numFmtId="37" fontId="4" fillId="0" borderId="0"/>
    <xf numFmtId="0" fontId="4" fillId="0" borderId="0"/>
    <xf numFmtId="37" fontId="4" fillId="0" borderId="0"/>
    <xf numFmtId="37" fontId="4" fillId="0" borderId="0"/>
    <xf numFmtId="37" fontId="4" fillId="0" borderId="0"/>
    <xf numFmtId="0" fontId="7" fillId="0" borderId="0"/>
    <xf numFmtId="37" fontId="4" fillId="0" borderId="0"/>
    <xf numFmtId="37" fontId="4" fillId="0" borderId="0"/>
    <xf numFmtId="37" fontId="4" fillId="0" borderId="0"/>
    <xf numFmtId="37" fontId="4" fillId="0" borderId="0"/>
    <xf numFmtId="37" fontId="4" fillId="0" borderId="0"/>
    <xf numFmtId="37" fontId="4" fillId="0" borderId="0"/>
    <xf numFmtId="37" fontId="4" fillId="0" borderId="0"/>
    <xf numFmtId="37" fontId="4" fillId="0" borderId="0"/>
    <xf numFmtId="37" fontId="4" fillId="0" borderId="0"/>
    <xf numFmtId="37" fontId="4" fillId="0" borderId="0"/>
    <xf numFmtId="0" fontId="7" fillId="0" borderId="0"/>
    <xf numFmtId="0" fontId="4" fillId="0" borderId="0"/>
    <xf numFmtId="0" fontId="1" fillId="0" borderId="0"/>
    <xf numFmtId="37" fontId="4" fillId="0" borderId="0"/>
    <xf numFmtId="37" fontId="4" fillId="0" borderId="0"/>
    <xf numFmtId="37" fontId="4" fillId="0" borderId="0"/>
    <xf numFmtId="37" fontId="4" fillId="0" borderId="0"/>
    <xf numFmtId="37" fontId="4" fillId="0" borderId="0"/>
    <xf numFmtId="37" fontId="4" fillId="0" borderId="0"/>
    <xf numFmtId="37" fontId="4" fillId="0" borderId="0"/>
    <xf numFmtId="37" fontId="4" fillId="0" borderId="0"/>
    <xf numFmtId="37" fontId="4" fillId="0" borderId="0"/>
    <xf numFmtId="37" fontId="4" fillId="0" borderId="0"/>
    <xf numFmtId="0" fontId="4" fillId="0" borderId="0"/>
    <xf numFmtId="37" fontId="4" fillId="0" borderId="0"/>
    <xf numFmtId="37" fontId="4" fillId="0" borderId="0"/>
    <xf numFmtId="37" fontId="4" fillId="0" borderId="0"/>
    <xf numFmtId="37" fontId="4" fillId="0" borderId="0"/>
    <xf numFmtId="37" fontId="4" fillId="0" borderId="0"/>
    <xf numFmtId="37" fontId="4" fillId="0" borderId="0"/>
    <xf numFmtId="37" fontId="4" fillId="0" borderId="0"/>
    <xf numFmtId="37" fontId="4" fillId="0" borderId="0"/>
    <xf numFmtId="37" fontId="4" fillId="0" borderId="0"/>
    <xf numFmtId="37" fontId="4" fillId="0" borderId="0"/>
    <xf numFmtId="37" fontId="4" fillId="0" borderId="0"/>
    <xf numFmtId="37" fontId="4" fillId="0" borderId="0"/>
    <xf numFmtId="37" fontId="4" fillId="0" borderId="0"/>
    <xf numFmtId="37" fontId="4" fillId="0" borderId="0"/>
    <xf numFmtId="37" fontId="4" fillId="0" borderId="0"/>
    <xf numFmtId="37" fontId="4" fillId="0" borderId="0"/>
    <xf numFmtId="37" fontId="4" fillId="0" borderId="0"/>
    <xf numFmtId="37" fontId="4" fillId="0" borderId="0"/>
    <xf numFmtId="37" fontId="4" fillId="0" borderId="0"/>
    <xf numFmtId="37" fontId="4" fillId="0" borderId="0"/>
    <xf numFmtId="37" fontId="4" fillId="0" borderId="0"/>
    <xf numFmtId="37" fontId="4" fillId="0" borderId="0"/>
    <xf numFmtId="37" fontId="4" fillId="0" borderId="0"/>
    <xf numFmtId="37" fontId="4" fillId="0" borderId="0"/>
    <xf numFmtId="37" fontId="4" fillId="0" borderId="0"/>
    <xf numFmtId="37" fontId="4" fillId="0" borderId="0"/>
    <xf numFmtId="37" fontId="4" fillId="0" borderId="0"/>
    <xf numFmtId="37" fontId="4" fillId="0" borderId="0"/>
    <xf numFmtId="37" fontId="4" fillId="0" borderId="0"/>
    <xf numFmtId="9" fontId="15" fillId="0" borderId="0" applyFont="0" applyFill="0" applyBorder="0" applyAlignment="0" applyProtection="0">
      <alignment vertical="top"/>
    </xf>
    <xf numFmtId="0" fontId="19" fillId="0" borderId="0"/>
    <xf numFmtId="0" fontId="32" fillId="0" borderId="0"/>
    <xf numFmtId="43" fontId="15" fillId="0" borderId="0" applyFont="0" applyFill="0" applyBorder="0" applyAlignment="0" applyProtection="0">
      <alignment vertical="top"/>
    </xf>
    <xf numFmtId="43" fontId="7" fillId="0" borderId="0" applyFont="0" applyFill="0" applyBorder="0" applyAlignment="0" applyProtection="0"/>
    <xf numFmtId="44" fontId="7" fillId="0" borderId="0" applyFont="0" applyFill="0" applyBorder="0" applyAlignment="0" applyProtection="0"/>
    <xf numFmtId="0" fontId="15" fillId="0" borderId="0">
      <alignment vertical="top"/>
    </xf>
    <xf numFmtId="9" fontId="7" fillId="0" borderId="0" applyFont="0" applyFill="0" applyBorder="0" applyAlignment="0" applyProtection="0"/>
    <xf numFmtId="9" fontId="7" fillId="0" borderId="0" applyFont="0" applyFill="0" applyBorder="0" applyAlignment="0" applyProtection="0"/>
    <xf numFmtId="43" fontId="7" fillId="0" borderId="0" applyFont="0" applyFill="0" applyBorder="0" applyAlignment="0" applyProtection="0"/>
    <xf numFmtId="9" fontId="7" fillId="0" borderId="0" applyFont="0" applyFill="0" applyBorder="0" applyAlignment="0" applyProtection="0"/>
    <xf numFmtId="0" fontId="7" fillId="0" borderId="0"/>
    <xf numFmtId="0" fontId="7" fillId="0" borderId="0"/>
    <xf numFmtId="0" fontId="1" fillId="0" borderId="0"/>
    <xf numFmtId="43" fontId="7" fillId="0" borderId="0" applyFont="0" applyFill="0" applyBorder="0" applyAlignment="0" applyProtection="0"/>
    <xf numFmtId="0" fontId="4" fillId="0" borderId="0"/>
    <xf numFmtId="43" fontId="4" fillId="0" borderId="0" applyFont="0" applyFill="0" applyBorder="0" applyAlignment="0" applyProtection="0"/>
    <xf numFmtId="9" fontId="4" fillId="0" borderId="0" applyFont="0" applyFill="0" applyBorder="0" applyAlignment="0" applyProtection="0"/>
    <xf numFmtId="44" fontId="4" fillId="0" borderId="0" applyFont="0" applyFill="0" applyBorder="0" applyAlignment="0" applyProtection="0"/>
    <xf numFmtId="43" fontId="7" fillId="0" borderId="0" applyFont="0" applyFill="0" applyBorder="0" applyAlignment="0" applyProtection="0"/>
    <xf numFmtId="0" fontId="1" fillId="0" borderId="0"/>
    <xf numFmtId="44" fontId="1" fillId="0" borderId="0" applyFont="0" applyFill="0" applyBorder="0" applyAlignment="0" applyProtection="0"/>
    <xf numFmtId="44" fontId="7" fillId="0" borderId="0" applyFont="0" applyFill="0" applyBorder="0" applyAlignment="0" applyProtection="0"/>
    <xf numFmtId="43" fontId="1" fillId="0" borderId="0" applyFont="0" applyFill="0" applyBorder="0" applyAlignment="0" applyProtection="0"/>
    <xf numFmtId="0" fontId="15" fillId="0" borderId="0">
      <alignment vertical="top"/>
    </xf>
    <xf numFmtId="0" fontId="7" fillId="0" borderId="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4"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44"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4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0" fontId="35" fillId="0" borderId="0" applyNumberFormat="0" applyFill="0" applyBorder="0" applyAlignment="0" applyProtection="0"/>
    <xf numFmtId="43" fontId="1" fillId="0" borderId="0" applyFont="0" applyFill="0" applyBorder="0" applyAlignment="0" applyProtection="0"/>
  </cellStyleXfs>
  <cellXfs count="392">
    <xf numFmtId="0" fontId="0" fillId="0" borderId="0" xfId="0"/>
    <xf numFmtId="5" fontId="0" fillId="0" borderId="0" xfId="0" applyNumberFormat="1"/>
    <xf numFmtId="0" fontId="3" fillId="0" borderId="0" xfId="0" applyFont="1" applyAlignment="1"/>
    <xf numFmtId="164" fontId="0" fillId="0" borderId="0" xfId="0" applyNumberFormat="1"/>
    <xf numFmtId="0" fontId="5" fillId="0" borderId="0" xfId="0" applyFont="1"/>
    <xf numFmtId="0" fontId="5" fillId="0" borderId="0" xfId="0" applyFont="1" applyBorder="1"/>
    <xf numFmtId="0" fontId="6" fillId="0" borderId="0" xfId="0" applyFont="1"/>
    <xf numFmtId="0" fontId="6" fillId="2" borderId="2" xfId="0" applyFont="1" applyFill="1" applyBorder="1" applyAlignment="1">
      <alignment horizontal="center"/>
    </xf>
    <xf numFmtId="0" fontId="6" fillId="0" borderId="3" xfId="0" applyFont="1" applyBorder="1" applyAlignment="1">
      <alignment horizontal="center"/>
    </xf>
    <xf numFmtId="0" fontId="6" fillId="0" borderId="0" xfId="0" applyFont="1" applyBorder="1"/>
    <xf numFmtId="0" fontId="6" fillId="0" borderId="4" xfId="0" applyFont="1" applyBorder="1"/>
    <xf numFmtId="0" fontId="6" fillId="2" borderId="5" xfId="0" applyFont="1" applyFill="1" applyBorder="1" applyAlignment="1">
      <alignment horizontal="center"/>
    </xf>
    <xf numFmtId="0" fontId="6" fillId="0" borderId="6" xfId="0" applyFont="1" applyBorder="1" applyAlignment="1">
      <alignment horizontal="center"/>
    </xf>
    <xf numFmtId="9" fontId="5" fillId="0" borderId="0" xfId="3" applyFont="1"/>
    <xf numFmtId="166" fontId="5" fillId="2" borderId="0" xfId="4" applyNumberFormat="1" applyFont="1" applyFill="1"/>
    <xf numFmtId="164" fontId="5" fillId="0" borderId="0" xfId="0" applyNumberFormat="1" applyFont="1" applyFill="1"/>
    <xf numFmtId="6" fontId="5" fillId="0" borderId="0" xfId="0" applyNumberFormat="1" applyFont="1"/>
    <xf numFmtId="167" fontId="5" fillId="0" borderId="0" xfId="0" applyNumberFormat="1" applyFont="1" applyFill="1"/>
    <xf numFmtId="168" fontId="5" fillId="0" borderId="0" xfId="0" applyNumberFormat="1" applyFont="1" applyFill="1"/>
    <xf numFmtId="0" fontId="5" fillId="0" borderId="0" xfId="0" applyFont="1" applyFill="1" applyBorder="1"/>
    <xf numFmtId="0" fontId="6" fillId="0" borderId="0" xfId="0" applyFont="1" applyFill="1" applyBorder="1"/>
    <xf numFmtId="166" fontId="5" fillId="2" borderId="7" xfId="4" applyNumberFormat="1" applyFont="1" applyFill="1" applyBorder="1"/>
    <xf numFmtId="164" fontId="5" fillId="0" borderId="7" xfId="0" applyNumberFormat="1" applyFont="1" applyFill="1" applyBorder="1"/>
    <xf numFmtId="167" fontId="5" fillId="0" borderId="7" xfId="0" applyNumberFormat="1" applyFont="1" applyFill="1" applyBorder="1"/>
    <xf numFmtId="6" fontId="5" fillId="0" borderId="7" xfId="0" applyNumberFormat="1" applyFont="1" applyBorder="1"/>
    <xf numFmtId="165" fontId="5" fillId="0" borderId="0" xfId="3" applyNumberFormat="1" applyFont="1" applyFill="1"/>
    <xf numFmtId="3" fontId="5" fillId="0" borderId="0" xfId="0" applyNumberFormat="1" applyFont="1" applyFill="1"/>
    <xf numFmtId="164" fontId="5" fillId="0" borderId="0" xfId="0" applyNumberFormat="1" applyFont="1"/>
    <xf numFmtId="6" fontId="5" fillId="0" borderId="0" xfId="0" applyNumberFormat="1" applyFont="1" applyFill="1"/>
    <xf numFmtId="165" fontId="5" fillId="0" borderId="0" xfId="3" applyNumberFormat="1" applyFont="1"/>
    <xf numFmtId="166" fontId="0" fillId="0" borderId="0" xfId="1" applyNumberFormat="1" applyFont="1"/>
    <xf numFmtId="166" fontId="0" fillId="0" borderId="0" xfId="0" applyNumberFormat="1"/>
    <xf numFmtId="0" fontId="5" fillId="0" borderId="1" xfId="0" applyFont="1" applyBorder="1"/>
    <xf numFmtId="43" fontId="0" fillId="0" borderId="0" xfId="0" applyNumberFormat="1"/>
    <xf numFmtId="7" fontId="0" fillId="0" borderId="0" xfId="0" applyNumberFormat="1"/>
    <xf numFmtId="0" fontId="6" fillId="0" borderId="0" xfId="0" applyFont="1" applyAlignment="1">
      <alignment horizontal="center"/>
    </xf>
    <xf numFmtId="0" fontId="6" fillId="0" borderId="0" xfId="0" applyFont="1" applyAlignment="1">
      <alignment horizontal="center" vertical="center" wrapText="1"/>
    </xf>
    <xf numFmtId="0" fontId="6" fillId="0" borderId="0" xfId="0" applyFont="1" applyBorder="1" applyAlignment="1">
      <alignment horizontal="center" vertical="center" wrapText="1"/>
    </xf>
    <xf numFmtId="10" fontId="0" fillId="0" borderId="0" xfId="3" applyNumberFormat="1" applyFont="1"/>
    <xf numFmtId="0" fontId="9" fillId="0" borderId="0" xfId="0" applyFont="1"/>
    <xf numFmtId="0" fontId="10" fillId="0" borderId="0" xfId="0" applyFont="1" applyAlignment="1">
      <alignment horizontal="left"/>
    </xf>
    <xf numFmtId="0" fontId="2" fillId="0" borderId="0" xfId="0" applyFont="1" applyAlignment="1">
      <alignment horizontal="center"/>
    </xf>
    <xf numFmtId="0" fontId="2" fillId="0" borderId="7" xfId="0" applyFont="1" applyBorder="1"/>
    <xf numFmtId="0" fontId="2" fillId="0" borderId="7" xfId="0" applyFont="1" applyBorder="1" applyAlignment="1">
      <alignment horizontal="center"/>
    </xf>
    <xf numFmtId="0" fontId="2" fillId="0" borderId="0" xfId="0" applyFont="1"/>
    <xf numFmtId="0" fontId="0" fillId="0" borderId="10" xfId="0" applyBorder="1"/>
    <xf numFmtId="0" fontId="8" fillId="0" borderId="0" xfId="0" applyFont="1"/>
    <xf numFmtId="43" fontId="0" fillId="3" borderId="0" xfId="0" applyNumberFormat="1" applyFill="1"/>
    <xf numFmtId="0" fontId="7" fillId="0" borderId="0" xfId="0" applyFont="1" applyAlignment="1">
      <alignment horizontal="center"/>
    </xf>
    <xf numFmtId="0" fontId="4" fillId="0" borderId="0" xfId="0" applyFont="1" applyAlignment="1"/>
    <xf numFmtId="0" fontId="11" fillId="0" borderId="0" xfId="0" applyFont="1"/>
    <xf numFmtId="0" fontId="11" fillId="0" borderId="0" xfId="0" applyFont="1" applyAlignment="1">
      <alignment horizontal="center" wrapText="1"/>
    </xf>
    <xf numFmtId="0" fontId="7" fillId="0" borderId="0" xfId="0" applyFont="1" applyAlignment="1"/>
    <xf numFmtId="0" fontId="7" fillId="0" borderId="0" xfId="0" applyFont="1" applyFill="1" applyAlignment="1"/>
    <xf numFmtId="0" fontId="7" fillId="0" borderId="0" xfId="0" applyFont="1" applyAlignment="1">
      <alignment horizontal="left"/>
    </xf>
    <xf numFmtId="3" fontId="7" fillId="0" borderId="0" xfId="0" applyNumberFormat="1" applyFont="1" applyFill="1" applyAlignment="1"/>
    <xf numFmtId="171" fontId="7" fillId="0" borderId="0" xfId="0" applyNumberFormat="1" applyFont="1" applyFill="1" applyAlignment="1"/>
    <xf numFmtId="164" fontId="7" fillId="0" borderId="0" xfId="0" applyNumberFormat="1" applyFont="1" applyFill="1" applyAlignment="1"/>
    <xf numFmtId="170" fontId="7" fillId="0" borderId="0" xfId="0" applyNumberFormat="1" applyFont="1" applyFill="1" applyAlignment="1"/>
    <xf numFmtId="164" fontId="4" fillId="0" borderId="0" xfId="0" applyNumberFormat="1" applyFont="1" applyAlignment="1"/>
    <xf numFmtId="3" fontId="7" fillId="0" borderId="0" xfId="0" applyNumberFormat="1" applyFont="1" applyAlignment="1"/>
    <xf numFmtId="164" fontId="7" fillId="0" borderId="0" xfId="0" applyNumberFormat="1" applyFont="1" applyAlignment="1"/>
    <xf numFmtId="164" fontId="7" fillId="0" borderId="12" xfId="0" applyNumberFormat="1" applyFont="1" applyBorder="1" applyAlignment="1"/>
    <xf numFmtId="3" fontId="4" fillId="0" borderId="0" xfId="0" applyNumberFormat="1" applyFont="1" applyAlignment="1"/>
    <xf numFmtId="44" fontId="0" fillId="0" borderId="0" xfId="0" applyNumberFormat="1"/>
    <xf numFmtId="0" fontId="0" fillId="0" borderId="0" xfId="0" applyBorder="1"/>
    <xf numFmtId="0" fontId="0" fillId="0" borderId="0" xfId="0" applyFill="1"/>
    <xf numFmtId="43" fontId="0" fillId="4" borderId="0" xfId="4" applyFont="1" applyFill="1"/>
    <xf numFmtId="43" fontId="0" fillId="0" borderId="0" xfId="4" applyFont="1"/>
    <xf numFmtId="43" fontId="8" fillId="0" borderId="0" xfId="4" applyFont="1"/>
    <xf numFmtId="0" fontId="7" fillId="0" borderId="0" xfId="0" applyFont="1"/>
    <xf numFmtId="0" fontId="0" fillId="3" borderId="0" xfId="0" applyFill="1"/>
    <xf numFmtId="0" fontId="5" fillId="0" borderId="16" xfId="0" applyFont="1" applyBorder="1"/>
    <xf numFmtId="166" fontId="5" fillId="0" borderId="16" xfId="4" applyNumberFormat="1" applyFont="1" applyFill="1" applyBorder="1"/>
    <xf numFmtId="166" fontId="5" fillId="0" borderId="0" xfId="4" applyNumberFormat="1" applyFont="1" applyFill="1" applyBorder="1"/>
    <xf numFmtId="0" fontId="5" fillId="0" borderId="14" xfId="0" applyFont="1" applyBorder="1"/>
    <xf numFmtId="0" fontId="0" fillId="0" borderId="14" xfId="0" applyBorder="1"/>
    <xf numFmtId="0" fontId="0" fillId="0" borderId="15" xfId="0" applyBorder="1"/>
    <xf numFmtId="43" fontId="0" fillId="0" borderId="0" xfId="0" applyNumberFormat="1" applyFill="1"/>
    <xf numFmtId="0" fontId="6" fillId="0" borderId="14" xfId="0" applyFont="1" applyBorder="1" applyAlignment="1">
      <alignment vertical="center" wrapText="1"/>
    </xf>
    <xf numFmtId="0" fontId="6" fillId="0" borderId="0" xfId="0" applyFont="1" applyBorder="1" applyAlignment="1">
      <alignment vertical="center" wrapText="1"/>
    </xf>
    <xf numFmtId="17" fontId="0" fillId="0" borderId="0" xfId="0" applyNumberFormat="1"/>
    <xf numFmtId="173" fontId="0" fillId="0" borderId="0" xfId="0" applyNumberFormat="1"/>
    <xf numFmtId="0" fontId="6" fillId="0" borderId="9" xfId="0" applyFont="1" applyBorder="1" applyAlignment="1">
      <alignment vertical="center" wrapText="1"/>
    </xf>
    <xf numFmtId="0" fontId="6" fillId="0" borderId="10" xfId="0" applyFont="1" applyBorder="1" applyAlignment="1">
      <alignment vertical="center" wrapText="1"/>
    </xf>
    <xf numFmtId="0" fontId="8" fillId="0" borderId="0" xfId="0" applyFont="1" applyFill="1"/>
    <xf numFmtId="43" fontId="8" fillId="0" borderId="0" xfId="4" applyFont="1" applyFill="1"/>
    <xf numFmtId="43" fontId="0" fillId="3" borderId="0" xfId="4" applyFont="1" applyFill="1"/>
    <xf numFmtId="173" fontId="0" fillId="0" borderId="0" xfId="2" applyNumberFormat="1" applyFont="1"/>
    <xf numFmtId="173" fontId="0" fillId="0" borderId="0" xfId="2" applyNumberFormat="1" applyFont="1" applyFill="1"/>
    <xf numFmtId="0" fontId="0" fillId="0" borderId="13" xfId="0" applyBorder="1"/>
    <xf numFmtId="0" fontId="0" fillId="0" borderId="16" xfId="0" applyBorder="1"/>
    <xf numFmtId="0" fontId="0" fillId="0" borderId="18" xfId="0" applyBorder="1"/>
    <xf numFmtId="165" fontId="5" fillId="0" borderId="0" xfId="3" applyNumberFormat="1" applyFont="1" applyBorder="1"/>
    <xf numFmtId="166" fontId="5" fillId="0" borderId="1" xfId="4" applyNumberFormat="1" applyFont="1" applyFill="1" applyBorder="1"/>
    <xf numFmtId="9" fontId="5" fillId="0" borderId="1" xfId="3" applyFont="1" applyBorder="1"/>
    <xf numFmtId="10" fontId="5" fillId="0" borderId="0" xfId="3" applyNumberFormat="1" applyFont="1" applyBorder="1"/>
    <xf numFmtId="0" fontId="16" fillId="0" borderId="0" xfId="0" applyFont="1"/>
    <xf numFmtId="0" fontId="17" fillId="0" borderId="7" xfId="0" applyFont="1" applyBorder="1"/>
    <xf numFmtId="0" fontId="17" fillId="0" borderId="7" xfId="0" applyFont="1" applyBorder="1" applyAlignment="1">
      <alignment horizontal="center"/>
    </xf>
    <xf numFmtId="0" fontId="18" fillId="0" borderId="0" xfId="0" applyFont="1"/>
    <xf numFmtId="0" fontId="18" fillId="8" borderId="0" xfId="0" applyFont="1" applyFill="1"/>
    <xf numFmtId="173" fontId="18" fillId="8" borderId="0" xfId="2" applyNumberFormat="1" applyFont="1" applyFill="1"/>
    <xf numFmtId="0" fontId="18" fillId="7" borderId="0" xfId="0" applyFont="1" applyFill="1"/>
    <xf numFmtId="173" fontId="18" fillId="7" borderId="0" xfId="2" applyNumberFormat="1" applyFont="1" applyFill="1"/>
    <xf numFmtId="0" fontId="18" fillId="0" borderId="0" xfId="0" applyFont="1" applyFill="1"/>
    <xf numFmtId="173" fontId="18" fillId="0" borderId="0" xfId="2" applyNumberFormat="1" applyFont="1" applyFill="1"/>
    <xf numFmtId="173" fontId="18" fillId="0" borderId="0" xfId="2" applyNumberFormat="1" applyFont="1"/>
    <xf numFmtId="0" fontId="0" fillId="0" borderId="0" xfId="0" applyFill="1" applyBorder="1"/>
    <xf numFmtId="173" fontId="18" fillId="0" borderId="0" xfId="0" applyNumberFormat="1" applyFont="1"/>
    <xf numFmtId="175" fontId="5" fillId="0" borderId="0" xfId="1" applyNumberFormat="1" applyFont="1" applyFill="1"/>
    <xf numFmtId="0" fontId="0" fillId="0" borderId="9" xfId="0" applyBorder="1"/>
    <xf numFmtId="0" fontId="7" fillId="0" borderId="0" xfId="30" applyFont="1"/>
    <xf numFmtId="0" fontId="7" fillId="0" borderId="0" xfId="30"/>
    <xf numFmtId="0" fontId="20" fillId="0" borderId="0" xfId="30" applyFont="1" applyFill="1" applyBorder="1"/>
    <xf numFmtId="0" fontId="21" fillId="0" borderId="0" xfId="30" applyFont="1" applyFill="1" applyBorder="1"/>
    <xf numFmtId="0" fontId="22" fillId="0" borderId="0" xfId="30" applyFont="1" applyFill="1" applyBorder="1"/>
    <xf numFmtId="0" fontId="23" fillId="0" borderId="0" xfId="30" applyFont="1" applyFill="1" applyBorder="1"/>
    <xf numFmtId="0" fontId="24" fillId="0" borderId="23" xfId="30" applyFont="1" applyFill="1" applyBorder="1"/>
    <xf numFmtId="0" fontId="24" fillId="9" borderId="23" xfId="30" applyFont="1" applyFill="1" applyBorder="1"/>
    <xf numFmtId="0" fontId="21" fillId="10" borderId="3" xfId="30" applyFont="1" applyFill="1" applyBorder="1"/>
    <xf numFmtId="0" fontId="21" fillId="10" borderId="24" xfId="30" applyFont="1" applyFill="1" applyBorder="1"/>
    <xf numFmtId="0" fontId="21" fillId="10" borderId="25" xfId="30" applyFont="1" applyFill="1" applyBorder="1"/>
    <xf numFmtId="0" fontId="21" fillId="11" borderId="25" xfId="30" applyFont="1" applyFill="1" applyBorder="1"/>
    <xf numFmtId="0" fontId="21" fillId="0" borderId="3" xfId="30" applyFont="1" applyFill="1" applyBorder="1" applyAlignment="1">
      <alignment horizontal="left" indent="1"/>
    </xf>
    <xf numFmtId="0" fontId="21" fillId="0" borderId="24" xfId="30" applyFont="1" applyFill="1" applyBorder="1"/>
    <xf numFmtId="5" fontId="21" fillId="0" borderId="2" xfId="30" applyNumberFormat="1" applyFont="1" applyFill="1" applyBorder="1"/>
    <xf numFmtId="5" fontId="21" fillId="9" borderId="2" xfId="30" applyNumberFormat="1" applyFont="1" applyFill="1" applyBorder="1"/>
    <xf numFmtId="5" fontId="7" fillId="0" borderId="0" xfId="30" applyNumberFormat="1"/>
    <xf numFmtId="0" fontId="21" fillId="0" borderId="26" xfId="30" applyFont="1" applyFill="1" applyBorder="1" applyAlignment="1">
      <alignment horizontal="left" indent="1"/>
    </xf>
    <xf numFmtId="0" fontId="21" fillId="0" borderId="27" xfId="30" applyFont="1" applyFill="1" applyBorder="1"/>
    <xf numFmtId="5" fontId="21" fillId="0" borderId="28" xfId="8" applyNumberFormat="1" applyFont="1" applyFill="1" applyBorder="1"/>
    <xf numFmtId="5" fontId="21" fillId="9" borderId="28" xfId="30" applyNumberFormat="1" applyFont="1" applyFill="1" applyBorder="1"/>
    <xf numFmtId="0" fontId="24" fillId="0" borderId="24" xfId="30" applyFont="1" applyFill="1" applyBorder="1" applyAlignment="1">
      <alignment horizontal="right"/>
    </xf>
    <xf numFmtId="5" fontId="21" fillId="0" borderId="2" xfId="8" applyNumberFormat="1" applyFont="1" applyFill="1" applyBorder="1"/>
    <xf numFmtId="5" fontId="21" fillId="9" borderId="2" xfId="8" applyNumberFormat="1" applyFont="1" applyFill="1" applyBorder="1"/>
    <xf numFmtId="0" fontId="21" fillId="10" borderId="3" xfId="30" applyFont="1" applyFill="1" applyBorder="1" applyAlignment="1">
      <alignment horizontal="left"/>
    </xf>
    <xf numFmtId="5" fontId="21" fillId="10" borderId="2" xfId="8" applyNumberFormat="1" applyFont="1" applyFill="1" applyBorder="1"/>
    <xf numFmtId="5" fontId="21" fillId="3" borderId="2" xfId="8" applyNumberFormat="1" applyFont="1" applyFill="1" applyBorder="1"/>
    <xf numFmtId="5" fontId="21" fillId="12" borderId="2" xfId="8" applyNumberFormat="1" applyFont="1" applyFill="1" applyBorder="1"/>
    <xf numFmtId="173" fontId="21" fillId="12" borderId="2" xfId="8" applyNumberFormat="1" applyFont="1" applyFill="1" applyBorder="1"/>
    <xf numFmtId="5" fontId="25" fillId="0" borderId="2" xfId="30" applyNumberFormat="1" applyFont="1" applyFill="1" applyBorder="1"/>
    <xf numFmtId="0" fontId="7" fillId="0" borderId="21" xfId="30" applyBorder="1"/>
    <xf numFmtId="0" fontId="7" fillId="0" borderId="8" xfId="30" applyBorder="1"/>
    <xf numFmtId="5" fontId="25" fillId="0" borderId="28" xfId="30" applyNumberFormat="1" applyFont="1" applyFill="1" applyBorder="1"/>
    <xf numFmtId="5" fontId="21" fillId="9" borderId="28" xfId="8" applyNumberFormat="1" applyFont="1" applyFill="1" applyBorder="1"/>
    <xf numFmtId="0" fontId="7" fillId="0" borderId="26" xfId="30" applyBorder="1"/>
    <xf numFmtId="0" fontId="7" fillId="0" borderId="7" xfId="30" applyBorder="1"/>
    <xf numFmtId="0" fontId="23" fillId="0" borderId="27" xfId="30" applyFont="1" applyFill="1" applyBorder="1" applyAlignment="1">
      <alignment horizontal="right"/>
    </xf>
    <xf numFmtId="0" fontId="21" fillId="0" borderId="0" xfId="30" applyFont="1" applyFill="1" applyBorder="1" applyAlignment="1">
      <alignment horizontal="left" indent="2"/>
    </xf>
    <xf numFmtId="0" fontId="23" fillId="0" borderId="0" xfId="30" applyFont="1" applyFill="1" applyBorder="1" applyAlignment="1">
      <alignment horizontal="right"/>
    </xf>
    <xf numFmtId="5" fontId="21" fillId="0" borderId="0" xfId="8" applyNumberFormat="1" applyFont="1" applyFill="1" applyBorder="1"/>
    <xf numFmtId="165" fontId="0" fillId="0" borderId="17" xfId="3" applyNumberFormat="1" applyFont="1" applyBorder="1"/>
    <xf numFmtId="165" fontId="0" fillId="0" borderId="19" xfId="3" applyNumberFormat="1" applyFont="1" applyBorder="1"/>
    <xf numFmtId="174" fontId="0" fillId="0" borderId="0" xfId="0" applyNumberFormat="1"/>
    <xf numFmtId="0" fontId="2" fillId="0" borderId="0" xfId="0" applyFont="1" applyBorder="1"/>
    <xf numFmtId="173" fontId="2" fillId="0" borderId="0" xfId="2" applyNumberFormat="1" applyFont="1" applyBorder="1"/>
    <xf numFmtId="43" fontId="0" fillId="0" borderId="0" xfId="4" applyFont="1" applyFill="1"/>
    <xf numFmtId="16" fontId="0" fillId="0" borderId="0" xfId="0" applyNumberFormat="1" applyFill="1"/>
    <xf numFmtId="0" fontId="2" fillId="0" borderId="0" xfId="0" applyFont="1" applyBorder="1" applyAlignment="1">
      <alignment horizontal="center"/>
    </xf>
    <xf numFmtId="0" fontId="2" fillId="0" borderId="0" xfId="0" applyFont="1" applyFill="1" applyBorder="1" applyAlignment="1">
      <alignment horizontal="center"/>
    </xf>
    <xf numFmtId="169" fontId="0" fillId="0" borderId="0" xfId="0" applyNumberFormat="1"/>
    <xf numFmtId="9" fontId="0" fillId="0" borderId="0" xfId="3" applyFont="1"/>
    <xf numFmtId="176" fontId="0" fillId="0" borderId="0" xfId="1" applyNumberFormat="1" applyFont="1" applyBorder="1"/>
    <xf numFmtId="166" fontId="16" fillId="0" borderId="0" xfId="0" applyNumberFormat="1" applyFont="1"/>
    <xf numFmtId="43" fontId="16" fillId="0" borderId="0" xfId="0" applyNumberFormat="1" applyFont="1"/>
    <xf numFmtId="9" fontId="0" fillId="0" borderId="0" xfId="3" applyFont="1" applyFill="1"/>
    <xf numFmtId="43" fontId="0" fillId="0" borderId="0" xfId="1" applyFont="1" applyBorder="1"/>
    <xf numFmtId="0" fontId="0" fillId="0" borderId="0" xfId="0" applyFont="1" applyFill="1" applyBorder="1"/>
    <xf numFmtId="43" fontId="0" fillId="0" borderId="0" xfId="1" applyFont="1" applyFill="1" applyBorder="1"/>
    <xf numFmtId="176" fontId="0" fillId="0" borderId="0" xfId="1" applyNumberFormat="1" applyFont="1"/>
    <xf numFmtId="0" fontId="11" fillId="0" borderId="0" xfId="30" applyFont="1" applyAlignment="1">
      <alignment horizontal="center"/>
    </xf>
    <xf numFmtId="0" fontId="26" fillId="0" borderId="0" xfId="30" applyFont="1" applyAlignment="1">
      <alignment horizontal="right"/>
    </xf>
    <xf numFmtId="178" fontId="27" fillId="0" borderId="0" xfId="30" applyNumberFormat="1" applyFont="1" applyAlignment="1">
      <alignment horizontal="right"/>
    </xf>
    <xf numFmtId="178" fontId="27" fillId="0" borderId="7" xfId="30" applyNumberFormat="1" applyFont="1" applyBorder="1" applyAlignment="1">
      <alignment horizontal="right"/>
    </xf>
    <xf numFmtId="178" fontId="27" fillId="0" borderId="0" xfId="30" applyNumberFormat="1" applyFont="1" applyBorder="1" applyAlignment="1">
      <alignment horizontal="right"/>
    </xf>
    <xf numFmtId="0" fontId="27" fillId="0" borderId="29" xfId="30" applyFont="1" applyBorder="1"/>
    <xf numFmtId="171" fontId="7" fillId="0" borderId="29" xfId="30" applyNumberFormat="1" applyBorder="1"/>
    <xf numFmtId="171" fontId="7" fillId="0" borderId="0" xfId="30" applyNumberFormat="1" applyBorder="1"/>
    <xf numFmtId="0" fontId="11" fillId="0" borderId="0" xfId="30" applyFont="1"/>
    <xf numFmtId="10" fontId="7" fillId="0" borderId="0" xfId="30" applyNumberFormat="1"/>
    <xf numFmtId="0" fontId="11" fillId="14" borderId="0" xfId="30" applyFont="1" applyFill="1"/>
    <xf numFmtId="171" fontId="11" fillId="14" borderId="0" xfId="30" applyNumberFormat="1" applyFont="1" applyFill="1"/>
    <xf numFmtId="0" fontId="27" fillId="0" borderId="0" xfId="30" applyFont="1"/>
    <xf numFmtId="171" fontId="7" fillId="0" borderId="0" xfId="30" applyNumberFormat="1"/>
    <xf numFmtId="170" fontId="7" fillId="0" borderId="0" xfId="30" applyNumberFormat="1"/>
    <xf numFmtId="171" fontId="7" fillId="13" borderId="0" xfId="30" applyNumberFormat="1" applyFill="1"/>
    <xf numFmtId="0" fontId="4" fillId="0" borderId="0" xfId="30" applyFont="1" applyAlignment="1">
      <alignment wrapText="1"/>
    </xf>
    <xf numFmtId="0" fontId="4" fillId="0" borderId="0" xfId="30" applyFont="1" applyAlignment="1">
      <alignment horizontal="center" vertical="center"/>
    </xf>
    <xf numFmtId="0" fontId="29" fillId="0" borderId="0" xfId="30" applyFont="1" applyBorder="1"/>
    <xf numFmtId="0" fontId="28" fillId="0" borderId="0" xfId="30" applyFont="1" applyAlignment="1"/>
    <xf numFmtId="177" fontId="0" fillId="0" borderId="0" xfId="4" applyNumberFormat="1" applyFont="1"/>
    <xf numFmtId="0" fontId="7" fillId="0" borderId="0" xfId="30" applyAlignment="1"/>
    <xf numFmtId="0" fontId="11" fillId="0" borderId="0" xfId="30" applyFont="1" applyAlignment="1"/>
    <xf numFmtId="0" fontId="14" fillId="0" borderId="0" xfId="30" applyFont="1" applyAlignment="1">
      <alignment horizontal="center"/>
    </xf>
    <xf numFmtId="171" fontId="7" fillId="0" borderId="7" xfId="30" applyNumberFormat="1" applyBorder="1"/>
    <xf numFmtId="171" fontId="29" fillId="0" borderId="0" xfId="30" applyNumberFormat="1" applyFont="1" applyBorder="1"/>
    <xf numFmtId="0" fontId="11" fillId="0" borderId="0" xfId="30" applyNumberFormat="1" applyFont="1" applyAlignment="1" applyProtection="1">
      <alignment horizontal="center" vertical="center"/>
      <protection locked="0"/>
    </xf>
    <xf numFmtId="171" fontId="7" fillId="0" borderId="0" xfId="30" applyNumberFormat="1" applyFont="1" applyFill="1" applyBorder="1" applyAlignment="1">
      <alignment vertical="center"/>
    </xf>
    <xf numFmtId="171" fontId="11" fillId="0" borderId="0" xfId="30" applyNumberFormat="1" applyFont="1" applyFill="1" applyBorder="1" applyAlignment="1">
      <alignment vertical="center"/>
    </xf>
    <xf numFmtId="0" fontId="0" fillId="0" borderId="0" xfId="0" applyFill="1" applyAlignment="1">
      <alignment horizontal="centerContinuous"/>
    </xf>
    <xf numFmtId="0" fontId="11" fillId="0" borderId="0" xfId="0" applyFont="1" applyFill="1" applyAlignment="1">
      <alignment horizontal="center"/>
    </xf>
    <xf numFmtId="0" fontId="7" fillId="0" borderId="0" xfId="0" applyFont="1" applyFill="1" applyAlignment="1">
      <alignment horizontal="center"/>
    </xf>
    <xf numFmtId="0" fontId="4" fillId="0" borderId="0" xfId="0" applyFont="1" applyFill="1" applyAlignment="1"/>
    <xf numFmtId="0" fontId="11" fillId="0" borderId="0" xfId="0" applyFont="1" applyFill="1" applyAlignment="1">
      <alignment horizontal="center" wrapText="1"/>
    </xf>
    <xf numFmtId="9" fontId="7" fillId="0" borderId="0" xfId="3" applyFont="1" applyFill="1" applyAlignment="1"/>
    <xf numFmtId="165" fontId="7" fillId="0" borderId="0" xfId="0" applyNumberFormat="1" applyFont="1" applyFill="1" applyAlignment="1"/>
    <xf numFmtId="164" fontId="4" fillId="0" borderId="0" xfId="0" applyNumberFormat="1" applyFont="1" applyFill="1" applyAlignment="1"/>
    <xf numFmtId="170" fontId="4" fillId="0" borderId="0" xfId="0" applyNumberFormat="1" applyFont="1" applyFill="1" applyAlignment="1"/>
    <xf numFmtId="10" fontId="7" fillId="0" borderId="0" xfId="0" applyNumberFormat="1" applyFont="1" applyFill="1" applyAlignment="1"/>
    <xf numFmtId="179" fontId="7" fillId="0" borderId="0" xfId="0" applyNumberFormat="1" applyFont="1" applyFill="1" applyAlignment="1"/>
    <xf numFmtId="0" fontId="6" fillId="0" borderId="1" xfId="0" applyFont="1" applyBorder="1" applyAlignment="1">
      <alignment vertical="center" wrapText="1"/>
    </xf>
    <xf numFmtId="0" fontId="6" fillId="0" borderId="18" xfId="0" applyFont="1" applyBorder="1" applyAlignment="1">
      <alignment vertical="center" wrapText="1"/>
    </xf>
    <xf numFmtId="0" fontId="6" fillId="0" borderId="19" xfId="0" applyFont="1" applyBorder="1" applyAlignment="1">
      <alignment vertical="center" wrapText="1"/>
    </xf>
    <xf numFmtId="0" fontId="5" fillId="0" borderId="9" xfId="0" applyFont="1" applyBorder="1"/>
    <xf numFmtId="3" fontId="5" fillId="0" borderId="9" xfId="0" applyNumberFormat="1" applyFont="1" applyFill="1" applyBorder="1"/>
    <xf numFmtId="0" fontId="6" fillId="0" borderId="20" xfId="0" applyFont="1" applyBorder="1" applyAlignment="1">
      <alignment vertical="center" wrapText="1"/>
    </xf>
    <xf numFmtId="0" fontId="5" fillId="0" borderId="19" xfId="0" applyFont="1" applyBorder="1"/>
    <xf numFmtId="0" fontId="4" fillId="3" borderId="0" xfId="0" applyFont="1" applyFill="1" applyAlignment="1">
      <alignment horizontal="center"/>
    </xf>
    <xf numFmtId="0" fontId="3" fillId="3" borderId="0" xfId="0" applyFont="1" applyFill="1" applyAlignment="1"/>
    <xf numFmtId="164" fontId="0" fillId="3" borderId="0" xfId="2" applyNumberFormat="1" applyFont="1" applyFill="1"/>
    <xf numFmtId="164" fontId="0" fillId="3" borderId="0" xfId="0" applyNumberFormat="1" applyFill="1"/>
    <xf numFmtId="166" fontId="0" fillId="3" borderId="0" xfId="1" applyNumberFormat="1" applyFont="1" applyFill="1"/>
    <xf numFmtId="166" fontId="0" fillId="3" borderId="0" xfId="0" applyNumberFormat="1" applyFill="1"/>
    <xf numFmtId="3" fontId="0" fillId="3" borderId="0" xfId="0" applyNumberFormat="1" applyFill="1"/>
    <xf numFmtId="43" fontId="0" fillId="3" borderId="0" xfId="0" applyNumberFormat="1" applyFill="1" applyBorder="1"/>
    <xf numFmtId="0" fontId="14" fillId="0" borderId="0" xfId="30" applyFont="1" applyBorder="1" applyAlignment="1">
      <alignment horizontal="center" vertical="center"/>
    </xf>
    <xf numFmtId="171" fontId="11" fillId="0" borderId="0" xfId="30" applyNumberFormat="1" applyFont="1" applyAlignment="1">
      <alignment horizontal="center" vertical="center"/>
    </xf>
    <xf numFmtId="0" fontId="11" fillId="0" borderId="0" xfId="30" applyFont="1" applyAlignment="1">
      <alignment horizontal="center" vertical="center"/>
    </xf>
    <xf numFmtId="43" fontId="0" fillId="0" borderId="0" xfId="0" applyNumberFormat="1" applyFill="1" applyBorder="1"/>
    <xf numFmtId="2" fontId="0" fillId="3" borderId="0" xfId="0" applyNumberFormat="1" applyFill="1"/>
    <xf numFmtId="0" fontId="32" fillId="0" borderId="0" xfId="86"/>
    <xf numFmtId="176" fontId="0" fillId="0" borderId="0" xfId="1" applyNumberFormat="1" applyFont="1" applyFill="1" applyBorder="1"/>
    <xf numFmtId="176" fontId="0" fillId="0" borderId="0" xfId="1" applyNumberFormat="1" applyFont="1" applyFill="1"/>
    <xf numFmtId="176" fontId="0" fillId="0" borderId="1" xfId="1" applyNumberFormat="1" applyFont="1" applyBorder="1"/>
    <xf numFmtId="0" fontId="10" fillId="0" borderId="0" xfId="0" applyFont="1" applyAlignment="1">
      <alignment horizontal="left" vertical="center"/>
    </xf>
    <xf numFmtId="0" fontId="0" fillId="0" borderId="0" xfId="0" applyAlignment="1">
      <alignment horizontal="left" vertical="center"/>
    </xf>
    <xf numFmtId="164" fontId="0" fillId="0" borderId="1" xfId="0" applyNumberFormat="1" applyBorder="1"/>
    <xf numFmtId="164" fontId="5" fillId="0" borderId="1" xfId="0" applyNumberFormat="1" applyFont="1" applyBorder="1"/>
    <xf numFmtId="164" fontId="0" fillId="0" borderId="0" xfId="2" applyNumberFormat="1" applyFont="1" applyFill="1"/>
    <xf numFmtId="0" fontId="6" fillId="0" borderId="0" xfId="0" applyFont="1" applyBorder="1" applyAlignment="1">
      <alignment horizontal="center" vertical="center" wrapText="1"/>
    </xf>
    <xf numFmtId="0" fontId="6" fillId="0" borderId="14" xfId="0" applyFont="1" applyBorder="1" applyAlignment="1">
      <alignment horizontal="center" vertical="center" wrapText="1"/>
    </xf>
    <xf numFmtId="0" fontId="11" fillId="0" borderId="0" xfId="0" applyFont="1" applyAlignment="1">
      <alignment horizontal="center"/>
    </xf>
    <xf numFmtId="0" fontId="0" fillId="0" borderId="0" xfId="0" applyAlignment="1">
      <alignment horizontal="center"/>
    </xf>
    <xf numFmtId="0" fontId="2" fillId="0" borderId="0" xfId="0" applyFont="1" applyAlignment="1">
      <alignment horizontal="left" wrapText="1"/>
    </xf>
    <xf numFmtId="43" fontId="16" fillId="0" borderId="0" xfId="1" applyFont="1"/>
    <xf numFmtId="17" fontId="0" fillId="15" borderId="7" xfId="0" applyNumberFormat="1" applyFill="1" applyBorder="1" applyAlignment="1">
      <alignment horizontal="center"/>
    </xf>
    <xf numFmtId="17" fontId="0" fillId="15" borderId="27" xfId="0" applyNumberFormat="1" applyFill="1" applyBorder="1" applyAlignment="1">
      <alignment horizontal="center"/>
    </xf>
    <xf numFmtId="166" fontId="5" fillId="0" borderId="0" xfId="1" applyNumberFormat="1" applyFont="1" applyFill="1" applyBorder="1"/>
    <xf numFmtId="166" fontId="5" fillId="16" borderId="0" xfId="1" applyNumberFormat="1" applyFont="1" applyFill="1" applyBorder="1"/>
    <xf numFmtId="173" fontId="0" fillId="0" borderId="0" xfId="2" applyNumberFormat="1" applyFont="1" applyFill="1" applyBorder="1"/>
    <xf numFmtId="17" fontId="0" fillId="15" borderId="29" xfId="0" applyNumberFormat="1" applyFill="1" applyBorder="1" applyAlignment="1">
      <alignment horizontal="center"/>
    </xf>
    <xf numFmtId="0" fontId="33" fillId="3" borderId="0" xfId="0" applyFont="1" applyFill="1" applyAlignment="1">
      <alignment horizontal="center"/>
    </xf>
    <xf numFmtId="0" fontId="33" fillId="3" borderId="0" xfId="0" applyFont="1" applyFill="1"/>
    <xf numFmtId="0" fontId="0" fillId="3" borderId="0" xfId="0" applyFill="1" applyAlignment="1">
      <alignment horizontal="center"/>
    </xf>
    <xf numFmtId="178" fontId="27" fillId="0" borderId="0" xfId="0" applyNumberFormat="1" applyFont="1" applyAlignment="1">
      <alignment horizontal="right"/>
    </xf>
    <xf numFmtId="178" fontId="27" fillId="0" borderId="0" xfId="0" applyNumberFormat="1" applyFont="1" applyBorder="1" applyAlignment="1">
      <alignment horizontal="right"/>
    </xf>
    <xf numFmtId="171" fontId="0" fillId="0" borderId="0" xfId="0" applyNumberFormat="1" applyBorder="1"/>
    <xf numFmtId="171" fontId="11" fillId="14" borderId="0" xfId="0" applyNumberFormat="1" applyFont="1" applyFill="1"/>
    <xf numFmtId="171" fontId="0" fillId="0" borderId="0" xfId="0" applyNumberFormat="1"/>
    <xf numFmtId="170" fontId="0" fillId="0" borderId="0" xfId="0" applyNumberFormat="1"/>
    <xf numFmtId="0" fontId="28" fillId="0" borderId="0" xfId="0" applyFont="1" applyAlignment="1">
      <alignment vertical="top" wrapText="1"/>
    </xf>
    <xf numFmtId="171" fontId="11" fillId="0" borderId="0" xfId="0" applyNumberFormat="1" applyFont="1" applyAlignment="1">
      <alignment horizontal="center" vertical="center"/>
    </xf>
    <xf numFmtId="0" fontId="11" fillId="0" borderId="0" xfId="0" applyFont="1" applyAlignment="1">
      <alignment horizontal="center" vertical="center"/>
    </xf>
    <xf numFmtId="171" fontId="0" fillId="0" borderId="0" xfId="0" applyNumberFormat="1" applyFill="1"/>
    <xf numFmtId="0" fontId="4" fillId="0" borderId="0" xfId="0" applyFont="1" applyAlignment="1">
      <alignment wrapText="1"/>
    </xf>
    <xf numFmtId="0" fontId="29" fillId="0" borderId="0" xfId="0" applyFont="1" applyBorder="1"/>
    <xf numFmtId="0" fontId="28" fillId="0" borderId="0" xfId="0" applyFont="1" applyAlignment="1"/>
    <xf numFmtId="0" fontId="0" fillId="0" borderId="0" xfId="0" applyAlignment="1"/>
    <xf numFmtId="0" fontId="11" fillId="0" borderId="0" xfId="0" applyFont="1" applyAlignment="1"/>
    <xf numFmtId="171" fontId="29" fillId="0" borderId="0" xfId="0" applyNumberFormat="1" applyFont="1" applyBorder="1"/>
    <xf numFmtId="0" fontId="11" fillId="0" borderId="0" xfId="0" applyNumberFormat="1" applyFont="1" applyAlignment="1" applyProtection="1">
      <alignment horizontal="center" vertical="center"/>
      <protection locked="0"/>
    </xf>
    <xf numFmtId="171" fontId="7" fillId="0" borderId="0" xfId="0" applyNumberFormat="1" applyFont="1" applyFill="1" applyBorder="1" applyAlignment="1">
      <alignment vertical="center"/>
    </xf>
    <xf numFmtId="171" fontId="11" fillId="0" borderId="0" xfId="0" applyNumberFormat="1" applyFont="1" applyFill="1" applyBorder="1" applyAlignment="1">
      <alignment vertical="center"/>
    </xf>
    <xf numFmtId="175" fontId="16" fillId="0" borderId="0" xfId="1" applyNumberFormat="1" applyFont="1"/>
    <xf numFmtId="0" fontId="0" fillId="0" borderId="31" xfId="0" applyBorder="1"/>
    <xf numFmtId="166" fontId="16" fillId="0" borderId="0" xfId="1" applyNumberFormat="1" applyFont="1"/>
    <xf numFmtId="0" fontId="0" fillId="0" borderId="0" xfId="0" quotePrefix="1" applyFont="1" applyFill="1" applyBorder="1"/>
    <xf numFmtId="172" fontId="2" fillId="5" borderId="0" xfId="0" applyNumberFormat="1" applyFont="1" applyFill="1" applyAlignment="1">
      <alignment horizontal="left"/>
    </xf>
    <xf numFmtId="43" fontId="0" fillId="5" borderId="0" xfId="4" applyFont="1" applyFill="1"/>
    <xf numFmtId="43" fontId="5" fillId="5" borderId="0" xfId="4" applyFont="1" applyFill="1"/>
    <xf numFmtId="172" fontId="2" fillId="0" borderId="13" xfId="0" applyNumberFormat="1" applyFont="1" applyBorder="1" applyAlignment="1">
      <alignment horizontal="left"/>
    </xf>
    <xf numFmtId="43" fontId="0" fillId="4" borderId="14" xfId="4" applyFont="1" applyFill="1" applyBorder="1"/>
    <xf numFmtId="43" fontId="0" fillId="0" borderId="15" xfId="4" applyFont="1" applyBorder="1"/>
    <xf numFmtId="172" fontId="2" fillId="0" borderId="16" xfId="0" applyNumberFormat="1" applyFont="1" applyBorder="1" applyAlignment="1">
      <alignment horizontal="left"/>
    </xf>
    <xf numFmtId="43" fontId="0" fillId="4" borderId="0" xfId="4" applyFont="1" applyFill="1" applyBorder="1"/>
    <xf numFmtId="43" fontId="0" fillId="0" borderId="17" xfId="4" applyFont="1" applyBorder="1"/>
    <xf numFmtId="43" fontId="0" fillId="3" borderId="0" xfId="1" applyFont="1" applyFill="1" applyBorder="1"/>
    <xf numFmtId="0" fontId="0" fillId="0" borderId="0" xfId="0" applyFont="1" applyFill="1" applyBorder="1" applyAlignment="1">
      <alignment horizontal="right"/>
    </xf>
    <xf numFmtId="43" fontId="0" fillId="6" borderId="0" xfId="1" applyFont="1" applyFill="1" applyBorder="1"/>
    <xf numFmtId="0" fontId="11" fillId="0" borderId="0" xfId="0" applyFont="1" applyAlignment="1">
      <alignment horizontal="center"/>
    </xf>
    <xf numFmtId="0" fontId="0" fillId="0" borderId="0" xfId="0" applyAlignment="1">
      <alignment horizontal="center"/>
    </xf>
    <xf numFmtId="171" fontId="11" fillId="0" borderId="0" xfId="0" applyNumberFormat="1" applyFont="1" applyAlignment="1">
      <alignment horizontal="center" vertical="center"/>
    </xf>
    <xf numFmtId="0" fontId="11" fillId="0" borderId="0" xfId="0" applyFont="1" applyAlignment="1">
      <alignment horizontal="center" vertical="center"/>
    </xf>
    <xf numFmtId="0" fontId="16" fillId="3" borderId="0" xfId="0" applyFont="1" applyFill="1"/>
    <xf numFmtId="172" fontId="0" fillId="0" borderId="0" xfId="0" applyNumberFormat="1"/>
    <xf numFmtId="44" fontId="0" fillId="0" borderId="0" xfId="2" applyFont="1"/>
    <xf numFmtId="180" fontId="0" fillId="0" borderId="0" xfId="2" applyNumberFormat="1" applyFont="1"/>
    <xf numFmtId="44" fontId="0" fillId="0" borderId="0" xfId="2" applyNumberFormat="1" applyFont="1"/>
    <xf numFmtId="0" fontId="0" fillId="0" borderId="23" xfId="0" applyBorder="1"/>
    <xf numFmtId="0" fontId="2" fillId="0" borderId="23" xfId="0" applyFont="1" applyBorder="1"/>
    <xf numFmtId="164" fontId="0" fillId="0" borderId="23" xfId="0" applyNumberFormat="1" applyBorder="1"/>
    <xf numFmtId="5" fontId="2" fillId="0" borderId="0" xfId="0" applyNumberFormat="1" applyFont="1" applyBorder="1"/>
    <xf numFmtId="176" fontId="0" fillId="0" borderId="1" xfId="1" applyNumberFormat="1" applyFont="1" applyFill="1" applyBorder="1"/>
    <xf numFmtId="176" fontId="0" fillId="0" borderId="16" xfId="1" applyNumberFormat="1" applyFont="1" applyBorder="1"/>
    <xf numFmtId="176" fontId="0" fillId="0" borderId="18" xfId="1" applyNumberFormat="1" applyFont="1" applyBorder="1"/>
    <xf numFmtId="176" fontId="0" fillId="0" borderId="18" xfId="1" applyNumberFormat="1" applyFont="1" applyFill="1" applyBorder="1"/>
    <xf numFmtId="165" fontId="0" fillId="0" borderId="11" xfId="3" applyNumberFormat="1" applyFont="1" applyBorder="1"/>
    <xf numFmtId="173" fontId="0" fillId="0" borderId="0" xfId="0" applyNumberFormat="1" applyFill="1"/>
    <xf numFmtId="164" fontId="0" fillId="0" borderId="0" xfId="0" applyNumberFormat="1" applyFont="1" applyFill="1" applyBorder="1"/>
    <xf numFmtId="173" fontId="2" fillId="0" borderId="0" xfId="2" applyNumberFormat="1" applyFont="1" applyFill="1" applyBorder="1"/>
    <xf numFmtId="164" fontId="0" fillId="0" borderId="0" xfId="0" applyNumberFormat="1" applyFill="1" applyBorder="1"/>
    <xf numFmtId="173" fontId="0" fillId="0" borderId="0" xfId="0" applyNumberFormat="1" applyFill="1" applyBorder="1"/>
    <xf numFmtId="0" fontId="2" fillId="0" borderId="0" xfId="0" applyFont="1" applyFill="1" applyBorder="1"/>
    <xf numFmtId="164" fontId="2" fillId="0" borderId="0" xfId="0" applyNumberFormat="1" applyFont="1" applyFill="1" applyBorder="1"/>
    <xf numFmtId="43" fontId="0" fillId="6" borderId="0" xfId="4" applyFont="1" applyFill="1"/>
    <xf numFmtId="0" fontId="29" fillId="0" borderId="0" xfId="0" applyFont="1"/>
    <xf numFmtId="0" fontId="28" fillId="0" borderId="0" xfId="0" applyFont="1"/>
    <xf numFmtId="171" fontId="29" fillId="0" borderId="0" xfId="0" applyNumberFormat="1" applyFont="1"/>
    <xf numFmtId="0" fontId="11" fillId="0" borderId="0" xfId="0" applyFont="1" applyAlignment="1" applyProtection="1">
      <alignment horizontal="center" vertical="center"/>
      <protection locked="0"/>
    </xf>
    <xf numFmtId="171" fontId="7" fillId="0" borderId="0" xfId="0" applyNumberFormat="1" applyFont="1" applyAlignment="1">
      <alignment vertical="center"/>
    </xf>
    <xf numFmtId="171" fontId="11" fillId="0" borderId="0" xfId="0" applyNumberFormat="1" applyFont="1" applyAlignment="1">
      <alignment vertical="center"/>
    </xf>
    <xf numFmtId="0" fontId="35" fillId="0" borderId="0" xfId="140" applyAlignment="1">
      <alignment vertical="center"/>
    </xf>
    <xf numFmtId="0" fontId="0" fillId="0" borderId="0" xfId="0" applyAlignment="1">
      <alignment horizontal="center"/>
    </xf>
    <xf numFmtId="0" fontId="6" fillId="0" borderId="18" xfId="0" applyFont="1" applyBorder="1"/>
    <xf numFmtId="164" fontId="13" fillId="0" borderId="0" xfId="0" applyNumberFormat="1" applyFont="1"/>
    <xf numFmtId="166" fontId="5" fillId="0" borderId="0" xfId="1" applyNumberFormat="1" applyFont="1" applyFill="1"/>
    <xf numFmtId="0" fontId="2" fillId="0" borderId="9" xfId="0" applyFont="1" applyBorder="1"/>
    <xf numFmtId="43" fontId="0" fillId="0" borderId="10" xfId="1" applyFont="1" applyBorder="1"/>
    <xf numFmtId="43" fontId="0" fillId="0" borderId="11" xfId="1" applyFont="1" applyBorder="1"/>
    <xf numFmtId="0" fontId="0" fillId="0" borderId="0" xfId="0" applyAlignment="1">
      <alignment horizontal="right"/>
    </xf>
    <xf numFmtId="173" fontId="0" fillId="3" borderId="0" xfId="0" applyNumberFormat="1" applyFill="1"/>
    <xf numFmtId="44" fontId="0" fillId="3" borderId="0" xfId="2" applyFont="1" applyFill="1"/>
    <xf numFmtId="44" fontId="0" fillId="0" borderId="0" xfId="2" applyFont="1" applyFill="1"/>
    <xf numFmtId="165" fontId="0" fillId="0" borderId="0" xfId="3" applyNumberFormat="1" applyFont="1" applyFill="1"/>
    <xf numFmtId="181" fontId="0" fillId="0" borderId="0" xfId="0" applyNumberFormat="1" applyFill="1"/>
    <xf numFmtId="0" fontId="0" fillId="0" borderId="0" xfId="0" applyAlignment="1">
      <alignment horizontal="center"/>
    </xf>
    <xf numFmtId="0" fontId="0" fillId="0" borderId="32" xfId="0" applyBorder="1"/>
    <xf numFmtId="182" fontId="36" fillId="0" borderId="7" xfId="11" applyNumberFormat="1" applyFont="1" applyBorder="1" applyAlignment="1">
      <alignment horizontal="center"/>
    </xf>
    <xf numFmtId="0" fontId="0" fillId="0" borderId="7" xfId="0" applyBorder="1"/>
    <xf numFmtId="0" fontId="0" fillId="0" borderId="1" xfId="0" applyBorder="1"/>
    <xf numFmtId="173" fontId="0" fillId="0" borderId="1" xfId="2" applyNumberFormat="1" applyFont="1" applyBorder="1"/>
    <xf numFmtId="173" fontId="5" fillId="0" borderId="0" xfId="2" applyNumberFormat="1" applyFont="1" applyFill="1"/>
    <xf numFmtId="165" fontId="0" fillId="0" borderId="0" xfId="3" applyNumberFormat="1" applyFont="1"/>
    <xf numFmtId="175" fontId="0" fillId="0" borderId="0" xfId="1" applyNumberFormat="1" applyFont="1"/>
    <xf numFmtId="0" fontId="6" fillId="0" borderId="0" xfId="0" applyFont="1" applyBorder="1" applyAlignment="1">
      <alignment horizontal="center" vertical="center" wrapText="1"/>
    </xf>
    <xf numFmtId="0" fontId="6" fillId="0" borderId="0" xfId="0" applyFont="1" applyAlignment="1">
      <alignment horizontal="center"/>
    </xf>
    <xf numFmtId="0" fontId="6" fillId="0" borderId="1" xfId="0" applyFont="1" applyBorder="1" applyAlignment="1">
      <alignment horizontal="center"/>
    </xf>
    <xf numFmtId="0" fontId="6" fillId="0" borderId="3" xfId="0" applyFont="1" applyBorder="1" applyAlignment="1">
      <alignment horizontal="center" vertical="center" wrapText="1"/>
    </xf>
    <xf numFmtId="0" fontId="6" fillId="0" borderId="6" xfId="0" applyFont="1" applyBorder="1" applyAlignment="1">
      <alignment horizontal="center" vertical="center" wrapText="1"/>
    </xf>
    <xf numFmtId="0" fontId="6" fillId="0" borderId="0" xfId="0" applyFont="1" applyAlignment="1">
      <alignment horizontal="center" vertical="center" wrapText="1"/>
    </xf>
    <xf numFmtId="0" fontId="2" fillId="0" borderId="0" xfId="0" applyFont="1" applyAlignment="1">
      <alignment horizontal="center" vertical="center" wrapText="1"/>
    </xf>
    <xf numFmtId="0" fontId="0" fillId="0" borderId="0" xfId="0" applyAlignment="1">
      <alignment horizontal="center"/>
    </xf>
    <xf numFmtId="0" fontId="0" fillId="0" borderId="0" xfId="0" applyFill="1" applyAlignment="1">
      <alignment horizontal="center"/>
    </xf>
    <xf numFmtId="0" fontId="2" fillId="18" borderId="9" xfId="0" applyFont="1" applyFill="1" applyBorder="1" applyAlignment="1">
      <alignment horizontal="center"/>
    </xf>
    <xf numFmtId="0" fontId="2" fillId="18" borderId="11" xfId="0" applyFont="1" applyFill="1" applyBorder="1" applyAlignment="1">
      <alignment horizontal="center"/>
    </xf>
    <xf numFmtId="0" fontId="2" fillId="0" borderId="0" xfId="0" applyFont="1" applyAlignment="1">
      <alignment horizontal="center"/>
    </xf>
    <xf numFmtId="0" fontId="6" fillId="0" borderId="14" xfId="0" applyFont="1" applyBorder="1" applyAlignment="1">
      <alignment horizontal="center" vertical="center" wrapText="1"/>
    </xf>
    <xf numFmtId="0" fontId="6" fillId="0" borderId="1" xfId="0" applyFont="1" applyBorder="1" applyAlignment="1">
      <alignment horizontal="center" vertical="center" wrapText="1"/>
    </xf>
    <xf numFmtId="0" fontId="2" fillId="0" borderId="14" xfId="0" applyFont="1" applyBorder="1" applyAlignment="1">
      <alignment horizontal="center" vertical="center" wrapText="1"/>
    </xf>
    <xf numFmtId="0" fontId="2" fillId="0" borderId="1" xfId="0" applyFont="1" applyBorder="1" applyAlignment="1">
      <alignment horizontal="center" vertical="center" wrapText="1"/>
    </xf>
    <xf numFmtId="0" fontId="6" fillId="0" borderId="13" xfId="0" applyFont="1" applyBorder="1" applyAlignment="1">
      <alignment horizontal="center" vertical="center" wrapText="1"/>
    </xf>
    <xf numFmtId="0" fontId="6" fillId="0" borderId="16" xfId="0" applyFont="1" applyBorder="1" applyAlignment="1">
      <alignment horizontal="center" vertical="center" wrapText="1"/>
    </xf>
    <xf numFmtId="0" fontId="6" fillId="0" borderId="18" xfId="0" applyFont="1" applyBorder="1" applyAlignment="1">
      <alignment horizontal="center" vertical="center" wrapText="1"/>
    </xf>
    <xf numFmtId="0" fontId="6" fillId="0" borderId="15" xfId="0" applyFont="1" applyBorder="1" applyAlignment="1">
      <alignment horizontal="center" vertical="center" wrapText="1"/>
    </xf>
    <xf numFmtId="0" fontId="6" fillId="0" borderId="17" xfId="0" applyFont="1" applyBorder="1" applyAlignment="1">
      <alignment horizontal="center" vertical="center" wrapText="1"/>
    </xf>
    <xf numFmtId="0" fontId="6" fillId="0" borderId="19" xfId="0" applyFont="1" applyBorder="1" applyAlignment="1">
      <alignment horizontal="center" vertical="center" wrapText="1"/>
    </xf>
    <xf numFmtId="0" fontId="2" fillId="17" borderId="23" xfId="0" applyFont="1" applyFill="1" applyBorder="1" applyAlignment="1">
      <alignment horizontal="center"/>
    </xf>
    <xf numFmtId="0" fontId="0" fillId="0" borderId="21" xfId="0" applyBorder="1" applyAlignment="1">
      <alignment horizontal="center"/>
    </xf>
    <xf numFmtId="0" fontId="0" fillId="0" borderId="8" xfId="0" applyBorder="1" applyAlignment="1">
      <alignment horizontal="center"/>
    </xf>
    <xf numFmtId="0" fontId="0" fillId="0" borderId="22" xfId="0" applyBorder="1" applyAlignment="1">
      <alignment horizontal="center"/>
    </xf>
    <xf numFmtId="0" fontId="23" fillId="0" borderId="21" xfId="30" applyFont="1" applyFill="1" applyBorder="1" applyAlignment="1">
      <alignment horizontal="left"/>
    </xf>
    <xf numFmtId="0" fontId="23" fillId="0" borderId="22" xfId="30" applyFont="1" applyFill="1" applyBorder="1" applyAlignment="1">
      <alignment horizontal="left"/>
    </xf>
    <xf numFmtId="0" fontId="0" fillId="15" borderId="30" xfId="0" applyFill="1" applyBorder="1" applyAlignment="1">
      <alignment horizontal="center"/>
    </xf>
    <xf numFmtId="0" fontId="0" fillId="15" borderId="29" xfId="0" applyFill="1" applyBorder="1" applyAlignment="1">
      <alignment horizontal="center"/>
    </xf>
    <xf numFmtId="0" fontId="11" fillId="0" borderId="0" xfId="0" applyFont="1" applyAlignment="1">
      <alignment horizontal="center"/>
    </xf>
    <xf numFmtId="0" fontId="14" fillId="0" borderId="29" xfId="30" applyFont="1" applyBorder="1" applyAlignment="1">
      <alignment horizontal="center" vertical="center"/>
    </xf>
    <xf numFmtId="0" fontId="14" fillId="0" borderId="0" xfId="30" applyFont="1" applyBorder="1" applyAlignment="1">
      <alignment horizontal="center" vertical="center"/>
    </xf>
    <xf numFmtId="0" fontId="28" fillId="0" borderId="0" xfId="30" applyFont="1" applyAlignment="1">
      <alignment horizontal="left" vertical="top" wrapText="1"/>
    </xf>
    <xf numFmtId="0" fontId="11" fillId="0" borderId="0" xfId="30" applyFont="1" applyAlignment="1">
      <alignment horizontal="left"/>
    </xf>
    <xf numFmtId="0" fontId="11" fillId="0" borderId="0" xfId="0" applyFont="1" applyAlignment="1">
      <alignment horizontal="center" vertical="center"/>
    </xf>
    <xf numFmtId="0" fontId="34" fillId="0" borderId="0" xfId="0" applyFont="1" applyAlignment="1">
      <alignment horizontal="center" vertical="top" wrapText="1"/>
    </xf>
    <xf numFmtId="171" fontId="11" fillId="0" borderId="0" xfId="0" applyNumberFormat="1" applyFont="1" applyAlignment="1">
      <alignment horizontal="center" vertical="center"/>
    </xf>
    <xf numFmtId="171" fontId="11" fillId="0" borderId="0" xfId="30" applyNumberFormat="1" applyFont="1" applyAlignment="1">
      <alignment horizontal="center" vertical="center"/>
    </xf>
    <xf numFmtId="0" fontId="11" fillId="0" borderId="0" xfId="30" applyFont="1" applyAlignment="1">
      <alignment horizontal="center" vertical="center"/>
    </xf>
    <xf numFmtId="43" fontId="0" fillId="4" borderId="0" xfId="1" applyFont="1" applyFill="1" applyBorder="1"/>
    <xf numFmtId="175" fontId="0" fillId="0" borderId="0" xfId="1" applyNumberFormat="1" applyFont="1" applyBorder="1"/>
    <xf numFmtId="175" fontId="0" fillId="0" borderId="0" xfId="3" applyNumberFormat="1" applyFont="1" applyBorder="1"/>
    <xf numFmtId="164" fontId="0" fillId="4" borderId="0" xfId="0" applyNumberFormat="1" applyFill="1"/>
    <xf numFmtId="164" fontId="5" fillId="4" borderId="0" xfId="0" applyNumberFormat="1" applyFont="1" applyFill="1"/>
    <xf numFmtId="178" fontId="27" fillId="0" borderId="0" xfId="0" applyNumberFormat="1" applyFont="1" applyBorder="1" applyAlignment="1">
      <alignment horizontal="left"/>
    </xf>
    <xf numFmtId="164" fontId="7" fillId="0" borderId="0" xfId="0" applyNumberFormat="1" applyFont="1" applyBorder="1" applyAlignment="1"/>
  </cellXfs>
  <cellStyles count="142">
    <cellStyle name="Comma" xfId="1" builtinId="3"/>
    <cellStyle name="Comma 2" xfId="7" xr:uid="{00000000-0005-0000-0000-000001000000}"/>
    <cellStyle name="Comma 2 2" xfId="107" xr:uid="{00000000-0005-0000-0000-000002000000}"/>
    <cellStyle name="Comma 2 3" xfId="87" xr:uid="{00000000-0005-0000-0000-000003000000}"/>
    <cellStyle name="Comma 21" xfId="4" xr:uid="{00000000-0005-0000-0000-000004000000}"/>
    <cellStyle name="Comma 3" xfId="6" xr:uid="{00000000-0005-0000-0000-000005000000}"/>
    <cellStyle name="Comma 3 2" xfId="88" xr:uid="{00000000-0005-0000-0000-000006000000}"/>
    <cellStyle name="Comma 3 3" xfId="141" xr:uid="{777013A3-64EB-4B85-8628-4EDD6A143799}"/>
    <cellStyle name="Comma 4" xfId="93" xr:uid="{00000000-0005-0000-0000-000007000000}"/>
    <cellStyle name="Comma 5" xfId="98" xr:uid="{00000000-0005-0000-0000-000008000000}"/>
    <cellStyle name="Comma 6" xfId="100" xr:uid="{00000000-0005-0000-0000-000009000000}"/>
    <cellStyle name="Comma 7" xfId="103" xr:uid="{00000000-0005-0000-0000-00000A000000}"/>
    <cellStyle name="Comma 8" xfId="112" xr:uid="{00000000-0005-0000-0000-00000B000000}"/>
    <cellStyle name="Comma 8 2" xfId="119" xr:uid="{00000000-0005-0000-0000-00000C000000}"/>
    <cellStyle name="Comma 9" xfId="116" xr:uid="{00000000-0005-0000-0000-00000D000000}"/>
    <cellStyle name="Currency" xfId="2" builtinId="4"/>
    <cellStyle name="Currency 16 2" xfId="16" xr:uid="{00000000-0005-0000-0000-00000F000000}"/>
    <cellStyle name="Currency 2" xfId="8" xr:uid="{00000000-0005-0000-0000-000010000000}"/>
    <cellStyle name="Currency 2 2" xfId="106" xr:uid="{00000000-0005-0000-0000-000011000000}"/>
    <cellStyle name="Currency 2 3" xfId="89" xr:uid="{00000000-0005-0000-0000-000012000000}"/>
    <cellStyle name="Currency 3" xfId="15" xr:uid="{00000000-0005-0000-0000-000013000000}"/>
    <cellStyle name="Currency 4" xfId="102" xr:uid="{00000000-0005-0000-0000-000014000000}"/>
    <cellStyle name="Currency 5" xfId="105" xr:uid="{00000000-0005-0000-0000-000015000000}"/>
    <cellStyle name="Currency 6" xfId="114" xr:uid="{00000000-0005-0000-0000-000016000000}"/>
    <cellStyle name="Currency 7" xfId="118" xr:uid="{00000000-0005-0000-0000-000017000000}"/>
    <cellStyle name="Currency 7 2" xfId="125" xr:uid="{00000000-0005-0000-0000-000018000000}"/>
    <cellStyle name="Currency 7 3" xfId="128" xr:uid="{00000000-0005-0000-0000-000019000000}"/>
    <cellStyle name="Currency 7 3 2" xfId="131" xr:uid="{00000000-0005-0000-0000-00001A000000}"/>
    <cellStyle name="Currency 7 3 2 2" xfId="134" xr:uid="{00000000-0005-0000-0000-00001B000000}"/>
    <cellStyle name="Currency 7 3 2 2 2" xfId="138" xr:uid="{00000000-0005-0000-0000-00001C000000}"/>
    <cellStyle name="Currency 8" xfId="136" xr:uid="{00000000-0005-0000-0000-00001D000000}"/>
    <cellStyle name="Hyperlink" xfId="140" builtinId="8"/>
    <cellStyle name="Normal" xfId="0" builtinId="0"/>
    <cellStyle name="Normal 10" xfId="17" xr:uid="{00000000-0005-0000-0000-00001F000000}"/>
    <cellStyle name="Normal 10 2" xfId="113" xr:uid="{00000000-0005-0000-0000-000020000000}"/>
    <cellStyle name="Normal 11" xfId="18" xr:uid="{00000000-0005-0000-0000-000021000000}"/>
    <cellStyle name="Normal 11 2" xfId="117" xr:uid="{00000000-0005-0000-0000-000022000000}"/>
    <cellStyle name="Normal 12" xfId="19" xr:uid="{00000000-0005-0000-0000-000023000000}"/>
    <cellStyle name="Normal 12 2" xfId="20" xr:uid="{00000000-0005-0000-0000-000024000000}"/>
    <cellStyle name="Normal 12 3" xfId="120" xr:uid="{00000000-0005-0000-0000-000025000000}"/>
    <cellStyle name="Normal 13" xfId="21" xr:uid="{00000000-0005-0000-0000-000026000000}"/>
    <cellStyle name="Normal 13 2" xfId="121" xr:uid="{00000000-0005-0000-0000-000027000000}"/>
    <cellStyle name="Normal 14" xfId="22" xr:uid="{00000000-0005-0000-0000-000028000000}"/>
    <cellStyle name="Normal 14 2" xfId="122" xr:uid="{00000000-0005-0000-0000-000029000000}"/>
    <cellStyle name="Normal 15" xfId="23" xr:uid="{00000000-0005-0000-0000-00002A000000}"/>
    <cellStyle name="Normal 15 2" xfId="123" xr:uid="{00000000-0005-0000-0000-00002B000000}"/>
    <cellStyle name="Normal 16" xfId="24" xr:uid="{00000000-0005-0000-0000-00002C000000}"/>
    <cellStyle name="Normal 16 2" xfId="124" xr:uid="{00000000-0005-0000-0000-00002D000000}"/>
    <cellStyle name="Normal 17" xfId="25" xr:uid="{00000000-0005-0000-0000-00002E000000}"/>
    <cellStyle name="Normal 17 2" xfId="126" xr:uid="{00000000-0005-0000-0000-00002F000000}"/>
    <cellStyle name="Normal 17 6" xfId="26" xr:uid="{00000000-0005-0000-0000-000030000000}"/>
    <cellStyle name="Normal 18" xfId="27" xr:uid="{00000000-0005-0000-0000-000031000000}"/>
    <cellStyle name="Normal 18 2" xfId="127" xr:uid="{00000000-0005-0000-0000-000032000000}"/>
    <cellStyle name="Normal 19" xfId="28" xr:uid="{00000000-0005-0000-0000-000033000000}"/>
    <cellStyle name="Normal 19 2" xfId="129" xr:uid="{00000000-0005-0000-0000-000034000000}"/>
    <cellStyle name="Normal 2" xfId="5" xr:uid="{00000000-0005-0000-0000-000035000000}"/>
    <cellStyle name="Normal 2 2" xfId="29" xr:uid="{00000000-0005-0000-0000-000036000000}"/>
    <cellStyle name="Normal 2 2 2" xfId="108" xr:uid="{00000000-0005-0000-0000-000037000000}"/>
    <cellStyle name="Normal 2 3" xfId="30" xr:uid="{00000000-0005-0000-0000-000038000000}"/>
    <cellStyle name="Normal 2 4" xfId="90" xr:uid="{00000000-0005-0000-0000-000039000000}"/>
    <cellStyle name="Normal 20" xfId="31" xr:uid="{00000000-0005-0000-0000-00003A000000}"/>
    <cellStyle name="Normal 20 2" xfId="130" xr:uid="{00000000-0005-0000-0000-00003B000000}"/>
    <cellStyle name="Normal 21" xfId="32" xr:uid="{00000000-0005-0000-0000-00003C000000}"/>
    <cellStyle name="Normal 21 2" xfId="132" xr:uid="{00000000-0005-0000-0000-00003D000000}"/>
    <cellStyle name="Normal 22" xfId="33" xr:uid="{00000000-0005-0000-0000-00003E000000}"/>
    <cellStyle name="Normal 22 2" xfId="133" xr:uid="{00000000-0005-0000-0000-00003F000000}"/>
    <cellStyle name="Normal 228" xfId="9" xr:uid="{00000000-0005-0000-0000-000040000000}"/>
    <cellStyle name="Normal 23" xfId="34" xr:uid="{00000000-0005-0000-0000-000041000000}"/>
    <cellStyle name="Normal 23 2" xfId="135" xr:uid="{00000000-0005-0000-0000-000042000000}"/>
    <cellStyle name="Normal 230" xfId="10" xr:uid="{00000000-0005-0000-0000-000043000000}"/>
    <cellStyle name="Normal 24" xfId="35" xr:uid="{00000000-0005-0000-0000-000044000000}"/>
    <cellStyle name="Normal 24 2" xfId="137" xr:uid="{00000000-0005-0000-0000-000045000000}"/>
    <cellStyle name="Normal 240" xfId="11" xr:uid="{00000000-0005-0000-0000-000046000000}"/>
    <cellStyle name="Normal 241" xfId="12" xr:uid="{00000000-0005-0000-0000-000047000000}"/>
    <cellStyle name="Normal 25" xfId="36" xr:uid="{00000000-0005-0000-0000-000048000000}"/>
    <cellStyle name="Normal 25 2" xfId="139" xr:uid="{00000000-0005-0000-0000-000049000000}"/>
    <cellStyle name="Normal 26" xfId="37" xr:uid="{00000000-0005-0000-0000-00004A000000}"/>
    <cellStyle name="Normal 27" xfId="38" xr:uid="{00000000-0005-0000-0000-00004B000000}"/>
    <cellStyle name="Normal 28" xfId="39" xr:uid="{00000000-0005-0000-0000-00004C000000}"/>
    <cellStyle name="Normal 29" xfId="40" xr:uid="{00000000-0005-0000-0000-00004D000000}"/>
    <cellStyle name="Normal 3" xfId="41" xr:uid="{00000000-0005-0000-0000-00004E000000}"/>
    <cellStyle name="Normal 3 2" xfId="42" xr:uid="{00000000-0005-0000-0000-00004F000000}"/>
    <cellStyle name="Normal 3 3" xfId="43" xr:uid="{00000000-0005-0000-0000-000050000000}"/>
    <cellStyle name="Normal 30" xfId="44" xr:uid="{00000000-0005-0000-0000-000051000000}"/>
    <cellStyle name="Normal 31" xfId="45" xr:uid="{00000000-0005-0000-0000-000052000000}"/>
    <cellStyle name="Normal 32" xfId="46" xr:uid="{00000000-0005-0000-0000-000053000000}"/>
    <cellStyle name="Normal 33" xfId="47" xr:uid="{00000000-0005-0000-0000-000054000000}"/>
    <cellStyle name="Normal 34" xfId="48" xr:uid="{00000000-0005-0000-0000-000055000000}"/>
    <cellStyle name="Normal 35" xfId="49" xr:uid="{00000000-0005-0000-0000-000056000000}"/>
    <cellStyle name="Normal 36" xfId="50" xr:uid="{00000000-0005-0000-0000-000057000000}"/>
    <cellStyle name="Normal 37" xfId="51" xr:uid="{00000000-0005-0000-0000-000058000000}"/>
    <cellStyle name="Normal 38" xfId="52" xr:uid="{00000000-0005-0000-0000-000059000000}"/>
    <cellStyle name="Normal 39" xfId="53" xr:uid="{00000000-0005-0000-0000-00005A000000}"/>
    <cellStyle name="Normal 4" xfId="54" xr:uid="{00000000-0005-0000-0000-00005B000000}"/>
    <cellStyle name="Normal 4 2" xfId="96" xr:uid="{00000000-0005-0000-0000-00005C000000}"/>
    <cellStyle name="Normal 40" xfId="55" xr:uid="{00000000-0005-0000-0000-00005D000000}"/>
    <cellStyle name="Normal 41" xfId="56" xr:uid="{00000000-0005-0000-0000-00005E000000}"/>
    <cellStyle name="Normal 42" xfId="57" xr:uid="{00000000-0005-0000-0000-00005F000000}"/>
    <cellStyle name="Normal 43" xfId="58" xr:uid="{00000000-0005-0000-0000-000060000000}"/>
    <cellStyle name="Normal 44" xfId="59" xr:uid="{00000000-0005-0000-0000-000061000000}"/>
    <cellStyle name="Normal 45" xfId="60" xr:uid="{00000000-0005-0000-0000-000062000000}"/>
    <cellStyle name="Normal 46" xfId="61" xr:uid="{00000000-0005-0000-0000-000063000000}"/>
    <cellStyle name="Normal 47" xfId="62" xr:uid="{00000000-0005-0000-0000-000064000000}"/>
    <cellStyle name="Normal 48" xfId="63" xr:uid="{00000000-0005-0000-0000-000065000000}"/>
    <cellStyle name="Normal 49" xfId="64" xr:uid="{00000000-0005-0000-0000-000066000000}"/>
    <cellStyle name="Normal 5" xfId="65" xr:uid="{00000000-0005-0000-0000-000067000000}"/>
    <cellStyle name="Normal 5 2" xfId="97" xr:uid="{00000000-0005-0000-0000-000068000000}"/>
    <cellStyle name="Normal 50" xfId="66" xr:uid="{00000000-0005-0000-0000-000069000000}"/>
    <cellStyle name="Normal 51" xfId="67" xr:uid="{00000000-0005-0000-0000-00006A000000}"/>
    <cellStyle name="Normal 52" xfId="68" xr:uid="{00000000-0005-0000-0000-00006B000000}"/>
    <cellStyle name="Normal 53" xfId="69" xr:uid="{00000000-0005-0000-0000-00006C000000}"/>
    <cellStyle name="Normal 54" xfId="70" xr:uid="{00000000-0005-0000-0000-00006D000000}"/>
    <cellStyle name="Normal 55" xfId="71" xr:uid="{00000000-0005-0000-0000-00006E000000}"/>
    <cellStyle name="Normal 56" xfId="72" xr:uid="{00000000-0005-0000-0000-00006F000000}"/>
    <cellStyle name="Normal 57" xfId="73" xr:uid="{00000000-0005-0000-0000-000070000000}"/>
    <cellStyle name="Normal 58" xfId="74" xr:uid="{00000000-0005-0000-0000-000071000000}"/>
    <cellStyle name="Normal 59" xfId="75" xr:uid="{00000000-0005-0000-0000-000072000000}"/>
    <cellStyle name="Normal 6" xfId="76" xr:uid="{00000000-0005-0000-0000-000073000000}"/>
    <cellStyle name="Normal 6 2" xfId="109" xr:uid="{00000000-0005-0000-0000-000074000000}"/>
    <cellStyle name="Normal 6 3" xfId="95" xr:uid="{00000000-0005-0000-0000-000075000000}"/>
    <cellStyle name="Normal 60" xfId="77" xr:uid="{00000000-0005-0000-0000-000076000000}"/>
    <cellStyle name="Normal 61" xfId="78" xr:uid="{00000000-0005-0000-0000-000077000000}"/>
    <cellStyle name="Normal 62" xfId="79" xr:uid="{00000000-0005-0000-0000-000078000000}"/>
    <cellStyle name="Normal 63" xfId="80" xr:uid="{00000000-0005-0000-0000-000079000000}"/>
    <cellStyle name="Normal 64" xfId="85" xr:uid="{00000000-0005-0000-0000-00007A000000}"/>
    <cellStyle name="Normal 65" xfId="86" xr:uid="{00000000-0005-0000-0000-00007B000000}"/>
    <cellStyle name="Normal 7" xfId="81" xr:uid="{00000000-0005-0000-0000-00007C000000}"/>
    <cellStyle name="Normal 7 2" xfId="99" xr:uid="{00000000-0005-0000-0000-00007D000000}"/>
    <cellStyle name="Normal 8" xfId="82" xr:uid="{00000000-0005-0000-0000-00007E000000}"/>
    <cellStyle name="Normal 8 2" xfId="104" xr:uid="{00000000-0005-0000-0000-00007F000000}"/>
    <cellStyle name="Normal 9" xfId="83" xr:uid="{00000000-0005-0000-0000-000080000000}"/>
    <cellStyle name="Normal 9 2" xfId="111" xr:uid="{00000000-0005-0000-0000-000081000000}"/>
    <cellStyle name="Percent" xfId="3" builtinId="5"/>
    <cellStyle name="Percent 11 2" xfId="84" xr:uid="{00000000-0005-0000-0000-000083000000}"/>
    <cellStyle name="Percent 2" xfId="14" xr:uid="{00000000-0005-0000-0000-000084000000}"/>
    <cellStyle name="Percent 2 2" xfId="110" xr:uid="{00000000-0005-0000-0000-000085000000}"/>
    <cellStyle name="Percent 2 3" xfId="92" xr:uid="{00000000-0005-0000-0000-000086000000}"/>
    <cellStyle name="Percent 3" xfId="13" xr:uid="{00000000-0005-0000-0000-000087000000}"/>
    <cellStyle name="Percent 3 2" xfId="94" xr:uid="{00000000-0005-0000-0000-000088000000}"/>
    <cellStyle name="Percent 4" xfId="101" xr:uid="{00000000-0005-0000-0000-000089000000}"/>
    <cellStyle name="Percent 5" xfId="115" xr:uid="{00000000-0005-0000-0000-00008A000000}"/>
    <cellStyle name="Percent 6" xfId="91" xr:uid="{00000000-0005-0000-0000-00008B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3.xml"/><Relationship Id="rId18" Type="http://schemas.openxmlformats.org/officeDocument/2006/relationships/externalLink" Target="externalLinks/externalLink8.xml"/><Relationship Id="rId3" Type="http://schemas.openxmlformats.org/officeDocument/2006/relationships/worksheet" Target="worksheets/sheet3.xml"/><Relationship Id="rId21" Type="http://schemas.openxmlformats.org/officeDocument/2006/relationships/styles" Target="styles.xml"/><Relationship Id="rId7" Type="http://schemas.openxmlformats.org/officeDocument/2006/relationships/worksheet" Target="worksheets/sheet7.xml"/><Relationship Id="rId12" Type="http://schemas.openxmlformats.org/officeDocument/2006/relationships/externalLink" Target="externalLinks/externalLink2.xml"/><Relationship Id="rId17" Type="http://schemas.openxmlformats.org/officeDocument/2006/relationships/externalLink" Target="externalLinks/externalLink7.xml"/><Relationship Id="rId2" Type="http://schemas.openxmlformats.org/officeDocument/2006/relationships/worksheet" Target="worksheets/sheet2.xml"/><Relationship Id="rId16" Type="http://schemas.openxmlformats.org/officeDocument/2006/relationships/externalLink" Target="externalLinks/externalLink6.xml"/><Relationship Id="rId20"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1.xml"/><Relationship Id="rId24"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externalLink" Target="externalLinks/externalLink5.xml"/><Relationship Id="rId23" Type="http://schemas.microsoft.com/office/2017/10/relationships/person" Target="persons/person.xml"/><Relationship Id="rId10" Type="http://schemas.openxmlformats.org/officeDocument/2006/relationships/worksheet" Target="worksheets/sheet10.xml"/><Relationship Id="rId19" Type="http://schemas.openxmlformats.org/officeDocument/2006/relationships/externalLink" Target="externalLinks/externalLink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externalLink" Target="externalLinks/externalLink4.xml"/><Relationship Id="rId22"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3.emf"/></Relationships>
</file>

<file path=xl/drawings/_rels/drawing3.xml.rels><?xml version="1.0" encoding="UTF-8" standalone="yes"?>
<Relationships xmlns="http://schemas.openxmlformats.org/package/2006/relationships"><Relationship Id="rId1"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editAs="oneCell">
    <xdr:from>
      <xdr:col>1</xdr:col>
      <xdr:colOff>6350</xdr:colOff>
      <xdr:row>3</xdr:row>
      <xdr:rowOff>95250</xdr:rowOff>
    </xdr:from>
    <xdr:to>
      <xdr:col>13</xdr:col>
      <xdr:colOff>222637</xdr:colOff>
      <xdr:row>22</xdr:row>
      <xdr:rowOff>31927</xdr:rowOff>
    </xdr:to>
    <xdr:pic>
      <xdr:nvPicPr>
        <xdr:cNvPr id="2" name="Picture 1">
          <a:extLst>
            <a:ext uri="{FF2B5EF4-FFF2-40B4-BE49-F238E27FC236}">
              <a16:creationId xmlns:a16="http://schemas.microsoft.com/office/drawing/2014/main" id="{42DDC53B-40E7-45AB-AF34-A0C5F6706190}"/>
            </a:ext>
          </a:extLst>
        </xdr:cNvPr>
        <xdr:cNvPicPr>
          <a:picLocks noChangeAspect="1"/>
        </xdr:cNvPicPr>
      </xdr:nvPicPr>
      <xdr:blipFill>
        <a:blip xmlns:r="http://schemas.openxmlformats.org/officeDocument/2006/relationships" r:embed="rId1"/>
        <a:stretch>
          <a:fillRect/>
        </a:stretch>
      </xdr:blipFill>
      <xdr:spPr>
        <a:xfrm>
          <a:off x="615950" y="647700"/>
          <a:ext cx="7531487" cy="3435527"/>
        </a:xfrm>
        <a:prstGeom prst="rect">
          <a:avLst/>
        </a:prstGeom>
      </xdr:spPr>
    </xdr:pic>
    <xdr:clientData/>
  </xdr:twoCellAnchor>
  <xdr:twoCellAnchor editAs="oneCell">
    <xdr:from>
      <xdr:col>1</xdr:col>
      <xdr:colOff>0</xdr:colOff>
      <xdr:row>24</xdr:row>
      <xdr:rowOff>0</xdr:rowOff>
    </xdr:from>
    <xdr:to>
      <xdr:col>13</xdr:col>
      <xdr:colOff>114682</xdr:colOff>
      <xdr:row>45</xdr:row>
      <xdr:rowOff>63702</xdr:rowOff>
    </xdr:to>
    <xdr:pic>
      <xdr:nvPicPr>
        <xdr:cNvPr id="3" name="Picture 2">
          <a:extLst>
            <a:ext uri="{FF2B5EF4-FFF2-40B4-BE49-F238E27FC236}">
              <a16:creationId xmlns:a16="http://schemas.microsoft.com/office/drawing/2014/main" id="{8F7E7A41-C966-4279-90FA-71DA1F386DC8}"/>
            </a:ext>
          </a:extLst>
        </xdr:cNvPr>
        <xdr:cNvPicPr>
          <a:picLocks noChangeAspect="1"/>
        </xdr:cNvPicPr>
      </xdr:nvPicPr>
      <xdr:blipFill>
        <a:blip xmlns:r="http://schemas.openxmlformats.org/officeDocument/2006/relationships" r:embed="rId2"/>
        <a:stretch>
          <a:fillRect/>
        </a:stretch>
      </xdr:blipFill>
      <xdr:spPr>
        <a:xfrm>
          <a:off x="609600" y="4419600"/>
          <a:ext cx="7429882" cy="3930852"/>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17</xdr:col>
      <xdr:colOff>0</xdr:colOff>
      <xdr:row>11</xdr:row>
      <xdr:rowOff>0</xdr:rowOff>
    </xdr:from>
    <xdr:to>
      <xdr:col>26</xdr:col>
      <xdr:colOff>470606</xdr:colOff>
      <xdr:row>28</xdr:row>
      <xdr:rowOff>76200</xdr:rowOff>
    </xdr:to>
    <xdr:pic>
      <xdr:nvPicPr>
        <xdr:cNvPr id="3" name="Picture 2">
          <a:extLst>
            <a:ext uri="{FF2B5EF4-FFF2-40B4-BE49-F238E27FC236}">
              <a16:creationId xmlns:a16="http://schemas.microsoft.com/office/drawing/2014/main" id="{00000000-0008-0000-0200-000003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4906625" y="1962150"/>
          <a:ext cx="6724650" cy="33147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0</xdr:colOff>
      <xdr:row>37</xdr:row>
      <xdr:rowOff>0</xdr:rowOff>
    </xdr:from>
    <xdr:to>
      <xdr:col>7</xdr:col>
      <xdr:colOff>866818</xdr:colOff>
      <xdr:row>67</xdr:row>
      <xdr:rowOff>128875</xdr:rowOff>
    </xdr:to>
    <xdr:pic>
      <xdr:nvPicPr>
        <xdr:cNvPr id="4" name="Picture 3">
          <a:extLst>
            <a:ext uri="{FF2B5EF4-FFF2-40B4-BE49-F238E27FC236}">
              <a16:creationId xmlns:a16="http://schemas.microsoft.com/office/drawing/2014/main" id="{00000000-0008-0000-0300-000004000000}"/>
            </a:ext>
          </a:extLst>
        </xdr:cNvPr>
        <xdr:cNvPicPr>
          <a:picLocks noChangeAspect="1"/>
        </xdr:cNvPicPr>
      </xdr:nvPicPr>
      <xdr:blipFill>
        <a:blip xmlns:r="http://schemas.openxmlformats.org/officeDocument/2006/relationships" r:embed="rId1"/>
        <a:stretch>
          <a:fillRect/>
        </a:stretch>
      </xdr:blipFill>
      <xdr:spPr>
        <a:xfrm>
          <a:off x="0" y="9294091"/>
          <a:ext cx="11200000" cy="8095238"/>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S:\DSM\CESCREEN.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C:\EVERYONE\DSM\GDS%20Potential%20Data%20request\%231)%20and%20%234)%20Revised%20Sales%20Forecast%20load%20and%20customers.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C:\Users\karen\AppData\Local\Microsoft\Windows\INetCache\IE\S16VVTEM\Exhibit-1-Appendix-C-2019-2021-Plan-Data-Tables-10-31-18-Statewide-Gas.xlsx"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C:\Users\karen\AppData\Local\Microsoft\Windows\INetCache\Content.Outlook\RUR8G27T\RATE%20HISTORY.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EVERYONE/DSM/Case%2020-2022%20setting%202021%20EEC%20charge/Resubmittal/Copy%20of%20(Poor%20Surrebuttal%20workpapers)%20v3%20(002).xlsx"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EVERYONE/DSM/Case%2019-3402%20EEC%20charge%20%20for%20CY%202020/Case%20EEC%20Charge%20for%20CY2020/Sep%2019%20FY20.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EVERYONE/DSM/Case%2020-2022%20setting%202021%20EEC%20charge/Draft%20before%20filing/Oct%20PGA.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EVERYONE/DSM/Case/Aug%2018%20FY19%20Update%20v2.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K:\RATES\rates19\Purchase%20Gas%20Adjustments\February%2019%20PGA%20(%20Effective%20May%202019)\Rate%20Compare%20-%20FebruaryMAY%202019.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
      <sheetName val="B"/>
      <sheetName val="C"/>
      <sheetName val="D"/>
      <sheetName val="Inputs"/>
      <sheetName val="F"/>
      <sheetName val="G"/>
      <sheetName val="Measure Database"/>
      <sheetName val="Sheet1"/>
      <sheetName val="Outputs"/>
      <sheetName val="J"/>
      <sheetName val="K"/>
      <sheetName val="L"/>
      <sheetName val="M"/>
      <sheetName val="results"/>
      <sheetName val="Module1"/>
      <sheetName val="Measure Screening"/>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row r="35">
          <cell r="A35" t="str">
            <v>pd</v>
          </cell>
          <cell r="B35">
            <v>1</v>
          </cell>
          <cell r="C35" t="str">
            <v>peak day offset is 0</v>
          </cell>
        </row>
        <row r="36">
          <cell r="A36" t="str">
            <v>pp</v>
          </cell>
          <cell r="B36">
            <v>2</v>
          </cell>
          <cell r="C36" t="str">
            <v>peak period offset is 1</v>
          </cell>
        </row>
        <row r="37">
          <cell r="A37" t="str">
            <v>op</v>
          </cell>
          <cell r="B37">
            <v>4</v>
          </cell>
          <cell r="C37" t="str">
            <v>off-peak offset is 2</v>
          </cell>
        </row>
        <row r="38">
          <cell r="A38" t="str">
            <v>sp</v>
          </cell>
          <cell r="B38">
            <v>3</v>
          </cell>
          <cell r="C38" t="str">
            <v>shoulder period offset</v>
          </cell>
        </row>
        <row r="39">
          <cell r="A39" t="str">
            <v>meas_name</v>
          </cell>
          <cell r="B39" t="str">
            <v>m1</v>
          </cell>
          <cell r="C39" t="str">
            <v>name of measure considered</v>
          </cell>
        </row>
        <row r="40">
          <cell r="A40" t="str">
            <v>percent_imp</v>
          </cell>
          <cell r="B40">
            <v>0</v>
          </cell>
          <cell r="C40" t="str">
            <v>percent implementation in a given year</v>
          </cell>
        </row>
        <row r="41">
          <cell r="A41" t="str">
            <v>meas_life</v>
          </cell>
          <cell r="B41" t="e">
            <v>#REF!</v>
          </cell>
          <cell r="C41" t="str">
            <v>measure lifetime</v>
          </cell>
        </row>
        <row r="42">
          <cell r="A42" t="str">
            <v>pd_sav</v>
          </cell>
          <cell r="B42">
            <v>80.975849999999994</v>
          </cell>
          <cell r="C42" t="str">
            <v>measure savings in peak day</v>
          </cell>
        </row>
        <row r="43">
          <cell r="A43" t="str">
            <v>pp_sav</v>
          </cell>
          <cell r="B43">
            <v>591.90589999999997</v>
          </cell>
          <cell r="C43" t="str">
            <v>measure savings in peak period</v>
          </cell>
        </row>
        <row r="44">
          <cell r="A44" t="str">
            <v>sp_sav</v>
          </cell>
          <cell r="B44">
            <v>4908.7250000000004</v>
          </cell>
          <cell r="C44" t="str">
            <v>measure savings in shoulder period</v>
          </cell>
        </row>
        <row r="45">
          <cell r="A45" t="str">
            <v>op_sav</v>
          </cell>
          <cell r="B45">
            <v>1545.078</v>
          </cell>
          <cell r="C45" t="str">
            <v>measure savings in off-peak period</v>
          </cell>
        </row>
        <row r="46">
          <cell r="A46" t="str">
            <v>cur_pvpd</v>
          </cell>
          <cell r="B46" t="e">
            <v>#REF!</v>
          </cell>
        </row>
        <row r="47">
          <cell r="A47" t="str">
            <v>cur_pvpp</v>
          </cell>
          <cell r="B47" t="e">
            <v>#REF!</v>
          </cell>
        </row>
      </sheetData>
      <sheetData sheetId="11" refreshError="1"/>
      <sheetData sheetId="12" refreshError="1"/>
      <sheetData sheetId="13" refreshError="1">
        <row r="3">
          <cell r="H3">
            <v>0.04</v>
          </cell>
        </row>
        <row r="4">
          <cell r="H4">
            <v>9.8400000000000001E-2</v>
          </cell>
        </row>
      </sheetData>
      <sheetData sheetId="14" refreshError="1"/>
      <sheetData sheetId="15" refreshError="1"/>
      <sheetData sheetId="16"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ustomer and Load Forecast"/>
      <sheetName val="Use per DD"/>
      <sheetName val="degree days"/>
      <sheetName val="Addison"/>
    </sheetNames>
    <sheetDataSet>
      <sheetData sheetId="0" refreshError="1"/>
      <sheetData sheetId="1"/>
      <sheetData sheetId="2" refreshError="1"/>
      <sheetData sheetId="3">
        <row r="72">
          <cell r="C72">
            <v>65973.344866573578</v>
          </cell>
        </row>
      </sheetData>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aster Data"/>
      <sheetName val="Master Sector"/>
      <sheetName val="Overview"/>
      <sheetName val="Ref"/>
      <sheetName val="FundingG"/>
      <sheetName val="Budget"/>
      <sheetName val="Budget, Hist"/>
      <sheetName val="PPA"/>
      <sheetName val="Cost-Effectiveness"/>
      <sheetName val="TRC Costs, Hist"/>
      <sheetName val="Benefits"/>
      <sheetName val="Benefits, Hist"/>
      <sheetName val="Savings"/>
      <sheetName val="Savings, Hist"/>
      <sheetName val="PI"/>
      <sheetName val="LI Allocation"/>
      <sheetName val="Compet Proc"/>
      <sheetName val="Compet Proc, Hist"/>
      <sheetName val="Master Sum"/>
      <sheetName val="GHG"/>
    </sheetNames>
    <sheetDataSet>
      <sheetData sheetId="0"/>
      <sheetData sheetId="1"/>
      <sheetData sheetId="2"/>
      <sheetData sheetId="3">
        <row r="7">
          <cell r="E7" t="str">
            <v>Electric</v>
          </cell>
        </row>
        <row r="8">
          <cell r="E8" t="str">
            <v>Statewide Gas</v>
          </cell>
        </row>
        <row r="9">
          <cell r="E9" t="str">
            <v>October 31, 2018</v>
          </cell>
        </row>
        <row r="28">
          <cell r="E28">
            <v>0.2732</v>
          </cell>
        </row>
        <row r="35">
          <cell r="E35">
            <v>2019</v>
          </cell>
        </row>
        <row r="36">
          <cell r="E36">
            <v>2020</v>
          </cell>
        </row>
        <row r="37">
          <cell r="E37">
            <v>2021</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ates"/>
      <sheetName val="Bills"/>
      <sheetName val="Change history"/>
      <sheetName val="PGA History"/>
      <sheetName val="Change Sum"/>
      <sheetName val="January"/>
      <sheetName val="Sheet1"/>
      <sheetName val="Graph of Rate History"/>
      <sheetName val="Sheet2"/>
    </sheetNames>
    <sheetDataSet>
      <sheetData sheetId="0"/>
      <sheetData sheetId="1"/>
      <sheetData sheetId="2"/>
      <sheetData sheetId="3"/>
      <sheetData sheetId="4"/>
      <sheetData sheetId="5"/>
      <sheetData sheetId="6"/>
      <sheetData sheetId="7"/>
      <sheetData sheetId="8"/>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15 yrs"/>
      <sheetName val="10 yrs"/>
      <sheetName val="15 years_PSD Original"/>
      <sheetName val="15 years_PSD Surrebuttal"/>
      <sheetName val="Charts"/>
      <sheetName val="VGS Rebuttal"/>
      <sheetName val="VGS DSS Budget By category"/>
      <sheetName val="15 yrs_VGS revised 3.25.20"/>
    </sheetNames>
    <sheetDataSet>
      <sheetData sheetId="0"/>
      <sheetData sheetId="1"/>
      <sheetData sheetId="2"/>
      <sheetData sheetId="3">
        <row r="44">
          <cell r="F44">
            <v>3462577.5560000003</v>
          </cell>
          <cell r="G44">
            <v>3480751.8339999998</v>
          </cell>
          <cell r="H44">
            <v>3505752.4519999996</v>
          </cell>
          <cell r="I44">
            <v>3529760.8370000003</v>
          </cell>
          <cell r="J44">
            <v>3534835.3612207612</v>
          </cell>
          <cell r="K44">
            <v>3536335.3253917638</v>
          </cell>
          <cell r="L44">
            <v>3537708.3309970489</v>
          </cell>
          <cell r="M44">
            <v>3538955.3246062137</v>
          </cell>
          <cell r="N44">
            <v>3540077.2405146742</v>
          </cell>
          <cell r="O44">
            <v>3541075.0010166662</v>
          </cell>
          <cell r="P44">
            <v>3536797.7435140554</v>
          </cell>
          <cell r="Q44">
            <v>3532425.4758256553</v>
          </cell>
          <cell r="R44">
            <v>3527958.8361025024</v>
          </cell>
          <cell r="S44">
            <v>3523398.4567675143</v>
          </cell>
          <cell r="T44">
            <v>3518744.9646147275</v>
          </cell>
          <cell r="U44">
            <v>3513998.9809062602</v>
          </cell>
          <cell r="V44">
            <v>3509161.1214671088</v>
          </cell>
          <cell r="W44">
            <v>3504231.996777813</v>
          </cell>
          <cell r="X44">
            <v>3499212.2120650569</v>
          </cell>
          <cell r="Y44">
            <v>3494102.3673902769</v>
          </cell>
        </row>
      </sheetData>
      <sheetData sheetId="4"/>
      <sheetData sheetId="5"/>
      <sheetData sheetId="6"/>
      <sheetData sheetId="7"/>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
      <sheetName val="B"/>
      <sheetName val="C"/>
      <sheetName val="D"/>
      <sheetName val="E"/>
      <sheetName val="F"/>
      <sheetName val="G"/>
      <sheetName val="I"/>
      <sheetName val="J"/>
      <sheetName val="K"/>
      <sheetName val="U"/>
      <sheetName val="Sheet1"/>
      <sheetName val="Sheet2"/>
      <sheetName val="Russell"/>
      <sheetName val="Sheet3"/>
    </sheetNames>
    <sheetDataSet>
      <sheetData sheetId="0"/>
      <sheetData sheetId="1"/>
      <sheetData sheetId="2"/>
      <sheetData sheetId="3">
        <row r="4">
          <cell r="C4">
            <v>2019</v>
          </cell>
        </row>
        <row r="5">
          <cell r="C5" t="str">
            <v>October</v>
          </cell>
        </row>
        <row r="7">
          <cell r="C7">
            <v>46469</v>
          </cell>
          <cell r="D7">
            <v>47037</v>
          </cell>
          <cell r="E7">
            <v>47365</v>
          </cell>
          <cell r="F7">
            <v>47508</v>
          </cell>
          <cell r="G7">
            <v>47557</v>
          </cell>
          <cell r="H7">
            <v>47610</v>
          </cell>
          <cell r="I7">
            <v>47614</v>
          </cell>
          <cell r="J7">
            <v>47493</v>
          </cell>
          <cell r="K7">
            <v>47164</v>
          </cell>
          <cell r="L7">
            <v>46806</v>
          </cell>
          <cell r="M7">
            <v>46717</v>
          </cell>
          <cell r="N7">
            <v>46767</v>
          </cell>
          <cell r="O7">
            <v>47090</v>
          </cell>
          <cell r="P7">
            <v>47658</v>
          </cell>
          <cell r="Q7">
            <v>47985</v>
          </cell>
        </row>
        <row r="8">
          <cell r="C8">
            <v>3925</v>
          </cell>
          <cell r="D8">
            <v>4054</v>
          </cell>
          <cell r="E8">
            <v>4101</v>
          </cell>
          <cell r="F8">
            <v>4132</v>
          </cell>
          <cell r="G8">
            <v>4141</v>
          </cell>
          <cell r="H8">
            <v>4143</v>
          </cell>
          <cell r="I8">
            <v>4146</v>
          </cell>
          <cell r="J8">
            <v>4112</v>
          </cell>
          <cell r="K8">
            <v>4033</v>
          </cell>
          <cell r="L8">
            <v>3985</v>
          </cell>
          <cell r="M8">
            <v>3967</v>
          </cell>
          <cell r="N8">
            <v>3973</v>
          </cell>
          <cell r="O8">
            <v>4016</v>
          </cell>
          <cell r="P8">
            <v>4144</v>
          </cell>
          <cell r="Q8">
            <v>4190</v>
          </cell>
        </row>
        <row r="9">
          <cell r="C9">
            <v>983</v>
          </cell>
          <cell r="D9">
            <v>988</v>
          </cell>
          <cell r="E9">
            <v>991</v>
          </cell>
          <cell r="F9">
            <v>992</v>
          </cell>
          <cell r="G9">
            <v>992</v>
          </cell>
          <cell r="H9">
            <v>990</v>
          </cell>
          <cell r="I9">
            <v>989</v>
          </cell>
          <cell r="J9">
            <v>990</v>
          </cell>
          <cell r="K9">
            <v>987</v>
          </cell>
          <cell r="L9">
            <v>985</v>
          </cell>
          <cell r="M9">
            <v>984</v>
          </cell>
          <cell r="N9">
            <v>982</v>
          </cell>
          <cell r="O9">
            <v>985</v>
          </cell>
          <cell r="P9">
            <v>990</v>
          </cell>
          <cell r="Q9">
            <v>993</v>
          </cell>
        </row>
        <row r="10">
          <cell r="C10">
            <v>476</v>
          </cell>
          <cell r="D10">
            <v>478</v>
          </cell>
          <cell r="E10">
            <v>481</v>
          </cell>
          <cell r="F10">
            <v>482</v>
          </cell>
          <cell r="G10">
            <v>483</v>
          </cell>
          <cell r="H10">
            <v>484</v>
          </cell>
          <cell r="I10">
            <v>484</v>
          </cell>
          <cell r="J10">
            <v>487</v>
          </cell>
          <cell r="K10">
            <v>483</v>
          </cell>
          <cell r="L10">
            <v>482</v>
          </cell>
          <cell r="M10">
            <v>484</v>
          </cell>
          <cell r="N10">
            <v>483</v>
          </cell>
          <cell r="O10">
            <v>483</v>
          </cell>
          <cell r="P10">
            <v>484</v>
          </cell>
          <cell r="Q10">
            <v>487</v>
          </cell>
        </row>
        <row r="11">
          <cell r="C11">
            <v>534</v>
          </cell>
          <cell r="D11">
            <v>536</v>
          </cell>
          <cell r="E11">
            <v>537</v>
          </cell>
          <cell r="F11">
            <v>538</v>
          </cell>
          <cell r="G11">
            <v>539</v>
          </cell>
          <cell r="H11">
            <v>540</v>
          </cell>
          <cell r="I11">
            <v>540</v>
          </cell>
          <cell r="J11">
            <v>543</v>
          </cell>
          <cell r="K11">
            <v>539</v>
          </cell>
          <cell r="L11">
            <v>538</v>
          </cell>
          <cell r="M11">
            <v>540</v>
          </cell>
          <cell r="N11">
            <v>539</v>
          </cell>
          <cell r="O11">
            <v>540</v>
          </cell>
          <cell r="P11">
            <v>542</v>
          </cell>
          <cell r="Q11">
            <v>543</v>
          </cell>
        </row>
        <row r="12">
          <cell r="C12">
            <v>46</v>
          </cell>
          <cell r="D12">
            <v>45</v>
          </cell>
          <cell r="E12">
            <v>44</v>
          </cell>
          <cell r="F12">
            <v>43</v>
          </cell>
          <cell r="G12">
            <v>43</v>
          </cell>
          <cell r="H12">
            <v>43</v>
          </cell>
          <cell r="I12">
            <v>45</v>
          </cell>
          <cell r="J12">
            <v>46</v>
          </cell>
          <cell r="K12">
            <v>46</v>
          </cell>
          <cell r="L12">
            <v>46</v>
          </cell>
          <cell r="M12">
            <v>46</v>
          </cell>
          <cell r="N12">
            <v>46</v>
          </cell>
          <cell r="O12">
            <v>46</v>
          </cell>
          <cell r="P12">
            <v>45</v>
          </cell>
          <cell r="Q12">
            <v>44</v>
          </cell>
        </row>
        <row r="17">
          <cell r="C17">
            <v>121157</v>
          </cell>
          <cell r="D17">
            <v>289124</v>
          </cell>
          <cell r="E17">
            <v>478014</v>
          </cell>
          <cell r="F17">
            <v>675005</v>
          </cell>
          <cell r="G17">
            <v>695640</v>
          </cell>
          <cell r="H17">
            <v>595377</v>
          </cell>
          <cell r="I17">
            <v>440088</v>
          </cell>
          <cell r="J17">
            <v>242313</v>
          </cell>
          <cell r="K17">
            <v>127060</v>
          </cell>
          <cell r="L17">
            <v>86961</v>
          </cell>
          <cell r="M17">
            <v>83913</v>
          </cell>
          <cell r="N17">
            <v>86816</v>
          </cell>
          <cell r="O17">
            <v>122429</v>
          </cell>
          <cell r="P17">
            <v>292554</v>
          </cell>
          <cell r="Q17">
            <v>483830</v>
          </cell>
        </row>
        <row r="18">
          <cell r="C18">
            <v>9666</v>
          </cell>
          <cell r="D18">
            <v>40600</v>
          </cell>
          <cell r="E18">
            <v>82987</v>
          </cell>
          <cell r="F18">
            <v>131097</v>
          </cell>
          <cell r="G18">
            <v>132473</v>
          </cell>
          <cell r="H18">
            <v>106478</v>
          </cell>
          <cell r="I18">
            <v>69218</v>
          </cell>
          <cell r="J18">
            <v>26415</v>
          </cell>
          <cell r="K18">
            <v>7772</v>
          </cell>
          <cell r="L18">
            <v>3693</v>
          </cell>
          <cell r="M18">
            <v>3268</v>
          </cell>
          <cell r="N18">
            <v>3270</v>
          </cell>
          <cell r="O18">
            <v>9762</v>
          </cell>
          <cell r="P18">
            <v>41233</v>
          </cell>
          <cell r="Q18">
            <v>83997</v>
          </cell>
        </row>
        <row r="19">
          <cell r="C19">
            <v>11080</v>
          </cell>
          <cell r="D19">
            <v>15437</v>
          </cell>
          <cell r="E19">
            <v>20839</v>
          </cell>
          <cell r="F19">
            <v>25809</v>
          </cell>
          <cell r="G19">
            <v>27001</v>
          </cell>
          <cell r="H19">
            <v>23989</v>
          </cell>
          <cell r="I19">
            <v>20264</v>
          </cell>
          <cell r="J19">
            <v>14436</v>
          </cell>
          <cell r="K19">
            <v>11023</v>
          </cell>
          <cell r="L19">
            <v>9399</v>
          </cell>
          <cell r="M19">
            <v>9389</v>
          </cell>
          <cell r="N19">
            <v>10159</v>
          </cell>
          <cell r="O19">
            <v>11100</v>
          </cell>
          <cell r="P19">
            <v>15408</v>
          </cell>
          <cell r="Q19">
            <v>20878</v>
          </cell>
        </row>
        <row r="20">
          <cell r="C20">
            <v>16626</v>
          </cell>
          <cell r="D20">
            <v>51976</v>
          </cell>
          <cell r="E20">
            <v>93797</v>
          </cell>
          <cell r="F20">
            <v>136611</v>
          </cell>
          <cell r="G20">
            <v>137902</v>
          </cell>
          <cell r="H20">
            <v>113365</v>
          </cell>
          <cell r="I20">
            <v>76751</v>
          </cell>
          <cell r="J20">
            <v>34044</v>
          </cell>
          <cell r="K20">
            <v>11564</v>
          </cell>
          <cell r="L20">
            <v>5804</v>
          </cell>
          <cell r="M20">
            <v>5229</v>
          </cell>
          <cell r="N20">
            <v>5638</v>
          </cell>
          <cell r="O20">
            <v>16718</v>
          </cell>
          <cell r="P20">
            <v>52164</v>
          </cell>
          <cell r="Q20">
            <v>94125</v>
          </cell>
        </row>
        <row r="21">
          <cell r="C21">
            <v>92234</v>
          </cell>
          <cell r="D21">
            <v>121353</v>
          </cell>
          <cell r="E21">
            <v>145820</v>
          </cell>
          <cell r="F21">
            <v>177539</v>
          </cell>
          <cell r="G21">
            <v>178314</v>
          </cell>
          <cell r="H21">
            <v>166268</v>
          </cell>
          <cell r="I21">
            <v>143563</v>
          </cell>
          <cell r="J21">
            <v>112293</v>
          </cell>
          <cell r="K21">
            <v>91074</v>
          </cell>
          <cell r="L21">
            <v>79101</v>
          </cell>
          <cell r="M21">
            <v>78408</v>
          </cell>
          <cell r="N21">
            <v>85668</v>
          </cell>
          <cell r="O21">
            <v>93062</v>
          </cell>
          <cell r="P21">
            <v>122131</v>
          </cell>
          <cell r="Q21">
            <v>146660</v>
          </cell>
        </row>
        <row r="23">
          <cell r="C23">
            <v>510113</v>
          </cell>
          <cell r="D23">
            <v>684692</v>
          </cell>
          <cell r="E23">
            <v>754364</v>
          </cell>
          <cell r="F23">
            <v>754724</v>
          </cell>
          <cell r="G23">
            <v>609943</v>
          </cell>
          <cell r="H23">
            <v>612894</v>
          </cell>
          <cell r="I23">
            <v>548714</v>
          </cell>
          <cell r="J23">
            <v>378130</v>
          </cell>
          <cell r="K23">
            <v>432003</v>
          </cell>
          <cell r="L23">
            <v>429007</v>
          </cell>
          <cell r="M23">
            <v>444910</v>
          </cell>
          <cell r="N23">
            <v>459197</v>
          </cell>
          <cell r="O23">
            <v>510805</v>
          </cell>
          <cell r="P23">
            <v>684279</v>
          </cell>
          <cell r="Q23">
            <v>756810</v>
          </cell>
        </row>
        <row r="31">
          <cell r="C31">
            <v>2188462.9814520548</v>
          </cell>
          <cell r="D31">
            <v>3751217.4953424656</v>
          </cell>
          <cell r="E31">
            <v>5574170.8617808223</v>
          </cell>
          <cell r="F31">
            <v>7435211.413479453</v>
          </cell>
          <cell r="G31">
            <v>7424386.704328767</v>
          </cell>
          <cell r="H31">
            <v>6598419.621534247</v>
          </cell>
          <cell r="I31">
            <v>5122393.2989041097</v>
          </cell>
          <cell r="J31">
            <v>3365301.9709315067</v>
          </cell>
          <cell r="K31">
            <v>2231402.7969863014</v>
          </cell>
          <cell r="L31">
            <v>1877569.0898630139</v>
          </cell>
          <cell r="M31">
            <v>1874707.0574520547</v>
          </cell>
          <cell r="N31">
            <v>1870360.1021917807</v>
          </cell>
          <cell r="O31">
            <v>2260982.4565479453</v>
          </cell>
          <cell r="P31">
            <v>3935469.5586301368</v>
          </cell>
          <cell r="Q31">
            <v>5871827.1877260283</v>
          </cell>
        </row>
        <row r="32">
          <cell r="C32">
            <v>229323.9666027397</v>
          </cell>
          <cell r="D32">
            <v>494639.25315068488</v>
          </cell>
          <cell r="E32">
            <v>864908.09904109593</v>
          </cell>
          <cell r="F32">
            <v>1278800.0465753425</v>
          </cell>
          <cell r="G32">
            <v>1253340.34569863</v>
          </cell>
          <cell r="H32">
            <v>1049796.1970958905</v>
          </cell>
          <cell r="I32">
            <v>731637.59095890413</v>
          </cell>
          <cell r="J32">
            <v>381440.01936986303</v>
          </cell>
          <cell r="K32">
            <v>212677.29109589042</v>
          </cell>
          <cell r="L32">
            <v>180521.32328767123</v>
          </cell>
          <cell r="M32">
            <v>177448.47972602741</v>
          </cell>
          <cell r="N32">
            <v>172910.04082191782</v>
          </cell>
          <cell r="O32">
            <v>237864.98082191779</v>
          </cell>
          <cell r="P32">
            <v>526037.75356164388</v>
          </cell>
          <cell r="Q32">
            <v>923174.83454794518</v>
          </cell>
        </row>
        <row r="33">
          <cell r="C33">
            <v>111898.31495890411</v>
          </cell>
          <cell r="D33">
            <v>140479.75712328765</v>
          </cell>
          <cell r="E33">
            <v>178459.98358904111</v>
          </cell>
          <cell r="F33">
            <v>212243.57531506848</v>
          </cell>
          <cell r="G33">
            <v>213327.43512328767</v>
          </cell>
          <cell r="H33">
            <v>196764.58167123288</v>
          </cell>
          <cell r="I33">
            <v>170717.64589041093</v>
          </cell>
          <cell r="J33">
            <v>135523.75167123289</v>
          </cell>
          <cell r="K33">
            <v>110913.51849315068</v>
          </cell>
          <cell r="L33">
            <v>100934.55246575343</v>
          </cell>
          <cell r="M33">
            <v>103523.6005479452</v>
          </cell>
          <cell r="N33">
            <v>107747.55520547945</v>
          </cell>
          <cell r="O33">
            <v>115738.08246575342</v>
          </cell>
          <cell r="P33">
            <v>146626.09452054795</v>
          </cell>
          <cell r="Q33">
            <v>187296.73723287671</v>
          </cell>
        </row>
        <row r="34">
          <cell r="C34">
            <v>178597.04687671232</v>
          </cell>
          <cell r="D34">
            <v>436292.58575342468</v>
          </cell>
          <cell r="E34">
            <v>745241.58783561643</v>
          </cell>
          <cell r="F34">
            <v>1059401.2872602739</v>
          </cell>
          <cell r="G34">
            <v>1040535.5816712328</v>
          </cell>
          <cell r="H34">
            <v>870311.29591780831</v>
          </cell>
          <cell r="I34">
            <v>605967.53863013699</v>
          </cell>
          <cell r="J34">
            <v>309471.68380821915</v>
          </cell>
          <cell r="K34">
            <v>141059.27821917809</v>
          </cell>
          <cell r="L34">
            <v>100239.54726027398</v>
          </cell>
          <cell r="M34">
            <v>98195.555917808219</v>
          </cell>
          <cell r="N34">
            <v>99397.888219178087</v>
          </cell>
          <cell r="O34">
            <v>187277.15649315069</v>
          </cell>
          <cell r="P34">
            <v>466218.13863013696</v>
          </cell>
          <cell r="Q34">
            <v>798624.24380821921</v>
          </cell>
        </row>
        <row r="35">
          <cell r="C35">
            <v>605975.6462191781</v>
          </cell>
          <cell r="D35">
            <v>775405.15438356157</v>
          </cell>
          <cell r="E35">
            <v>921472.19928767113</v>
          </cell>
          <cell r="F35">
            <v>1108130.6385205479</v>
          </cell>
          <cell r="G35">
            <v>1084132.491369863</v>
          </cell>
          <cell r="H35">
            <v>1021134.1271780822</v>
          </cell>
          <cell r="I35">
            <v>888393.88630136987</v>
          </cell>
          <cell r="J35">
            <v>729617.93506849324</v>
          </cell>
          <cell r="K35">
            <v>601413.89575342461</v>
          </cell>
          <cell r="L35">
            <v>532459.8985205479</v>
          </cell>
          <cell r="M35">
            <v>551097.05717808218</v>
          </cell>
          <cell r="N35">
            <v>593986.27575342462</v>
          </cell>
          <cell r="O35">
            <v>642083.74717808212</v>
          </cell>
          <cell r="P35">
            <v>830501.01726027403</v>
          </cell>
          <cell r="Q35">
            <v>986963.53506849322</v>
          </cell>
        </row>
        <row r="38">
          <cell r="C38">
            <v>1700707.9800000002</v>
          </cell>
          <cell r="D38">
            <v>2515863.3900000006</v>
          </cell>
          <cell r="E38">
            <v>3031365.8200000003</v>
          </cell>
          <cell r="F38">
            <v>3103875.51</v>
          </cell>
          <cell r="G38">
            <v>2504513.36</v>
          </cell>
          <cell r="H38">
            <v>2461932.4300000006</v>
          </cell>
          <cell r="I38">
            <v>1819535.53</v>
          </cell>
          <cell r="J38">
            <v>1301664.3400000001</v>
          </cell>
          <cell r="K38">
            <v>1428772.52</v>
          </cell>
          <cell r="L38">
            <v>1442419.3399999999</v>
          </cell>
          <cell r="M38">
            <v>1489045.5500000003</v>
          </cell>
          <cell r="N38">
            <v>1519428.3499999996</v>
          </cell>
          <cell r="O38">
            <v>1700151.17</v>
          </cell>
          <cell r="P38">
            <v>2512252.13</v>
          </cell>
          <cell r="Q38">
            <v>3083452.3</v>
          </cell>
        </row>
      </sheetData>
      <sheetData sheetId="4"/>
      <sheetData sheetId="5">
        <row r="2">
          <cell r="D2">
            <v>2019</v>
          </cell>
          <cell r="E2">
            <v>2019</v>
          </cell>
          <cell r="F2">
            <v>2019</v>
          </cell>
          <cell r="G2">
            <v>2020</v>
          </cell>
          <cell r="H2">
            <v>2020</v>
          </cell>
          <cell r="I2">
            <v>2020</v>
          </cell>
          <cell r="J2">
            <v>2020</v>
          </cell>
          <cell r="K2">
            <v>2020</v>
          </cell>
          <cell r="L2">
            <v>2020</v>
          </cell>
          <cell r="M2">
            <v>2020</v>
          </cell>
          <cell r="N2">
            <v>2020</v>
          </cell>
          <cell r="O2">
            <v>2020</v>
          </cell>
          <cell r="P2">
            <v>2020</v>
          </cell>
          <cell r="Q2">
            <v>2020</v>
          </cell>
          <cell r="R2">
            <v>2020</v>
          </cell>
        </row>
        <row r="3">
          <cell r="D3" t="str">
            <v>October</v>
          </cell>
          <cell r="E3" t="str">
            <v>November</v>
          </cell>
          <cell r="F3" t="str">
            <v>December</v>
          </cell>
          <cell r="G3" t="str">
            <v>January</v>
          </cell>
          <cell r="H3" t="str">
            <v>February</v>
          </cell>
          <cell r="I3" t="str">
            <v>March</v>
          </cell>
          <cell r="J3" t="str">
            <v>April</v>
          </cell>
          <cell r="K3" t="str">
            <v>May</v>
          </cell>
          <cell r="L3" t="str">
            <v>June</v>
          </cell>
          <cell r="M3" t="str">
            <v>July</v>
          </cell>
          <cell r="N3" t="str">
            <v>August</v>
          </cell>
          <cell r="O3" t="str">
            <v>September</v>
          </cell>
          <cell r="P3" t="str">
            <v>October</v>
          </cell>
          <cell r="Q3" t="str">
            <v>November</v>
          </cell>
          <cell r="R3" t="str">
            <v>December</v>
          </cell>
        </row>
        <row r="247">
          <cell r="D247">
            <v>43163</v>
          </cell>
          <cell r="E247">
            <v>61219</v>
          </cell>
          <cell r="F247">
            <v>84894</v>
          </cell>
          <cell r="G247">
            <v>103214</v>
          </cell>
          <cell r="H247">
            <v>92940</v>
          </cell>
          <cell r="I247">
            <v>82235</v>
          </cell>
          <cell r="J247">
            <v>57668</v>
          </cell>
          <cell r="K247">
            <v>39782</v>
          </cell>
          <cell r="L247">
            <v>26880</v>
          </cell>
          <cell r="M247">
            <v>24682</v>
          </cell>
          <cell r="N247">
            <v>24682</v>
          </cell>
          <cell r="O247">
            <v>28833</v>
          </cell>
          <cell r="P247">
            <v>43163</v>
          </cell>
          <cell r="Q247">
            <v>61219</v>
          </cell>
          <cell r="R247">
            <v>84894</v>
          </cell>
        </row>
        <row r="255">
          <cell r="D255">
            <v>166569.51000000004</v>
          </cell>
          <cell r="E255">
            <v>242225.99000000002</v>
          </cell>
          <cell r="F255">
            <v>336031.85</v>
          </cell>
          <cell r="G255">
            <v>411110.91</v>
          </cell>
          <cell r="H255">
            <v>371037.44</v>
          </cell>
          <cell r="I255">
            <v>325300.15999999997</v>
          </cell>
          <cell r="J255">
            <v>225918.32000000004</v>
          </cell>
          <cell r="K255">
            <v>155161.98000000001</v>
          </cell>
          <cell r="L255">
            <v>105831.86</v>
          </cell>
          <cell r="M255">
            <v>97351.35</v>
          </cell>
          <cell r="N255">
            <v>97247.07</v>
          </cell>
          <cell r="O255">
            <v>113049.4</v>
          </cell>
          <cell r="P255">
            <v>155939.20000000004</v>
          </cell>
          <cell r="Q255">
            <v>249206.26</v>
          </cell>
          <cell r="R255">
            <v>359896.05999999994</v>
          </cell>
        </row>
        <row r="262">
          <cell r="D262">
            <v>1809</v>
          </cell>
          <cell r="E262">
            <v>2208</v>
          </cell>
          <cell r="F262">
            <v>3257</v>
          </cell>
          <cell r="G262">
            <v>3695</v>
          </cell>
          <cell r="H262">
            <v>3365</v>
          </cell>
          <cell r="I262">
            <v>2760</v>
          </cell>
          <cell r="J262">
            <v>2002</v>
          </cell>
          <cell r="K262">
            <v>2256</v>
          </cell>
          <cell r="L262">
            <v>220</v>
          </cell>
          <cell r="M262">
            <v>0</v>
          </cell>
          <cell r="N262">
            <v>0</v>
          </cell>
          <cell r="O262">
            <v>254</v>
          </cell>
          <cell r="P262">
            <v>1809</v>
          </cell>
          <cell r="Q262">
            <v>2208</v>
          </cell>
          <cell r="R262">
            <v>3257</v>
          </cell>
        </row>
        <row r="270">
          <cell r="D270">
            <v>7603.8900000000012</v>
          </cell>
          <cell r="E270">
            <v>9552.2200000000012</v>
          </cell>
          <cell r="F270">
            <v>14139.11</v>
          </cell>
          <cell r="G270">
            <v>15963.77</v>
          </cell>
          <cell r="H270">
            <v>14537.61</v>
          </cell>
          <cell r="I270">
            <v>11931.32</v>
          </cell>
          <cell r="J270">
            <v>8520.5999999999985</v>
          </cell>
          <cell r="K270">
            <v>9090.2699999999986</v>
          </cell>
          <cell r="L270">
            <v>1067.9299999999998</v>
          </cell>
          <cell r="M270">
            <v>241.42999999999998</v>
          </cell>
          <cell r="N270">
            <v>241.42999999999998</v>
          </cell>
          <cell r="O270">
            <v>1311.8399999999997</v>
          </cell>
          <cell r="P270">
            <v>7109.8400000000011</v>
          </cell>
          <cell r="Q270">
            <v>9640.44</v>
          </cell>
          <cell r="R270">
            <v>14659.52</v>
          </cell>
        </row>
        <row r="412">
          <cell r="D412">
            <v>236209</v>
          </cell>
          <cell r="E412">
            <v>382399</v>
          </cell>
          <cell r="F412">
            <v>392374</v>
          </cell>
          <cell r="G412">
            <v>337630</v>
          </cell>
          <cell r="H412">
            <v>248974</v>
          </cell>
          <cell r="I412">
            <v>263609</v>
          </cell>
          <cell r="J412">
            <v>265303</v>
          </cell>
          <cell r="K412">
            <v>132292</v>
          </cell>
          <cell r="L412">
            <v>214678</v>
          </cell>
          <cell r="M412">
            <v>197053</v>
          </cell>
          <cell r="N412">
            <v>210955</v>
          </cell>
          <cell r="O412">
            <v>228633</v>
          </cell>
          <cell r="P412">
            <v>236209</v>
          </cell>
          <cell r="Q412">
            <v>382399</v>
          </cell>
          <cell r="R412">
            <v>392374</v>
          </cell>
        </row>
        <row r="422">
          <cell r="D422">
            <v>678801.18</v>
          </cell>
          <cell r="E422">
            <v>1292577.2299999997</v>
          </cell>
          <cell r="F422">
            <v>1532372.69</v>
          </cell>
          <cell r="G422">
            <v>1355764.0499999998</v>
          </cell>
          <cell r="H422">
            <v>992385.31</v>
          </cell>
          <cell r="I422">
            <v>1021701.48</v>
          </cell>
          <cell r="J422">
            <v>757573.19000000006</v>
          </cell>
          <cell r="K422">
            <v>393477.12999999995</v>
          </cell>
          <cell r="L422">
            <v>622652.45000000007</v>
          </cell>
          <cell r="M422">
            <v>580668.11</v>
          </cell>
          <cell r="N422">
            <v>620973.07999999996</v>
          </cell>
          <cell r="O422">
            <v>665148.16000000003</v>
          </cell>
          <cell r="P422">
            <v>690610.9800000001</v>
          </cell>
          <cell r="Q422">
            <v>1269633.2699999998</v>
          </cell>
          <cell r="R422">
            <v>1512753.99</v>
          </cell>
        </row>
      </sheetData>
      <sheetData sheetId="6"/>
      <sheetData sheetId="7"/>
      <sheetData sheetId="8"/>
      <sheetData sheetId="9"/>
      <sheetData sheetId="10"/>
      <sheetData sheetId="11"/>
      <sheetData sheetId="12"/>
      <sheetData sheetId="13"/>
      <sheetData sheetId="14"/>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
      <sheetName val="B"/>
      <sheetName val="C"/>
      <sheetName val="D"/>
      <sheetName val="E"/>
      <sheetName val="F"/>
      <sheetName val="G"/>
      <sheetName val="I"/>
      <sheetName val="J"/>
      <sheetName val="K"/>
      <sheetName val="U"/>
      <sheetName val="Sheet1"/>
      <sheetName val="Sheet2"/>
      <sheetName val="Inputs"/>
    </sheetNames>
    <sheetDataSet>
      <sheetData sheetId="0"/>
      <sheetData sheetId="1"/>
      <sheetData sheetId="2"/>
      <sheetData sheetId="3">
        <row r="4">
          <cell r="D4">
            <v>2020</v>
          </cell>
          <cell r="E4">
            <v>2020</v>
          </cell>
          <cell r="F4">
            <v>2020</v>
          </cell>
          <cell r="G4">
            <v>2021</v>
          </cell>
          <cell r="H4">
            <v>2021</v>
          </cell>
          <cell r="I4">
            <v>2021</v>
          </cell>
          <cell r="J4">
            <v>2021</v>
          </cell>
          <cell r="K4">
            <v>2021</v>
          </cell>
          <cell r="L4">
            <v>2021</v>
          </cell>
          <cell r="M4">
            <v>2021</v>
          </cell>
          <cell r="N4">
            <v>2021</v>
          </cell>
          <cell r="O4">
            <v>2021</v>
          </cell>
        </row>
        <row r="5">
          <cell r="D5" t="str">
            <v>October</v>
          </cell>
          <cell r="E5" t="str">
            <v>November</v>
          </cell>
          <cell r="F5" t="str">
            <v>December</v>
          </cell>
          <cell r="G5" t="str">
            <v>January</v>
          </cell>
          <cell r="H5" t="str">
            <v>February</v>
          </cell>
          <cell r="I5" t="str">
            <v>March</v>
          </cell>
          <cell r="J5" t="str">
            <v>April</v>
          </cell>
          <cell r="K5" t="str">
            <v>May</v>
          </cell>
          <cell r="L5" t="str">
            <v>June</v>
          </cell>
          <cell r="M5" t="str">
            <v>July</v>
          </cell>
          <cell r="N5" t="str">
            <v>August</v>
          </cell>
          <cell r="O5" t="str">
            <v>September</v>
          </cell>
        </row>
        <row r="7">
          <cell r="D7">
            <v>47381</v>
          </cell>
          <cell r="E7">
            <v>47864</v>
          </cell>
          <cell r="F7">
            <v>48156</v>
          </cell>
          <cell r="G7">
            <v>48293</v>
          </cell>
          <cell r="H7">
            <v>48343</v>
          </cell>
          <cell r="I7">
            <v>48399</v>
          </cell>
          <cell r="J7">
            <v>48407</v>
          </cell>
          <cell r="K7">
            <v>48278</v>
          </cell>
          <cell r="L7">
            <v>48004</v>
          </cell>
          <cell r="M7">
            <v>47687</v>
          </cell>
          <cell r="N7">
            <v>47600</v>
          </cell>
          <cell r="O7">
            <v>47647</v>
          </cell>
        </row>
        <row r="8">
          <cell r="D8">
            <v>3899</v>
          </cell>
          <cell r="E8">
            <v>4016</v>
          </cell>
          <cell r="F8">
            <v>4066</v>
          </cell>
          <cell r="G8">
            <v>4099</v>
          </cell>
          <cell r="H8">
            <v>4111</v>
          </cell>
          <cell r="I8">
            <v>4112</v>
          </cell>
          <cell r="J8">
            <v>4113</v>
          </cell>
          <cell r="K8">
            <v>4083</v>
          </cell>
          <cell r="L8">
            <v>4012</v>
          </cell>
          <cell r="M8">
            <v>3962</v>
          </cell>
          <cell r="N8">
            <v>3943</v>
          </cell>
          <cell r="O8">
            <v>3893</v>
          </cell>
        </row>
        <row r="9">
          <cell r="D9">
            <v>1021</v>
          </cell>
          <cell r="E9">
            <v>1029</v>
          </cell>
          <cell r="F9">
            <v>1032</v>
          </cell>
          <cell r="G9">
            <v>1032</v>
          </cell>
          <cell r="H9">
            <v>1034</v>
          </cell>
          <cell r="I9">
            <v>1032</v>
          </cell>
          <cell r="J9">
            <v>1032</v>
          </cell>
          <cell r="K9">
            <v>1028</v>
          </cell>
          <cell r="L9">
            <v>1022</v>
          </cell>
          <cell r="M9">
            <v>1018</v>
          </cell>
          <cell r="N9">
            <v>1018</v>
          </cell>
          <cell r="O9">
            <v>1067</v>
          </cell>
        </row>
        <row r="10">
          <cell r="D10">
            <v>498</v>
          </cell>
          <cell r="E10">
            <v>502</v>
          </cell>
          <cell r="F10">
            <v>507</v>
          </cell>
          <cell r="G10">
            <v>507</v>
          </cell>
          <cell r="H10">
            <v>508</v>
          </cell>
          <cell r="I10">
            <v>506</v>
          </cell>
          <cell r="J10">
            <v>501</v>
          </cell>
          <cell r="K10">
            <v>504</v>
          </cell>
          <cell r="L10">
            <v>501</v>
          </cell>
          <cell r="M10">
            <v>497</v>
          </cell>
          <cell r="N10">
            <v>497</v>
          </cell>
          <cell r="O10">
            <v>490</v>
          </cell>
        </row>
        <row r="11">
          <cell r="D11">
            <v>547</v>
          </cell>
          <cell r="E11">
            <v>548</v>
          </cell>
          <cell r="F11">
            <v>552</v>
          </cell>
          <cell r="G11">
            <v>554</v>
          </cell>
          <cell r="H11">
            <v>555</v>
          </cell>
          <cell r="I11">
            <v>555</v>
          </cell>
          <cell r="J11">
            <v>556</v>
          </cell>
          <cell r="K11">
            <v>558</v>
          </cell>
          <cell r="L11">
            <v>555</v>
          </cell>
          <cell r="M11">
            <v>555</v>
          </cell>
          <cell r="N11">
            <v>557</v>
          </cell>
          <cell r="O11">
            <v>562</v>
          </cell>
        </row>
        <row r="12">
          <cell r="D12">
            <v>46</v>
          </cell>
          <cell r="E12">
            <v>45</v>
          </cell>
          <cell r="F12">
            <v>44</v>
          </cell>
          <cell r="G12">
            <v>43</v>
          </cell>
          <cell r="H12">
            <v>43</v>
          </cell>
          <cell r="I12">
            <v>43</v>
          </cell>
          <cell r="J12">
            <v>45</v>
          </cell>
          <cell r="K12">
            <v>46</v>
          </cell>
          <cell r="L12">
            <v>46</v>
          </cell>
          <cell r="M12">
            <v>46</v>
          </cell>
          <cell r="N12">
            <v>46</v>
          </cell>
          <cell r="O12">
            <v>46</v>
          </cell>
        </row>
        <row r="17">
          <cell r="D17">
            <v>125799</v>
          </cell>
          <cell r="E17">
            <v>298335</v>
          </cell>
          <cell r="F17">
            <v>491858</v>
          </cell>
          <cell r="G17">
            <v>693189</v>
          </cell>
          <cell r="H17">
            <v>705211</v>
          </cell>
          <cell r="I17">
            <v>588941</v>
          </cell>
          <cell r="J17">
            <v>455229</v>
          </cell>
          <cell r="K17">
            <v>255006</v>
          </cell>
          <cell r="L17">
            <v>131517</v>
          </cell>
          <cell r="M17">
            <v>88127</v>
          </cell>
          <cell r="N17">
            <v>83422</v>
          </cell>
          <cell r="O17">
            <v>86711</v>
          </cell>
        </row>
        <row r="18">
          <cell r="D18">
            <v>10046</v>
          </cell>
          <cell r="E18">
            <v>42960</v>
          </cell>
          <cell r="F18">
            <v>86667</v>
          </cell>
          <cell r="G18">
            <v>131597</v>
          </cell>
          <cell r="H18">
            <v>133294</v>
          </cell>
          <cell r="I18">
            <v>104194</v>
          </cell>
          <cell r="J18">
            <v>71000</v>
          </cell>
          <cell r="K18">
            <v>27878</v>
          </cell>
          <cell r="L18">
            <v>7339</v>
          </cell>
          <cell r="M18">
            <v>3816</v>
          </cell>
          <cell r="N18">
            <v>3747</v>
          </cell>
          <cell r="O18">
            <v>3227</v>
          </cell>
        </row>
        <row r="19">
          <cell r="D19">
            <v>10914</v>
          </cell>
          <cell r="E19">
            <v>15540</v>
          </cell>
          <cell r="F19">
            <v>21665</v>
          </cell>
          <cell r="G19">
            <v>27333</v>
          </cell>
          <cell r="H19">
            <v>28789</v>
          </cell>
          <cell r="I19">
            <v>24365</v>
          </cell>
          <cell r="J19">
            <v>21313</v>
          </cell>
          <cell r="K19">
            <v>14612</v>
          </cell>
          <cell r="L19">
            <v>10863</v>
          </cell>
          <cell r="M19">
            <v>7922</v>
          </cell>
          <cell r="N19">
            <v>9190</v>
          </cell>
          <cell r="O19">
            <v>10035</v>
          </cell>
        </row>
        <row r="20">
          <cell r="D20">
            <v>17661</v>
          </cell>
          <cell r="E20">
            <v>57126</v>
          </cell>
          <cell r="F20">
            <v>101572</v>
          </cell>
          <cell r="G20">
            <v>144506</v>
          </cell>
          <cell r="H20">
            <v>146807</v>
          </cell>
          <cell r="I20">
            <v>116900</v>
          </cell>
          <cell r="J20">
            <v>82832</v>
          </cell>
          <cell r="K20">
            <v>36908</v>
          </cell>
          <cell r="L20">
            <v>11614</v>
          </cell>
          <cell r="M20">
            <v>5403</v>
          </cell>
          <cell r="N20">
            <v>5275</v>
          </cell>
          <cell r="O20">
            <v>6197</v>
          </cell>
        </row>
        <row r="21">
          <cell r="D21">
            <v>96591</v>
          </cell>
          <cell r="E21">
            <v>127548</v>
          </cell>
          <cell r="F21">
            <v>155960</v>
          </cell>
          <cell r="G21">
            <v>187150</v>
          </cell>
          <cell r="H21">
            <v>186764</v>
          </cell>
          <cell r="I21">
            <v>171175</v>
          </cell>
          <cell r="J21">
            <v>151038</v>
          </cell>
          <cell r="K21">
            <v>118570</v>
          </cell>
          <cell r="L21">
            <v>96080</v>
          </cell>
          <cell r="M21">
            <v>77521</v>
          </cell>
          <cell r="N21">
            <v>87384</v>
          </cell>
          <cell r="O21">
            <v>89390</v>
          </cell>
        </row>
        <row r="29">
          <cell r="D29">
            <v>497889</v>
          </cell>
          <cell r="E29">
            <v>554633</v>
          </cell>
          <cell r="F29">
            <v>756049</v>
          </cell>
          <cell r="G29">
            <v>774990</v>
          </cell>
          <cell r="H29">
            <v>716045</v>
          </cell>
          <cell r="I29">
            <v>651653</v>
          </cell>
          <cell r="J29">
            <v>470251</v>
          </cell>
          <cell r="K29">
            <v>361805</v>
          </cell>
          <cell r="L29">
            <v>427391</v>
          </cell>
          <cell r="M29">
            <v>434369</v>
          </cell>
          <cell r="N29">
            <v>430210</v>
          </cell>
          <cell r="O29">
            <v>418538</v>
          </cell>
        </row>
        <row r="30">
          <cell r="D30">
            <v>270473</v>
          </cell>
          <cell r="E30">
            <v>311694</v>
          </cell>
          <cell r="F30">
            <v>480960</v>
          </cell>
          <cell r="G30">
            <v>474430</v>
          </cell>
          <cell r="H30">
            <v>449292</v>
          </cell>
          <cell r="I30">
            <v>384187</v>
          </cell>
          <cell r="J30">
            <v>236883</v>
          </cell>
          <cell r="K30">
            <v>155845</v>
          </cell>
          <cell r="L30">
            <v>225716</v>
          </cell>
          <cell r="M30">
            <v>231535</v>
          </cell>
          <cell r="N30">
            <v>227242</v>
          </cell>
          <cell r="O30">
            <v>233671</v>
          </cell>
        </row>
        <row r="33">
          <cell r="D33">
            <v>2319292.930821918</v>
          </cell>
          <cell r="E33">
            <v>3939698.7980821915</v>
          </cell>
          <cell r="F33">
            <v>5828709.784931507</v>
          </cell>
          <cell r="G33">
            <v>7752040.6685479451</v>
          </cell>
          <cell r="H33">
            <v>7757332.8094794517</v>
          </cell>
          <cell r="I33">
            <v>6760332.1188767124</v>
          </cell>
          <cell r="J33">
            <v>5448413.3372602742</v>
          </cell>
          <cell r="K33">
            <v>3572734.9591780822</v>
          </cell>
          <cell r="L33">
            <v>2351956.8256164384</v>
          </cell>
          <cell r="M33">
            <v>1967245.4260821918</v>
          </cell>
          <cell r="N33">
            <v>1920318.1536986299</v>
          </cell>
          <cell r="O33">
            <v>1916478.6849315069</v>
          </cell>
        </row>
        <row r="34">
          <cell r="D34">
            <v>238915.25824657537</v>
          </cell>
          <cell r="E34">
            <v>520957.65369863017</v>
          </cell>
          <cell r="F34">
            <v>903169.45383561647</v>
          </cell>
          <cell r="G34">
            <v>1290140.8203013698</v>
          </cell>
          <cell r="H34">
            <v>1289598.8623013699</v>
          </cell>
          <cell r="I34">
            <v>1055422.529369863</v>
          </cell>
          <cell r="J34">
            <v>765328.89972602739</v>
          </cell>
          <cell r="K34">
            <v>399190.38057534245</v>
          </cell>
          <cell r="L34">
            <v>215035.4090410959</v>
          </cell>
          <cell r="M34">
            <v>187903.94032876709</v>
          </cell>
          <cell r="N34">
            <v>186567.64013698633</v>
          </cell>
          <cell r="O34">
            <v>175228.42205479453</v>
          </cell>
        </row>
        <row r="35">
          <cell r="D35">
            <v>114371.02430136985</v>
          </cell>
          <cell r="E35">
            <v>144915.28767123289</v>
          </cell>
          <cell r="F35">
            <v>188080.57972602738</v>
          </cell>
          <cell r="G35">
            <v>226713.66972602741</v>
          </cell>
          <cell r="H35">
            <v>232797.68095890409</v>
          </cell>
          <cell r="I35">
            <v>206483.77972602739</v>
          </cell>
          <cell r="J35">
            <v>184377.73876712329</v>
          </cell>
          <cell r="K35">
            <v>139850.70243835615</v>
          </cell>
          <cell r="L35">
            <v>112771.5820547945</v>
          </cell>
          <cell r="M35">
            <v>93860.073835616437</v>
          </cell>
          <cell r="N35">
            <v>102502.76383561644</v>
          </cell>
          <cell r="O35">
            <v>108833.23726027396</v>
          </cell>
        </row>
        <row r="36">
          <cell r="D36">
            <v>190984.96030136987</v>
          </cell>
          <cell r="E36">
            <v>477200.85136986303</v>
          </cell>
          <cell r="F36">
            <v>803904.48890410969</v>
          </cell>
          <cell r="G36">
            <v>1116936.2889041095</v>
          </cell>
          <cell r="H36">
            <v>1127695.7573698629</v>
          </cell>
          <cell r="I36">
            <v>915536.00805479451</v>
          </cell>
          <cell r="J36">
            <v>664502.39054794516</v>
          </cell>
          <cell r="K36">
            <v>332064.45597260277</v>
          </cell>
          <cell r="L36">
            <v>145251.95054794519</v>
          </cell>
          <cell r="M36">
            <v>101486.93926027397</v>
          </cell>
          <cell r="N36">
            <v>100553.69926027398</v>
          </cell>
          <cell r="O36">
            <v>104426.63246575341</v>
          </cell>
        </row>
        <row r="37">
          <cell r="D37">
            <v>634556.95747945202</v>
          </cell>
          <cell r="E37">
            <v>813943.26534246572</v>
          </cell>
          <cell r="F37">
            <v>983202.72230136977</v>
          </cell>
          <cell r="G37">
            <v>1166288.3741917808</v>
          </cell>
          <cell r="H37">
            <v>1157440.2611780823</v>
          </cell>
          <cell r="I37">
            <v>1072767.8752328767</v>
          </cell>
          <cell r="J37">
            <v>952608.9012328767</v>
          </cell>
          <cell r="K37">
            <v>764772.16816438362</v>
          </cell>
          <cell r="L37">
            <v>630324.20054794522</v>
          </cell>
          <cell r="M37">
            <v>523768.11523287673</v>
          </cell>
          <cell r="N37">
            <v>581834.89712328766</v>
          </cell>
          <cell r="O37">
            <v>591953.76575342473</v>
          </cell>
        </row>
        <row r="40">
          <cell r="D40">
            <v>1656449.6100000006</v>
          </cell>
          <cell r="E40">
            <v>2268636.4800000004</v>
          </cell>
          <cell r="F40">
            <v>3404902.4300000006</v>
          </cell>
          <cell r="G40">
            <v>3511815.1499999994</v>
          </cell>
          <cell r="H40">
            <v>3353357.6399999997</v>
          </cell>
          <cell r="I40">
            <v>2958824.8600000003</v>
          </cell>
          <cell r="J40">
            <v>1822004.0600000003</v>
          </cell>
          <cell r="K40">
            <v>1408439.3899999997</v>
          </cell>
          <cell r="L40">
            <v>1608214.4100000001</v>
          </cell>
          <cell r="M40">
            <v>1648739.5500000003</v>
          </cell>
          <cell r="N40">
            <v>1639618.78</v>
          </cell>
          <cell r="O40">
            <v>1579630.4100000001</v>
          </cell>
        </row>
      </sheetData>
      <sheetData sheetId="4"/>
      <sheetData sheetId="5">
        <row r="255">
          <cell r="D255">
            <v>138157.59000000003</v>
          </cell>
          <cell r="E255">
            <v>285229.44</v>
          </cell>
          <cell r="F255">
            <v>399111.14</v>
          </cell>
          <cell r="G255">
            <v>461052.82999999996</v>
          </cell>
          <cell r="H255">
            <v>436865.04</v>
          </cell>
          <cell r="I255">
            <v>392137</v>
          </cell>
          <cell r="J255">
            <v>240882.89</v>
          </cell>
          <cell r="K255">
            <v>139518.73000000004</v>
          </cell>
          <cell r="L255">
            <v>111552.53</v>
          </cell>
          <cell r="M255">
            <v>105757.08</v>
          </cell>
          <cell r="N255">
            <v>106014.57</v>
          </cell>
          <cell r="O255">
            <v>113915.72000000002</v>
          </cell>
        </row>
        <row r="270">
          <cell r="D270">
            <v>6574.07</v>
          </cell>
          <cell r="E270">
            <v>10141.77</v>
          </cell>
          <cell r="F270">
            <v>16220.900000000001</v>
          </cell>
          <cell r="G270">
            <v>19953.96</v>
          </cell>
          <cell r="H270">
            <v>16886.18</v>
          </cell>
          <cell r="I270">
            <v>16052.69</v>
          </cell>
          <cell r="J270">
            <v>11445.26</v>
          </cell>
          <cell r="K270">
            <v>2921.0299999999997</v>
          </cell>
          <cell r="L270">
            <v>241.42999999999998</v>
          </cell>
          <cell r="M270">
            <v>241.42999999999998</v>
          </cell>
          <cell r="N270">
            <v>241.42999999999998</v>
          </cell>
          <cell r="O270">
            <v>3786.6499999999996</v>
          </cell>
        </row>
        <row r="422">
          <cell r="D422">
            <v>672279.63</v>
          </cell>
          <cell r="E422">
            <v>892251.94000000006</v>
          </cell>
          <cell r="F422">
            <v>1675214.1099999999</v>
          </cell>
          <cell r="G422">
            <v>1592194.14</v>
          </cell>
          <cell r="H422">
            <v>1580065.98</v>
          </cell>
          <cell r="I422">
            <v>1276114.3699999999</v>
          </cell>
          <cell r="J422">
            <v>594623.84</v>
          </cell>
          <cell r="K422">
            <v>419850.36</v>
          </cell>
          <cell r="L422">
            <v>662541.13</v>
          </cell>
          <cell r="M422">
            <v>694009.70000000007</v>
          </cell>
          <cell r="N422">
            <v>682556.01</v>
          </cell>
          <cell r="O422">
            <v>689597.16</v>
          </cell>
        </row>
      </sheetData>
      <sheetData sheetId="6"/>
      <sheetData sheetId="7"/>
      <sheetData sheetId="8"/>
      <sheetData sheetId="9"/>
      <sheetData sheetId="10"/>
      <sheetData sheetId="11"/>
      <sheetData sheetId="12"/>
      <sheetData sheetId="13"/>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
      <sheetName val="B"/>
      <sheetName val="C"/>
      <sheetName val="D"/>
      <sheetName val="E"/>
      <sheetName val="F"/>
      <sheetName val="G"/>
      <sheetName val="I"/>
      <sheetName val="J"/>
      <sheetName val="K"/>
      <sheetName val="U"/>
      <sheetName val="Sheet1"/>
      <sheetName val="Sheet2"/>
      <sheetName val="Russell"/>
      <sheetName val="Sheet3"/>
    </sheetNames>
    <sheetDataSet>
      <sheetData sheetId="0"/>
      <sheetData sheetId="1"/>
      <sheetData sheetId="2"/>
      <sheetData sheetId="3">
        <row r="7">
          <cell r="C7">
            <v>45831</v>
          </cell>
          <cell r="D7">
            <v>46471</v>
          </cell>
          <cell r="E7">
            <v>46838</v>
          </cell>
          <cell r="F7">
            <v>46977</v>
          </cell>
          <cell r="G7">
            <v>47038</v>
          </cell>
          <cell r="H7">
            <v>47078</v>
          </cell>
          <cell r="I7">
            <v>47071</v>
          </cell>
          <cell r="J7">
            <v>46919</v>
          </cell>
          <cell r="K7">
            <v>46567</v>
          </cell>
          <cell r="L7">
            <v>46175</v>
          </cell>
          <cell r="M7">
            <v>46053</v>
          </cell>
          <cell r="N7">
            <v>46109</v>
          </cell>
        </row>
        <row r="8">
          <cell r="C8">
            <v>3927</v>
          </cell>
          <cell r="D8">
            <v>4052</v>
          </cell>
          <cell r="E8">
            <v>4099</v>
          </cell>
          <cell r="F8">
            <v>4124</v>
          </cell>
          <cell r="G8">
            <v>4132</v>
          </cell>
          <cell r="H8">
            <v>4133</v>
          </cell>
          <cell r="I8">
            <v>4133</v>
          </cell>
          <cell r="J8">
            <v>4095</v>
          </cell>
          <cell r="K8">
            <v>4016</v>
          </cell>
          <cell r="L8">
            <v>3968</v>
          </cell>
          <cell r="M8">
            <v>3950</v>
          </cell>
          <cell r="N8">
            <v>3954</v>
          </cell>
        </row>
        <row r="9">
          <cell r="C9">
            <v>883</v>
          </cell>
          <cell r="D9">
            <v>887</v>
          </cell>
          <cell r="E9">
            <v>891</v>
          </cell>
          <cell r="F9">
            <v>892</v>
          </cell>
          <cell r="G9">
            <v>892</v>
          </cell>
          <cell r="H9">
            <v>893</v>
          </cell>
          <cell r="I9">
            <v>894</v>
          </cell>
          <cell r="J9">
            <v>894</v>
          </cell>
          <cell r="K9">
            <v>889</v>
          </cell>
          <cell r="L9">
            <v>888</v>
          </cell>
          <cell r="M9">
            <v>885</v>
          </cell>
          <cell r="N9">
            <v>879</v>
          </cell>
        </row>
        <row r="10">
          <cell r="C10">
            <v>500</v>
          </cell>
          <cell r="D10">
            <v>504</v>
          </cell>
          <cell r="E10">
            <v>509</v>
          </cell>
          <cell r="F10">
            <v>513</v>
          </cell>
          <cell r="G10">
            <v>513</v>
          </cell>
          <cell r="H10">
            <v>513</v>
          </cell>
          <cell r="I10">
            <v>513</v>
          </cell>
          <cell r="J10">
            <v>514</v>
          </cell>
          <cell r="K10">
            <v>512</v>
          </cell>
          <cell r="L10">
            <v>513</v>
          </cell>
          <cell r="M10">
            <v>512</v>
          </cell>
          <cell r="N10">
            <v>509</v>
          </cell>
        </row>
        <row r="11">
          <cell r="C11">
            <v>515</v>
          </cell>
          <cell r="D11">
            <v>517</v>
          </cell>
          <cell r="E11">
            <v>518</v>
          </cell>
          <cell r="F11">
            <v>519</v>
          </cell>
          <cell r="G11">
            <v>521</v>
          </cell>
          <cell r="H11">
            <v>522</v>
          </cell>
          <cell r="I11">
            <v>521</v>
          </cell>
          <cell r="J11">
            <v>524</v>
          </cell>
          <cell r="K11">
            <v>520</v>
          </cell>
          <cell r="L11">
            <v>522</v>
          </cell>
          <cell r="M11">
            <v>522</v>
          </cell>
          <cell r="N11">
            <v>522</v>
          </cell>
        </row>
        <row r="12">
          <cell r="C12">
            <v>46</v>
          </cell>
          <cell r="D12">
            <v>44</v>
          </cell>
          <cell r="E12">
            <v>44</v>
          </cell>
          <cell r="F12">
            <v>43</v>
          </cell>
          <cell r="G12">
            <v>43</v>
          </cell>
          <cell r="H12">
            <v>43</v>
          </cell>
          <cell r="I12">
            <v>46</v>
          </cell>
          <cell r="J12">
            <v>47</v>
          </cell>
          <cell r="K12">
            <v>46</v>
          </cell>
          <cell r="L12">
            <v>46</v>
          </cell>
          <cell r="M12">
            <v>46</v>
          </cell>
          <cell r="N12">
            <v>46</v>
          </cell>
        </row>
        <row r="17">
          <cell r="C17">
            <v>120518</v>
          </cell>
          <cell r="D17">
            <v>318873</v>
          </cell>
          <cell r="E17">
            <v>501814</v>
          </cell>
          <cell r="F17">
            <v>648588</v>
          </cell>
          <cell r="G17">
            <v>688125</v>
          </cell>
          <cell r="H17">
            <v>595590</v>
          </cell>
          <cell r="I17">
            <v>440533</v>
          </cell>
          <cell r="J17">
            <v>235062</v>
          </cell>
          <cell r="K17">
            <v>129046</v>
          </cell>
          <cell r="L17">
            <v>91814</v>
          </cell>
          <cell r="M17">
            <v>85498</v>
          </cell>
          <cell r="N17">
            <v>88346</v>
          </cell>
        </row>
        <row r="18">
          <cell r="C18">
            <v>9190</v>
          </cell>
          <cell r="D18">
            <v>36622</v>
          </cell>
          <cell r="E18">
            <v>78086</v>
          </cell>
          <cell r="F18">
            <v>124169</v>
          </cell>
          <cell r="G18">
            <v>132361</v>
          </cell>
          <cell r="H18">
            <v>110930</v>
          </cell>
          <cell r="I18">
            <v>70068</v>
          </cell>
          <cell r="J18">
            <v>24864</v>
          </cell>
          <cell r="K18">
            <v>7939</v>
          </cell>
          <cell r="L18">
            <v>3801</v>
          </cell>
          <cell r="M18">
            <v>3270</v>
          </cell>
          <cell r="N18">
            <v>3945</v>
          </cell>
        </row>
        <row r="19">
          <cell r="C19">
            <v>9815</v>
          </cell>
          <cell r="D19">
            <v>13190</v>
          </cell>
          <cell r="E19">
            <v>17658</v>
          </cell>
          <cell r="F19">
            <v>22342</v>
          </cell>
          <cell r="G19">
            <v>24510</v>
          </cell>
          <cell r="H19">
            <v>22609</v>
          </cell>
          <cell r="I19">
            <v>18720</v>
          </cell>
          <cell r="J19">
            <v>13342</v>
          </cell>
          <cell r="K19">
            <v>10188</v>
          </cell>
          <cell r="L19">
            <v>9134</v>
          </cell>
          <cell r="M19">
            <v>8658</v>
          </cell>
          <cell r="N19">
            <v>9886</v>
          </cell>
        </row>
        <row r="20">
          <cell r="C20">
            <v>16909</v>
          </cell>
          <cell r="D20">
            <v>51067</v>
          </cell>
          <cell r="E20">
            <v>95473</v>
          </cell>
          <cell r="F20">
            <v>142875</v>
          </cell>
          <cell r="G20">
            <v>148401</v>
          </cell>
          <cell r="H20">
            <v>125185</v>
          </cell>
          <cell r="I20">
            <v>84050</v>
          </cell>
          <cell r="J20">
            <v>35575</v>
          </cell>
          <cell r="K20">
            <v>12526</v>
          </cell>
          <cell r="L20">
            <v>6980</v>
          </cell>
          <cell r="M20">
            <v>5818</v>
          </cell>
          <cell r="N20">
            <v>8095</v>
          </cell>
        </row>
        <row r="21">
          <cell r="C21">
            <v>87642</v>
          </cell>
          <cell r="D21">
            <v>111387</v>
          </cell>
          <cell r="E21">
            <v>136446</v>
          </cell>
          <cell r="F21">
            <v>163453</v>
          </cell>
          <cell r="G21">
            <v>170671</v>
          </cell>
          <cell r="H21">
            <v>160357</v>
          </cell>
          <cell r="I21">
            <v>136474</v>
          </cell>
          <cell r="J21">
            <v>104211</v>
          </cell>
          <cell r="K21">
            <v>85726</v>
          </cell>
          <cell r="L21">
            <v>77394</v>
          </cell>
          <cell r="M21">
            <v>75324</v>
          </cell>
          <cell r="N21">
            <v>85981</v>
          </cell>
        </row>
        <row r="23">
          <cell r="C23">
            <v>476924</v>
          </cell>
          <cell r="D23">
            <v>561831</v>
          </cell>
          <cell r="E23">
            <v>622645</v>
          </cell>
          <cell r="F23">
            <v>690420</v>
          </cell>
          <cell r="G23">
            <v>581872</v>
          </cell>
          <cell r="H23">
            <v>581569</v>
          </cell>
          <cell r="I23">
            <v>406794</v>
          </cell>
          <cell r="J23">
            <v>380665</v>
          </cell>
          <cell r="K23">
            <v>398603</v>
          </cell>
          <cell r="L23">
            <v>379282</v>
          </cell>
          <cell r="M23">
            <v>404222</v>
          </cell>
          <cell r="N23">
            <v>426467</v>
          </cell>
        </row>
        <row r="31">
          <cell r="C31">
            <v>2228356.7698082193</v>
          </cell>
          <cell r="D31">
            <v>4322996.7424657531</v>
          </cell>
          <cell r="E31">
            <v>6264470.7930958904</v>
          </cell>
          <cell r="F31">
            <v>7791553.559452055</v>
          </cell>
          <cell r="G31">
            <v>8081722.8486027401</v>
          </cell>
          <cell r="H31">
            <v>7226871.9230958903</v>
          </cell>
          <cell r="I31">
            <v>5586925.6024657534</v>
          </cell>
          <cell r="J31">
            <v>3467225.0165479453</v>
          </cell>
          <cell r="K31">
            <v>2337983.1324657537</v>
          </cell>
          <cell r="L31">
            <v>1981042.5625479452</v>
          </cell>
          <cell r="M31">
            <v>1915559.255452055</v>
          </cell>
          <cell r="N31">
            <v>1912627.5875342465</v>
          </cell>
        </row>
        <row r="32">
          <cell r="C32">
            <v>229394.639369863</v>
          </cell>
          <cell r="D32">
            <v>500908.43739726034</v>
          </cell>
          <cell r="E32">
            <v>909074.241479452</v>
          </cell>
          <cell r="F32">
            <v>1356274.4980821917</v>
          </cell>
          <cell r="G32">
            <v>1416753.7959726027</v>
          </cell>
          <cell r="H32">
            <v>1224853.9549589041</v>
          </cell>
          <cell r="I32">
            <v>825481.10931506846</v>
          </cell>
          <cell r="J32">
            <v>389917.924</v>
          </cell>
          <cell r="K32">
            <v>220691.65534246576</v>
          </cell>
          <cell r="L32">
            <v>184260.96695890412</v>
          </cell>
          <cell r="M32">
            <v>178615.93339726029</v>
          </cell>
          <cell r="N32">
            <v>180465.40794520543</v>
          </cell>
        </row>
        <row r="33">
          <cell r="C33">
            <v>105729.74495890411</v>
          </cell>
          <cell r="D33">
            <v>132340.28739726025</v>
          </cell>
          <cell r="E33">
            <v>167540.33312328765</v>
          </cell>
          <cell r="F33">
            <v>203204.1350410959</v>
          </cell>
          <cell r="G33">
            <v>215885.94197260274</v>
          </cell>
          <cell r="H33">
            <v>204729.62695890412</v>
          </cell>
          <cell r="I33">
            <v>174204.86794520548</v>
          </cell>
          <cell r="J33">
            <v>133383.79887671233</v>
          </cell>
          <cell r="K33">
            <v>108478.97465753424</v>
          </cell>
          <cell r="L33">
            <v>101608.41756164383</v>
          </cell>
          <cell r="M33">
            <v>98109.301999999996</v>
          </cell>
          <cell r="N33">
            <v>106061.21794520548</v>
          </cell>
        </row>
        <row r="34">
          <cell r="C34">
            <v>198977.53339726027</v>
          </cell>
          <cell r="D34">
            <v>487209.72205479455</v>
          </cell>
          <cell r="E34">
            <v>862927.51367123285</v>
          </cell>
          <cell r="F34">
            <v>1261769.9509863015</v>
          </cell>
          <cell r="G34">
            <v>1297702.1073424658</v>
          </cell>
          <cell r="H34">
            <v>1109222.4509863015</v>
          </cell>
          <cell r="I34">
            <v>762829.78643835615</v>
          </cell>
          <cell r="J34">
            <v>355123.67021917808</v>
          </cell>
          <cell r="K34">
            <v>162466.30602739725</v>
          </cell>
          <cell r="L34">
            <v>118724.18098630136</v>
          </cell>
          <cell r="M34">
            <v>109160.65156164384</v>
          </cell>
          <cell r="N34">
            <v>125726.03452054794</v>
          </cell>
        </row>
        <row r="35">
          <cell r="C35">
            <v>643290.30939726031</v>
          </cell>
          <cell r="D35">
            <v>805387.14849315071</v>
          </cell>
          <cell r="E35">
            <v>975285.86734246579</v>
          </cell>
          <cell r="F35">
            <v>1156243.7367671232</v>
          </cell>
          <cell r="G35">
            <v>1194717.3211780821</v>
          </cell>
          <cell r="H35">
            <v>1132021.3746575343</v>
          </cell>
          <cell r="I35">
            <v>970554.97054794524</v>
          </cell>
          <cell r="J35">
            <v>749003.74312328757</v>
          </cell>
          <cell r="K35">
            <v>624733.89999999991</v>
          </cell>
          <cell r="L35">
            <v>572068.5246575342</v>
          </cell>
          <cell r="M35">
            <v>560011.10465753428</v>
          </cell>
          <cell r="N35">
            <v>628450.02095890418</v>
          </cell>
        </row>
        <row r="38">
          <cell r="C38">
            <v>1978922.4709999994</v>
          </cell>
          <cell r="D38">
            <v>2440066.3830000004</v>
          </cell>
          <cell r="E38">
            <v>2890888.8829999999</v>
          </cell>
          <cell r="F38">
            <v>3237858.0359999998</v>
          </cell>
          <cell r="G38">
            <v>2726486.4389999993</v>
          </cell>
          <cell r="H38">
            <v>2676638.2760000001</v>
          </cell>
          <cell r="I38">
            <v>1581482.3029999994</v>
          </cell>
          <cell r="J38">
            <v>1450962.8410000002</v>
          </cell>
          <cell r="K38">
            <v>1487478.8559999997</v>
          </cell>
          <cell r="L38">
            <v>1440975.9110000001</v>
          </cell>
          <cell r="M38">
            <v>1521973.7210000001</v>
          </cell>
          <cell r="N38">
            <v>1597565.3659999999</v>
          </cell>
        </row>
      </sheetData>
      <sheetData sheetId="4"/>
      <sheetData sheetId="5">
        <row r="247">
          <cell r="D247">
            <v>60309</v>
          </cell>
          <cell r="E247">
            <v>59060</v>
          </cell>
          <cell r="F247">
            <v>85792</v>
          </cell>
          <cell r="G247">
            <v>99103</v>
          </cell>
          <cell r="H247">
            <v>86833</v>
          </cell>
          <cell r="I247">
            <v>82928</v>
          </cell>
          <cell r="J247">
            <v>51132</v>
          </cell>
          <cell r="K247">
            <v>32744</v>
          </cell>
          <cell r="L247">
            <v>25162</v>
          </cell>
          <cell r="M247">
            <v>24847</v>
          </cell>
          <cell r="N247">
            <v>24847</v>
          </cell>
          <cell r="O247">
            <v>27524</v>
          </cell>
        </row>
        <row r="255">
          <cell r="D255">
            <v>271951.34699999995</v>
          </cell>
          <cell r="E255">
            <v>271415.98999999993</v>
          </cell>
          <cell r="F255">
            <v>395713.21599999996</v>
          </cell>
          <cell r="G255">
            <v>459080.28899999993</v>
          </cell>
          <cell r="H255">
            <v>400986.16899999994</v>
          </cell>
          <cell r="I255">
            <v>383089.00399999996</v>
          </cell>
          <cell r="J255">
            <v>234486.06599999999</v>
          </cell>
          <cell r="K255">
            <v>150269.03200000001</v>
          </cell>
          <cell r="L255">
            <v>114177.64600000001</v>
          </cell>
          <cell r="M255">
            <v>111878.69100000001</v>
          </cell>
          <cell r="N255">
            <v>111606.86100000002</v>
          </cell>
          <cell r="O255">
            <v>124834.01200000002</v>
          </cell>
        </row>
        <row r="262">
          <cell r="D262">
            <v>2988</v>
          </cell>
          <cell r="E262">
            <v>2671</v>
          </cell>
          <cell r="F262">
            <v>3269</v>
          </cell>
          <cell r="G262">
            <v>4019</v>
          </cell>
          <cell r="H262">
            <v>3750</v>
          </cell>
          <cell r="I262">
            <v>3144</v>
          </cell>
          <cell r="J262">
            <v>2179</v>
          </cell>
          <cell r="K262">
            <v>1253</v>
          </cell>
          <cell r="L262">
            <v>550</v>
          </cell>
          <cell r="M262">
            <v>10</v>
          </cell>
          <cell r="N262">
            <v>0</v>
          </cell>
          <cell r="O262">
            <v>728</v>
          </cell>
        </row>
        <row r="270">
          <cell r="D270">
            <v>14289.674000000001</v>
          </cell>
          <cell r="E270">
            <v>13305.983</v>
          </cell>
          <cell r="F270">
            <v>16299.097</v>
          </cell>
          <cell r="G270">
            <v>20037.216999999997</v>
          </cell>
          <cell r="H270">
            <v>18684.7</v>
          </cell>
          <cell r="I270">
            <v>15645.942000000003</v>
          </cell>
          <cell r="J270">
            <v>10500.227000000001</v>
          </cell>
          <cell r="K270">
            <v>6111.9690000000001</v>
          </cell>
          <cell r="L270">
            <v>2511.4</v>
          </cell>
          <cell r="M270">
            <v>282.47000000000003</v>
          </cell>
          <cell r="N270">
            <v>240.89</v>
          </cell>
          <cell r="O270">
            <v>3556.7040000000002</v>
          </cell>
        </row>
        <row r="412">
          <cell r="D412">
            <v>184827</v>
          </cell>
          <cell r="E412">
            <v>253620</v>
          </cell>
          <cell r="F412">
            <v>258335</v>
          </cell>
          <cell r="G412">
            <v>297978</v>
          </cell>
          <cell r="H412">
            <v>235332</v>
          </cell>
          <cell r="I412">
            <v>223272</v>
          </cell>
          <cell r="J412">
            <v>145003</v>
          </cell>
          <cell r="K412">
            <v>154240</v>
          </cell>
          <cell r="L412">
            <v>176259</v>
          </cell>
          <cell r="M412">
            <v>156293</v>
          </cell>
          <cell r="N412">
            <v>175518</v>
          </cell>
          <cell r="O412">
            <v>188150</v>
          </cell>
        </row>
        <row r="422">
          <cell r="D422">
            <v>676956.58</v>
          </cell>
          <cell r="E422">
            <v>993471.72000000009</v>
          </cell>
          <cell r="F422">
            <v>1158283.3799999999</v>
          </cell>
          <cell r="G422">
            <v>1362793.22</v>
          </cell>
          <cell r="H422">
            <v>1064590.3099999998</v>
          </cell>
          <cell r="I422">
            <v>987724.18</v>
          </cell>
          <cell r="J422">
            <v>479843.94</v>
          </cell>
          <cell r="K422">
            <v>502073.3</v>
          </cell>
          <cell r="L422">
            <v>570720.76</v>
          </cell>
          <cell r="M422">
            <v>517358.41</v>
          </cell>
          <cell r="N422">
            <v>575587.70000000007</v>
          </cell>
          <cell r="O422">
            <v>609057.18000000005</v>
          </cell>
        </row>
      </sheetData>
      <sheetData sheetId="6"/>
      <sheetData sheetId="7"/>
      <sheetData sheetId="8"/>
      <sheetData sheetId="9"/>
      <sheetData sheetId="10"/>
      <sheetData sheetId="11"/>
      <sheetData sheetId="12"/>
      <sheetData sheetId="13"/>
      <sheetData sheetId="14"/>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sheetName val="Sheet3"/>
    </sheetNames>
    <sheetDataSet>
      <sheetData sheetId="0">
        <row r="32">
          <cell r="H32">
            <v>0.31709999999999999</v>
          </cell>
        </row>
        <row r="43">
          <cell r="H43">
            <v>0.41539999999999999</v>
          </cell>
        </row>
        <row r="54">
          <cell r="H54">
            <v>0.31659999999999999</v>
          </cell>
        </row>
      </sheetData>
      <sheetData sheetId="1"/>
    </sheetDataSet>
  </externalBook>
</externalLink>
</file>

<file path=xl/persons/person.xml><?xml version="1.0" encoding="utf-8"?>
<personList xmlns="http://schemas.microsoft.com/office/spreadsheetml/2018/threadedcomments" xmlns:x="http://schemas.openxmlformats.org/spreadsheetml/2006/main">
  <person displayName="Karen Horne" id="{66ECD156-2DB0-4D97-907F-32BBE926CFA4}" userId="S::karen@vermontgas.com::affc8e81-9689-4c12-a6fc-ce2b4717ea8f" providerId="AD"/>
</personList>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threadedComments/threadedComment1.xml><?xml version="1.0" encoding="utf-8"?>
<ThreadedComments xmlns="http://schemas.microsoft.com/office/spreadsheetml/2018/threadedcomments" xmlns:x="http://schemas.openxmlformats.org/spreadsheetml/2006/main">
  <threadedComment ref="C25" dT="2020-10-29T21:03:56.46" personId="{66ECD156-2DB0-4D97-907F-32BBE926CFA4}" id="{BB06ADF9-7EC5-4EA8-B73B-90A1168074AE}">
    <text>Amount financed divided by the PUC approved 15 years.  Once the full carrying costs are known for each year, they will then be included in the following years calculation. So only the principal is included in the current year projection for EEC rates</text>
  </threadedComment>
</ThreadedComments>
</file>

<file path=xl/threadedComments/threadedComment2.xml><?xml version="1.0" encoding="utf-8"?>
<ThreadedComments xmlns="http://schemas.microsoft.com/office/spreadsheetml/2018/threadedcomments" xmlns:x="http://schemas.openxmlformats.org/spreadsheetml/2006/main">
  <threadedComment ref="A27" dT="2020-10-29T00:21:32.21" personId="{66ECD156-2DB0-4D97-907F-32BBE926CFA4}" id="{8E0FE317-429A-4FAE-9E36-CFD9C8BE9CB0}">
    <text>Row 44 from TJ Poor workpapers in PSD surrebuttal worksheet, additional investment added on to BAU</text>
  </threadedComment>
</ThreadedComments>
</file>

<file path=xl/threadedComments/threadedComment3.xml><?xml version="1.0" encoding="utf-8"?>
<ThreadedComments xmlns="http://schemas.microsoft.com/office/spreadsheetml/2018/threadedcomments" xmlns:x="http://schemas.openxmlformats.org/spreadsheetml/2006/main">
  <threadedComment ref="C4" dT="2020-09-27T20:14:27.62" personId="{66ECD156-2DB0-4D97-907F-32BBE926CFA4}" id="{1B8F51BC-91DD-47CA-8452-D94407DD1678}">
    <text>1/1/2016 only included Rate IN and therefore to include an entire CY for each performance period it is based on an entire year of collections from all rates</text>
  </threadedComment>
  <threadedComment ref="D64" dT="2020-11-02T16:04:56.95" personId="{66ECD156-2DB0-4D97-907F-32BBE926CFA4}" id="{D56DA025-3DDC-4376-B1A8-9C7C7D79D898}">
    <text>VGS is assuming it will exhaust all RA and most of all DSS budget numbers by year end. IF not, it will close out Performance year 2018-2020 after all the books are closed (PSD, other) and reconcile leftover funds.</text>
  </threadedComment>
  <threadedComment ref="C67" dT="2020-10-01T18:22:04.62" personId="{66ECD156-2DB0-4D97-907F-32BBE926CFA4}" id="{BDB7BAEB-A49D-4E0B-B977-E3015159CD99}">
    <text>VGS only began collecting firm collections in Feb 2016 - this gives 5 complete years of collections from 2016-2020</text>
  </threadedComment>
  <threadedComment ref="G75" dT="2020-09-27T19:51:51.87" personId="{66ECD156-2DB0-4D97-907F-32BBE926CFA4}" id="{A0653557-1328-4ABA-A5E6-6F40EC50211A}">
    <text>Potential study for 2021-2023 specific DRP proceedings not in budget, but needed in collections.  March 2020 VGS paid $64,399 and APril 2020 VGS paid $18098 towards the potential study conducted by PSD for a total of $82,497</text>
  </threadedComment>
</ThreadedComments>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2.bin"/><Relationship Id="rId4" Type="http://schemas.microsoft.com/office/2017/10/relationships/threadedComment" Target="../threadedComments/threadedComment1.xml"/></Relationships>
</file>

<file path=xl/worksheets/_rels/sheet3.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3.bin"/><Relationship Id="rId4" Type="http://schemas.microsoft.com/office/2017/10/relationships/threadedComment" Target="../threadedComments/threadedComment2.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2.xml"/><Relationship Id="rId1" Type="http://schemas.openxmlformats.org/officeDocument/2006/relationships/printerSettings" Target="../printerSettings/printerSettings4.bin"/><Relationship Id="rId5" Type="http://schemas.microsoft.com/office/2017/10/relationships/threadedComment" Target="../threadedComments/threadedComment3.xml"/><Relationship Id="rId4" Type="http://schemas.openxmlformats.org/officeDocument/2006/relationships/comments" Target="../comments3.xml"/></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printerSettings" Target="../printerSettings/printerSettings9.bin"/><Relationship Id="rId1" Type="http://schemas.openxmlformats.org/officeDocument/2006/relationships/hyperlink" Target="../../../TARIFFS" TargetMode="External"/><Relationship Id="rId4" Type="http://schemas.openxmlformats.org/officeDocument/2006/relationships/comments" Target="../comments4.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5"/>
  <dimension ref="A2:S23"/>
  <sheetViews>
    <sheetView workbookViewId="0">
      <selection activeCell="L16" sqref="L16"/>
    </sheetView>
  </sheetViews>
  <sheetFormatPr defaultRowHeight="14.5"/>
  <cols>
    <col min="1" max="1" width="26.81640625" customWidth="1"/>
    <col min="2" max="2" width="20.81640625" customWidth="1"/>
    <col min="3" max="3" width="12.81640625" customWidth="1"/>
    <col min="4" max="4" width="13.453125" customWidth="1"/>
    <col min="5" max="5" width="13.1796875" customWidth="1"/>
    <col min="8" max="9" width="10.81640625" customWidth="1"/>
    <col min="10" max="10" width="3.54296875" customWidth="1"/>
    <col min="11" max="11" width="10.81640625" customWidth="1"/>
    <col min="12" max="12" width="12.54296875" bestFit="1" customWidth="1"/>
    <col min="13" max="13" width="12.54296875" customWidth="1"/>
    <col min="15" max="15" width="13.1796875" bestFit="1" customWidth="1"/>
  </cols>
  <sheetData>
    <row r="2" spans="1:19">
      <c r="A2" s="346" t="s">
        <v>29</v>
      </c>
      <c r="B2" s="346"/>
      <c r="C2" s="346"/>
      <c r="D2" s="346"/>
      <c r="E2" s="346"/>
      <c r="F2" s="346"/>
      <c r="G2" s="346"/>
      <c r="H2" s="346"/>
      <c r="I2" s="35"/>
      <c r="J2" s="35"/>
      <c r="K2" s="4"/>
    </row>
    <row r="3" spans="1:19" ht="15" thickBot="1">
      <c r="A3" s="4"/>
      <c r="B3" s="347"/>
      <c r="C3" s="347"/>
      <c r="D3" s="347"/>
      <c r="E3" s="347"/>
      <c r="F3" s="32"/>
      <c r="G3" s="5"/>
      <c r="H3" s="5"/>
      <c r="I3" s="5"/>
      <c r="J3" s="5"/>
    </row>
    <row r="4" spans="1:19" ht="14.5" customHeight="1">
      <c r="A4" s="6"/>
      <c r="B4" s="5"/>
      <c r="C4" s="7" t="s">
        <v>30</v>
      </c>
      <c r="D4" s="7" t="s">
        <v>30</v>
      </c>
      <c r="E4" s="8" t="s">
        <v>31</v>
      </c>
      <c r="F4" s="8" t="s">
        <v>32</v>
      </c>
      <c r="G4" s="345" t="s">
        <v>49</v>
      </c>
      <c r="H4" s="348" t="s">
        <v>50</v>
      </c>
      <c r="I4" s="345" t="s">
        <v>53</v>
      </c>
      <c r="J4" s="37"/>
      <c r="K4" s="350" t="s">
        <v>51</v>
      </c>
      <c r="M4" s="4"/>
      <c r="N4" s="351"/>
    </row>
    <row r="5" spans="1:19" ht="14.5" customHeight="1">
      <c r="A5" s="4"/>
      <c r="B5" s="5"/>
      <c r="C5" s="7">
        <v>2017</v>
      </c>
      <c r="D5" s="7">
        <v>2017</v>
      </c>
      <c r="E5" s="8" t="s">
        <v>33</v>
      </c>
      <c r="F5" s="8" t="s">
        <v>34</v>
      </c>
      <c r="G5" s="345"/>
      <c r="H5" s="348"/>
      <c r="I5" s="345"/>
      <c r="J5" s="37"/>
      <c r="K5" s="350"/>
      <c r="L5" s="350"/>
      <c r="M5" s="350"/>
      <c r="N5" s="351"/>
      <c r="O5" s="345"/>
      <c r="P5" s="345"/>
      <c r="Q5" s="350"/>
      <c r="R5" s="350"/>
      <c r="S5" s="350"/>
    </row>
    <row r="6" spans="1:19" ht="15" thickBot="1">
      <c r="A6" s="4"/>
      <c r="B6" s="10" t="s">
        <v>35</v>
      </c>
      <c r="C6" s="11" t="s">
        <v>36</v>
      </c>
      <c r="D6" s="11" t="s">
        <v>37</v>
      </c>
      <c r="E6" s="12" t="s">
        <v>38</v>
      </c>
      <c r="F6" s="12" t="s">
        <v>39</v>
      </c>
      <c r="G6" s="345"/>
      <c r="H6" s="349"/>
      <c r="I6" s="345"/>
      <c r="J6" s="37"/>
      <c r="K6" s="350"/>
      <c r="L6" s="350"/>
      <c r="M6" s="350"/>
      <c r="N6" s="351"/>
      <c r="O6" s="345"/>
      <c r="P6" s="345"/>
      <c r="Q6" s="350"/>
      <c r="R6" s="350"/>
      <c r="S6" s="350"/>
    </row>
    <row r="7" spans="1:19">
      <c r="A7" s="6"/>
      <c r="B7" s="4"/>
      <c r="C7" s="4"/>
      <c r="D7" s="4"/>
      <c r="E7" s="4"/>
      <c r="F7" s="4"/>
      <c r="G7" s="5"/>
      <c r="H7" s="5"/>
      <c r="I7" s="5"/>
      <c r="J7" s="5"/>
      <c r="K7" s="36"/>
      <c r="L7" s="350"/>
      <c r="M7" s="350"/>
      <c r="N7" s="351"/>
      <c r="O7" s="345"/>
      <c r="P7" s="345"/>
      <c r="Q7" s="350"/>
      <c r="R7" s="350"/>
      <c r="S7" s="350"/>
    </row>
    <row r="8" spans="1:19">
      <c r="A8" s="4" t="s">
        <v>40</v>
      </c>
      <c r="B8" s="29" t="e">
        <f>'CY 2019-2020 forecast'!#REF!</f>
        <v>#REF!</v>
      </c>
      <c r="C8" s="14" t="e">
        <f>'CY 2019-2020 forecast'!#REF!</f>
        <v>#REF!</v>
      </c>
      <c r="D8" s="15" t="e">
        <f>'CY 2019-2020 forecast'!#REF!</f>
        <v>#REF!</v>
      </c>
      <c r="E8" s="16" t="e">
        <f t="shared" ref="E8:E13" si="0">B8*$B$19</f>
        <v>#REF!</v>
      </c>
      <c r="F8" s="17" t="e">
        <f t="shared" ref="F8:F14" si="1">+E8/C8</f>
        <v>#REF!</v>
      </c>
      <c r="G8" s="18" t="e">
        <f t="shared" ref="G8:G13" si="2">+F8/0.9895</f>
        <v>#REF!</v>
      </c>
      <c r="H8" s="16" t="e">
        <f t="shared" ref="H8:H13" si="3">+G8*C8</f>
        <v>#REF!</v>
      </c>
      <c r="I8" s="29" t="e">
        <f>H8/$H$14</f>
        <v>#REF!</v>
      </c>
      <c r="J8" s="29"/>
      <c r="K8">
        <v>4.53E-2</v>
      </c>
      <c r="L8" s="29" t="e">
        <f>(G8/10)/K8-1</f>
        <v>#REF!</v>
      </c>
    </row>
    <row r="9" spans="1:19">
      <c r="A9" s="4" t="s">
        <v>41</v>
      </c>
      <c r="B9" s="29" t="e">
        <f>'CY 2019-2020 forecast'!#REF!</f>
        <v>#REF!</v>
      </c>
      <c r="C9" s="14" t="e">
        <f>'CY 2019-2020 forecast'!#REF!</f>
        <v>#REF!</v>
      </c>
      <c r="D9" s="15" t="e">
        <f>'CY 2019-2020 forecast'!#REF!</f>
        <v>#REF!</v>
      </c>
      <c r="E9" s="16" t="e">
        <f t="shared" si="0"/>
        <v>#REF!</v>
      </c>
      <c r="F9" s="17" t="e">
        <f t="shared" si="1"/>
        <v>#REF!</v>
      </c>
      <c r="G9" s="18" t="e">
        <f t="shared" si="2"/>
        <v>#REF!</v>
      </c>
      <c r="H9" s="16" t="e">
        <f t="shared" si="3"/>
        <v>#REF!</v>
      </c>
      <c r="I9" s="29" t="e">
        <f t="shared" ref="I9:I13" si="4">H9/$H$14</f>
        <v>#REF!</v>
      </c>
      <c r="J9" s="29"/>
      <c r="K9">
        <v>4.2799999999999998E-2</v>
      </c>
      <c r="L9" s="29" t="e">
        <f t="shared" ref="L9:L13" si="5">(G9/10)/K9-1</f>
        <v>#REF!</v>
      </c>
    </row>
    <row r="10" spans="1:19">
      <c r="A10" s="4" t="s">
        <v>42</v>
      </c>
      <c r="B10" s="29" t="e">
        <f>'CY 2019-2020 forecast'!#REF!</f>
        <v>#REF!</v>
      </c>
      <c r="C10" s="14" t="e">
        <f>'CY 2019-2020 forecast'!#REF!</f>
        <v>#REF!</v>
      </c>
      <c r="D10" s="15" t="e">
        <f>'CY 2019-2020 forecast'!#REF!</f>
        <v>#REF!</v>
      </c>
      <c r="E10" s="16" t="e">
        <f t="shared" si="0"/>
        <v>#REF!</v>
      </c>
      <c r="F10" s="17" t="e">
        <f t="shared" si="1"/>
        <v>#REF!</v>
      </c>
      <c r="G10" s="18" t="e">
        <f t="shared" si="2"/>
        <v>#REF!</v>
      </c>
      <c r="H10" s="16" t="e">
        <f t="shared" si="3"/>
        <v>#REF!</v>
      </c>
      <c r="I10" s="29" t="e">
        <f t="shared" si="4"/>
        <v>#REF!</v>
      </c>
      <c r="J10" s="29"/>
      <c r="K10">
        <v>3.32E-2</v>
      </c>
      <c r="L10" s="29" t="e">
        <f t="shared" si="5"/>
        <v>#REF!</v>
      </c>
    </row>
    <row r="11" spans="1:19">
      <c r="A11" s="4" t="s">
        <v>43</v>
      </c>
      <c r="B11" s="29" t="e">
        <f>'CY 2019-2020 forecast'!#REF!</f>
        <v>#REF!</v>
      </c>
      <c r="C11" s="14" t="e">
        <f>'CY 2019-2020 forecast'!#REF!</f>
        <v>#REF!</v>
      </c>
      <c r="D11" s="15" t="e">
        <f>'CY 2019-2020 forecast'!#REF!</f>
        <v>#REF!</v>
      </c>
      <c r="E11" s="16" t="e">
        <f t="shared" si="0"/>
        <v>#REF!</v>
      </c>
      <c r="F11" s="17" t="e">
        <f t="shared" si="1"/>
        <v>#REF!</v>
      </c>
      <c r="G11" s="18" t="e">
        <f t="shared" si="2"/>
        <v>#REF!</v>
      </c>
      <c r="H11" s="16" t="e">
        <f t="shared" si="3"/>
        <v>#REF!</v>
      </c>
      <c r="I11" s="29" t="e">
        <f t="shared" si="4"/>
        <v>#REF!</v>
      </c>
      <c r="J11" s="29"/>
      <c r="K11">
        <v>3.3399999999999999E-2</v>
      </c>
      <c r="L11" s="29" t="e">
        <f t="shared" si="5"/>
        <v>#REF!</v>
      </c>
    </row>
    <row r="12" spans="1:19">
      <c r="A12" s="19" t="s">
        <v>44</v>
      </c>
      <c r="B12" s="29" t="e">
        <f>'CY 2019-2020 forecast'!#REF!</f>
        <v>#REF!</v>
      </c>
      <c r="C12" s="14" t="e">
        <f>'CY 2019-2020 forecast'!#REF!</f>
        <v>#REF!</v>
      </c>
      <c r="D12" s="15" t="e">
        <f>'CY 2019-2020 forecast'!#REF!</f>
        <v>#REF!</v>
      </c>
      <c r="E12" s="16" t="e">
        <f t="shared" si="0"/>
        <v>#REF!</v>
      </c>
      <c r="F12" s="17" t="e">
        <f t="shared" si="1"/>
        <v>#REF!</v>
      </c>
      <c r="G12" s="18" t="e">
        <f t="shared" si="2"/>
        <v>#REF!</v>
      </c>
      <c r="H12" s="16" t="e">
        <f t="shared" si="3"/>
        <v>#REF!</v>
      </c>
      <c r="I12" s="29" t="e">
        <f t="shared" si="4"/>
        <v>#REF!</v>
      </c>
      <c r="J12" s="29"/>
      <c r="K12">
        <v>2.58E-2</v>
      </c>
      <c r="L12" s="29" t="e">
        <f t="shared" si="5"/>
        <v>#REF!</v>
      </c>
    </row>
    <row r="13" spans="1:19">
      <c r="A13" s="20" t="s">
        <v>45</v>
      </c>
      <c r="B13" s="13" t="e">
        <f>'CY 2019-2020 forecast'!#REF!</f>
        <v>#REF!</v>
      </c>
      <c r="C13" s="21" t="e">
        <f>'CY 2019-2020 forecast'!#REF!</f>
        <v>#REF!</v>
      </c>
      <c r="D13" s="22" t="e">
        <f>'CY 2019-2020 forecast'!#REF!</f>
        <v>#REF!</v>
      </c>
      <c r="E13" s="16" t="e">
        <f t="shared" si="0"/>
        <v>#REF!</v>
      </c>
      <c r="F13" s="23" t="e">
        <f t="shared" si="1"/>
        <v>#REF!</v>
      </c>
      <c r="G13" s="18" t="e">
        <f t="shared" si="2"/>
        <v>#REF!</v>
      </c>
      <c r="H13" s="24" t="e">
        <f t="shared" si="3"/>
        <v>#REF!</v>
      </c>
      <c r="I13" s="29" t="e">
        <f t="shared" si="4"/>
        <v>#REF!</v>
      </c>
      <c r="J13" s="29"/>
      <c r="K13">
        <v>1.8599999999999998E-2</v>
      </c>
      <c r="L13" s="29" t="e">
        <f t="shared" si="5"/>
        <v>#REF!</v>
      </c>
    </row>
    <row r="14" spans="1:19">
      <c r="A14" s="4"/>
      <c r="B14" s="25" t="e">
        <f>SUM(B8:B13)</f>
        <v>#REF!</v>
      </c>
      <c r="C14" s="26" t="e">
        <f>SUM(C8:C13)</f>
        <v>#REF!</v>
      </c>
      <c r="D14" s="27" t="e">
        <f>SUM(D8:D13)</f>
        <v>#REF!</v>
      </c>
      <c r="E14" s="28" t="e">
        <f>SUM(E8:E13)</f>
        <v>#REF!</v>
      </c>
      <c r="F14" s="17" t="e">
        <f t="shared" si="1"/>
        <v>#REF!</v>
      </c>
      <c r="G14" s="18" t="e">
        <f>+F14/0.992</f>
        <v>#REF!</v>
      </c>
      <c r="H14" s="16" t="e">
        <f>SUM(H8:H13)</f>
        <v>#REF!</v>
      </c>
      <c r="I14" s="16"/>
      <c r="J14" s="16"/>
    </row>
    <row r="17" spans="1:2">
      <c r="A17" t="s">
        <v>0</v>
      </c>
      <c r="B17" s="1">
        <v>3221754.9577231491</v>
      </c>
    </row>
    <row r="18" spans="1:2">
      <c r="A18" t="s">
        <v>46</v>
      </c>
      <c r="B18" s="47">
        <f>-'EEU balance'!I15</f>
        <v>0</v>
      </c>
    </row>
    <row r="19" spans="1:2">
      <c r="A19" t="s">
        <v>47</v>
      </c>
      <c r="B19" s="1">
        <f>B17+B18</f>
        <v>3221754.9577231491</v>
      </c>
    </row>
    <row r="20" spans="1:2">
      <c r="B20" s="34">
        <f>B19/0.9895</f>
        <v>3255942.3524235967</v>
      </c>
    </row>
    <row r="23" spans="1:2">
      <c r="A23" s="9" t="s">
        <v>48</v>
      </c>
    </row>
  </sheetData>
  <mergeCells count="14">
    <mergeCell ref="Q5:Q7"/>
    <mergeCell ref="R5:R7"/>
    <mergeCell ref="S5:S7"/>
    <mergeCell ref="K4:K6"/>
    <mergeCell ref="N4:N7"/>
    <mergeCell ref="L5:L7"/>
    <mergeCell ref="M5:M7"/>
    <mergeCell ref="O5:O7"/>
    <mergeCell ref="P5:P7"/>
    <mergeCell ref="I4:I6"/>
    <mergeCell ref="A2:H2"/>
    <mergeCell ref="B3:E3"/>
    <mergeCell ref="G4:G6"/>
    <mergeCell ref="H4:H6"/>
  </mergeCells>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40531C2-201E-4525-AC8B-F8BC02BB9161}">
  <sheetPr>
    <tabColor theme="9"/>
  </sheetPr>
  <dimension ref="A1:AB43"/>
  <sheetViews>
    <sheetView tabSelected="1" workbookViewId="0"/>
  </sheetViews>
  <sheetFormatPr defaultRowHeight="14.5"/>
  <cols>
    <col min="1" max="1" width="38.7265625" customWidth="1"/>
    <col min="2" max="2" width="13.7265625" customWidth="1"/>
    <col min="3" max="3" width="11.81640625" customWidth="1"/>
    <col min="4" max="4" width="14.1796875" customWidth="1"/>
    <col min="5" max="5" width="12.6328125" customWidth="1"/>
    <col min="6" max="6" width="12.54296875" customWidth="1"/>
    <col min="7" max="7" width="12.08984375" customWidth="1"/>
    <col min="8" max="8" width="10" customWidth="1"/>
    <col min="9" max="9" width="11" customWidth="1"/>
    <col min="10" max="10" width="8.54296875" customWidth="1"/>
    <col min="11" max="11" width="11.54296875" customWidth="1"/>
    <col min="12" max="12" width="15.6328125" bestFit="1" customWidth="1"/>
    <col min="13" max="13" width="14.6328125" customWidth="1"/>
    <col min="14" max="14" width="12.54296875" customWidth="1"/>
    <col min="15" max="15" width="19.1796875" customWidth="1"/>
    <col min="16" max="16" width="15.26953125" customWidth="1"/>
    <col min="17" max="17" width="12.08984375" customWidth="1"/>
    <col min="18" max="18" width="9.08984375" bestFit="1" customWidth="1"/>
    <col min="19" max="19" width="9.54296875" customWidth="1"/>
    <col min="20" max="20" width="10.36328125" customWidth="1"/>
    <col min="24" max="25" width="10.08984375" bestFit="1" customWidth="1"/>
  </cols>
  <sheetData>
    <row r="1" spans="1:28" ht="25.5" customHeight="1" thickBot="1">
      <c r="A1" s="235" t="s">
        <v>267</v>
      </c>
      <c r="B1" s="236"/>
      <c r="C1" s="236"/>
      <c r="H1" s="354" t="s">
        <v>222</v>
      </c>
      <c r="I1" s="355"/>
      <c r="J1" s="356"/>
      <c r="K1" s="356"/>
      <c r="R1" s="66"/>
      <c r="S1" s="66"/>
      <c r="T1" s="66"/>
      <c r="U1" s="66"/>
      <c r="V1" s="66"/>
      <c r="W1" s="66"/>
      <c r="X1" s="66"/>
      <c r="Y1" s="66"/>
      <c r="Z1" s="66"/>
      <c r="AA1" s="66"/>
      <c r="AB1" s="66"/>
    </row>
    <row r="2" spans="1:28" ht="14.5" customHeight="1">
      <c r="A2" s="90"/>
      <c r="B2" s="357" t="s">
        <v>193</v>
      </c>
      <c r="C2" s="357" t="s">
        <v>51</v>
      </c>
      <c r="D2" s="359" t="s">
        <v>52</v>
      </c>
      <c r="E2" s="357" t="s">
        <v>54</v>
      </c>
      <c r="F2" s="357" t="s">
        <v>59</v>
      </c>
      <c r="G2" s="357" t="s">
        <v>56</v>
      </c>
      <c r="H2" s="361" t="s">
        <v>57</v>
      </c>
      <c r="I2" s="364" t="s">
        <v>58</v>
      </c>
      <c r="J2" s="350"/>
      <c r="K2" s="350"/>
      <c r="R2" s="66"/>
      <c r="S2" s="66"/>
      <c r="T2" s="66"/>
      <c r="U2" s="66"/>
      <c r="V2" s="66"/>
      <c r="W2" s="66"/>
      <c r="X2" s="66"/>
      <c r="Y2" s="66"/>
      <c r="Z2" s="66"/>
      <c r="AA2" s="66"/>
      <c r="AB2" s="66"/>
    </row>
    <row r="3" spans="1:28" ht="14.5" customHeight="1">
      <c r="A3" s="91"/>
      <c r="B3" s="350"/>
      <c r="C3" s="350"/>
      <c r="D3" s="351"/>
      <c r="E3" s="350"/>
      <c r="F3" s="350"/>
      <c r="G3" s="350"/>
      <c r="H3" s="362"/>
      <c r="I3" s="365"/>
      <c r="J3" s="350"/>
      <c r="K3" s="350"/>
      <c r="L3" s="33"/>
      <c r="R3" s="66"/>
      <c r="S3" s="66"/>
      <c r="T3" s="66"/>
      <c r="U3" s="66"/>
      <c r="V3" s="66"/>
      <c r="W3" s="66"/>
      <c r="X3" s="66"/>
      <c r="Y3" s="66"/>
      <c r="Z3" s="66"/>
      <c r="AA3" s="66"/>
      <c r="AB3" s="66"/>
    </row>
    <row r="4" spans="1:28">
      <c r="A4" s="91"/>
      <c r="B4" s="350"/>
      <c r="C4" s="350"/>
      <c r="D4" s="351"/>
      <c r="E4" s="350"/>
      <c r="F4" s="350"/>
      <c r="G4" s="350"/>
      <c r="H4" s="362"/>
      <c r="I4" s="365"/>
      <c r="J4" s="350"/>
      <c r="K4" s="350"/>
      <c r="R4" s="66"/>
      <c r="S4" s="66"/>
      <c r="T4" s="66"/>
      <c r="U4" s="66"/>
      <c r="V4" s="66"/>
      <c r="W4" s="66"/>
      <c r="X4" s="66"/>
      <c r="Y4" s="66"/>
      <c r="Z4" s="66"/>
      <c r="AA4" s="66"/>
      <c r="AB4" s="66"/>
    </row>
    <row r="5" spans="1:28" ht="15" thickBot="1">
      <c r="A5" s="92"/>
      <c r="B5" s="358"/>
      <c r="C5" s="358"/>
      <c r="D5" s="360"/>
      <c r="E5" s="358"/>
      <c r="F5" s="358"/>
      <c r="G5" s="358"/>
      <c r="H5" s="363"/>
      <c r="I5" s="366"/>
      <c r="J5" s="350"/>
      <c r="K5" s="350"/>
      <c r="L5" s="336" t="s">
        <v>244</v>
      </c>
      <c r="M5" s="336" t="s">
        <v>244</v>
      </c>
      <c r="P5" s="352" t="s">
        <v>243</v>
      </c>
      <c r="Q5" s="352"/>
      <c r="R5" s="66"/>
      <c r="S5" s="66"/>
      <c r="T5" s="66"/>
      <c r="U5" s="353"/>
      <c r="V5" s="353"/>
      <c r="W5" s="66"/>
      <c r="X5" s="66"/>
      <c r="Y5" s="66"/>
      <c r="Z5" s="353"/>
      <c r="AA5" s="353"/>
      <c r="AB5" s="66"/>
    </row>
    <row r="6" spans="1:28">
      <c r="A6" s="90"/>
      <c r="B6" s="74"/>
      <c r="C6" s="75"/>
      <c r="D6" s="76"/>
      <c r="E6" s="76"/>
      <c r="F6" s="75"/>
      <c r="G6" s="76"/>
      <c r="H6" s="90"/>
      <c r="I6" s="77"/>
      <c r="K6" s="65"/>
      <c r="L6" s="336" t="s">
        <v>211</v>
      </c>
      <c r="M6" s="336" t="s">
        <v>212</v>
      </c>
      <c r="N6" s="71" t="s">
        <v>241</v>
      </c>
      <c r="O6" s="71" t="s">
        <v>242</v>
      </c>
      <c r="P6" t="s">
        <v>239</v>
      </c>
      <c r="Q6" t="s">
        <v>240</v>
      </c>
      <c r="R6" s="66"/>
      <c r="S6" s="66"/>
      <c r="T6" s="66"/>
      <c r="U6" s="66"/>
      <c r="V6" s="66"/>
      <c r="W6" s="66"/>
      <c r="X6" s="66"/>
      <c r="Y6" s="66"/>
      <c r="Z6" s="66"/>
      <c r="AA6" s="66"/>
      <c r="AB6" s="66"/>
    </row>
    <row r="7" spans="1:28">
      <c r="A7" s="72" t="s">
        <v>40</v>
      </c>
      <c r="B7" s="74">
        <f>'CY 2019-2020 forecast'!AR20-'AVG Liap customers'!C24</f>
        <v>3814078.4018385541</v>
      </c>
      <c r="C7" s="163">
        <f>'VGS rates'!AX7</f>
        <v>4.8000000000000001E-2</v>
      </c>
      <c r="D7" s="3">
        <f>C7*B7*10</f>
        <v>1830757.6328825061</v>
      </c>
      <c r="E7" s="93">
        <f>D7/$D$14</f>
        <v>0.52396970229355866</v>
      </c>
      <c r="F7" s="27">
        <f t="shared" ref="F7:F13" si="0">E7*$C$29</f>
        <v>1886899.1162988849</v>
      </c>
      <c r="G7" s="163">
        <f>ROUND(F7/B7,4)</f>
        <v>0.49469999999999997</v>
      </c>
      <c r="H7" s="304">
        <f>G7/10</f>
        <v>4.947E-2</v>
      </c>
      <c r="I7" s="152">
        <f>H7/C7-1</f>
        <v>3.0624999999999902E-2</v>
      </c>
      <c r="J7" s="163"/>
      <c r="K7" s="386"/>
      <c r="L7" s="30">
        <f>'CY 2019-2020 forecast'!AR33-2043</f>
        <v>45961.916666666664</v>
      </c>
      <c r="M7" s="31">
        <f t="shared" ref="M7:M13" si="1">B7/L7</f>
        <v>82.98344974383258</v>
      </c>
      <c r="N7" s="332">
        <f>M7*10*C7</f>
        <v>39.832055877039636</v>
      </c>
      <c r="O7" s="332">
        <f t="shared" ref="O7:O13" si="2">$M7*10*$H7</f>
        <v>41.051912588273979</v>
      </c>
      <c r="P7" s="296">
        <f t="shared" ref="P7:P13" si="3">O7-N7</f>
        <v>1.2198567112343426</v>
      </c>
      <c r="Q7" s="296">
        <f t="shared" ref="Q7:Q13" si="4">P7/12</f>
        <v>0.10165472593619522</v>
      </c>
      <c r="R7" s="78"/>
      <c r="S7" s="333"/>
      <c r="T7" s="333"/>
      <c r="U7" s="333"/>
      <c r="V7" s="333"/>
      <c r="W7" s="334"/>
      <c r="X7" s="333"/>
      <c r="Y7" s="333"/>
      <c r="Z7" s="333"/>
      <c r="AA7" s="333"/>
      <c r="AB7" s="78"/>
    </row>
    <row r="8" spans="1:28">
      <c r="A8" s="72" t="s">
        <v>125</v>
      </c>
      <c r="B8" s="74">
        <f>'AVG Liap customers'!C24</f>
        <v>189266.59816144611</v>
      </c>
      <c r="C8" s="163">
        <f>C7*0.8</f>
        <v>3.8400000000000004E-2</v>
      </c>
      <c r="D8" s="3">
        <f>C8*B8*10</f>
        <v>72678.373693995309</v>
      </c>
      <c r="E8" s="96">
        <f>D8/$D$14</f>
        <v>2.0800823191251278E-2</v>
      </c>
      <c r="F8" s="27">
        <f t="shared" si="0"/>
        <v>74907.107655380722</v>
      </c>
      <c r="G8" s="163">
        <f>ROUND(F8/B8,4)</f>
        <v>0.39579999999999999</v>
      </c>
      <c r="H8" s="304">
        <f>G8/10</f>
        <v>3.9579999999999997E-2</v>
      </c>
      <c r="I8" s="152">
        <f>H8/C8-1</f>
        <v>3.0729166666666474E-2</v>
      </c>
      <c r="J8" s="163"/>
      <c r="K8" s="386"/>
      <c r="L8" s="30">
        <v>2043</v>
      </c>
      <c r="M8" s="31">
        <f t="shared" si="1"/>
        <v>92.641506686953548</v>
      </c>
      <c r="N8" s="332">
        <f t="shared" ref="N8:N13" si="5">M8*10*C8</f>
        <v>35.574338567790164</v>
      </c>
      <c r="O8" s="332">
        <f t="shared" si="2"/>
        <v>36.667508346696209</v>
      </c>
      <c r="P8" s="296">
        <f t="shared" si="3"/>
        <v>1.0931697789060451</v>
      </c>
      <c r="Q8" s="296">
        <f t="shared" si="4"/>
        <v>9.109748157550375E-2</v>
      </c>
      <c r="R8" s="78"/>
      <c r="S8" s="333"/>
      <c r="T8" s="333"/>
      <c r="U8" s="333"/>
      <c r="V8" s="333"/>
      <c r="W8" s="334"/>
      <c r="X8" s="333"/>
      <c r="Y8" s="333"/>
      <c r="Z8" s="333"/>
      <c r="AA8" s="333"/>
      <c r="AB8" s="78"/>
    </row>
    <row r="9" spans="1:28">
      <c r="A9" s="72" t="s">
        <v>41</v>
      </c>
      <c r="B9" s="74">
        <f>'CY 2019-2020 forecast'!AR21</f>
        <v>625765</v>
      </c>
      <c r="C9" s="163">
        <f>'VGS rates'!AX14</f>
        <v>4.5400000000000003E-2</v>
      </c>
      <c r="D9" s="3">
        <f t="shared" ref="D9:D13" si="6">C9*B9*10</f>
        <v>284097.31000000006</v>
      </c>
      <c r="E9" s="93">
        <f t="shared" ref="E9:E12" si="7">D9/$D$14</f>
        <v>8.130971586267545E-2</v>
      </c>
      <c r="F9" s="27">
        <f t="shared" si="0"/>
        <v>292809.35583912639</v>
      </c>
      <c r="G9" s="163">
        <f t="shared" ref="G9:G12" si="8">ROUND(F9/B9,4)</f>
        <v>0.46789999999999998</v>
      </c>
      <c r="H9" s="304">
        <f t="shared" ref="H9:H13" si="9">G9/10</f>
        <v>4.6789999999999998E-2</v>
      </c>
      <c r="I9" s="152">
        <f t="shared" ref="I9:I13" si="10">H9/C9-1</f>
        <v>3.0616740088105665E-2</v>
      </c>
      <c r="J9" s="163"/>
      <c r="K9" s="386"/>
      <c r="L9" s="30">
        <f>'CY 2019-2020 forecast'!AR34</f>
        <v>4025.75</v>
      </c>
      <c r="M9" s="31">
        <f t="shared" si="1"/>
        <v>155.4406011302242</v>
      </c>
      <c r="N9" s="332">
        <f t="shared" si="5"/>
        <v>70.570032913121793</v>
      </c>
      <c r="O9" s="332">
        <f t="shared" si="2"/>
        <v>72.730657268831905</v>
      </c>
      <c r="P9" s="296">
        <f t="shared" si="3"/>
        <v>2.1606243557101124</v>
      </c>
      <c r="Q9" s="296">
        <f t="shared" si="4"/>
        <v>0.18005202964250935</v>
      </c>
      <c r="R9" s="78"/>
      <c r="S9" s="333"/>
      <c r="T9" s="333"/>
      <c r="U9" s="333"/>
      <c r="V9" s="333"/>
      <c r="W9" s="334"/>
      <c r="X9" s="333"/>
      <c r="Y9" s="333"/>
      <c r="Z9" s="333"/>
      <c r="AA9" s="333"/>
      <c r="AB9" s="78"/>
    </row>
    <row r="10" spans="1:28">
      <c r="A10" s="72" t="s">
        <v>42</v>
      </c>
      <c r="B10" s="74">
        <f>'CY 2019-2020 forecast'!AR22</f>
        <v>202541</v>
      </c>
      <c r="C10" s="163">
        <f>'VGS rates'!AX21</f>
        <v>3.5200000000000002E-2</v>
      </c>
      <c r="D10" s="3">
        <f t="shared" si="6"/>
        <v>71294.432000000001</v>
      </c>
      <c r="E10" s="93">
        <f t="shared" si="7"/>
        <v>2.0404733886817992E-2</v>
      </c>
      <c r="F10" s="27">
        <f t="shared" si="0"/>
        <v>73480.726406161324</v>
      </c>
      <c r="G10" s="163">
        <f t="shared" si="8"/>
        <v>0.36280000000000001</v>
      </c>
      <c r="H10" s="304">
        <f t="shared" si="9"/>
        <v>3.628E-2</v>
      </c>
      <c r="I10" s="152">
        <f>H10/C10-1</f>
        <v>3.0681818181818032E-2</v>
      </c>
      <c r="J10" s="163"/>
      <c r="K10" s="386"/>
      <c r="L10" s="30">
        <f>'CY 2019-2020 forecast'!AR35</f>
        <v>1030.4166666666667</v>
      </c>
      <c r="M10" s="31">
        <f t="shared" si="1"/>
        <v>196.56223210675293</v>
      </c>
      <c r="N10" s="332">
        <f t="shared" si="5"/>
        <v>69.189905701577032</v>
      </c>
      <c r="O10" s="332">
        <f t="shared" si="2"/>
        <v>71.312777808329969</v>
      </c>
      <c r="P10" s="296">
        <f t="shared" si="3"/>
        <v>2.1228721067529364</v>
      </c>
      <c r="Q10" s="296">
        <f t="shared" si="4"/>
        <v>0.17690600889607802</v>
      </c>
      <c r="R10" s="78"/>
      <c r="S10" s="333"/>
      <c r="T10" s="333"/>
      <c r="U10" s="333"/>
      <c r="V10" s="333"/>
      <c r="W10" s="334"/>
      <c r="X10" s="333"/>
      <c r="Y10" s="333"/>
      <c r="Z10" s="333"/>
      <c r="AA10" s="333"/>
      <c r="AB10" s="78"/>
    </row>
    <row r="11" spans="1:28">
      <c r="A11" s="72" t="s">
        <v>43</v>
      </c>
      <c r="B11" s="74">
        <f>'CY 2019-2020 forecast'!AR23</f>
        <v>732801</v>
      </c>
      <c r="C11" s="232">
        <f>'VGS rates'!AX28</f>
        <v>3.5400000000000001E-2</v>
      </c>
      <c r="D11" s="3">
        <f t="shared" si="6"/>
        <v>259411.554</v>
      </c>
      <c r="E11" s="93">
        <f t="shared" si="7"/>
        <v>7.4244559891239681E-2</v>
      </c>
      <c r="F11" s="27">
        <f t="shared" si="0"/>
        <v>267366.5935941693</v>
      </c>
      <c r="G11" s="163">
        <f t="shared" si="8"/>
        <v>0.3649</v>
      </c>
      <c r="H11" s="304">
        <f t="shared" si="9"/>
        <v>3.6490000000000002E-2</v>
      </c>
      <c r="I11" s="152">
        <f t="shared" si="10"/>
        <v>3.0790960451977378E-2</v>
      </c>
      <c r="J11" s="163"/>
      <c r="K11" s="386"/>
      <c r="L11" s="30">
        <f>'CY 2019-2020 forecast'!AR36</f>
        <v>501.5</v>
      </c>
      <c r="M11" s="31">
        <f t="shared" si="1"/>
        <v>1461.2183449651047</v>
      </c>
      <c r="N11" s="332">
        <f t="shared" si="5"/>
        <v>517.27129411764713</v>
      </c>
      <c r="O11" s="332">
        <f t="shared" si="2"/>
        <v>533.19857407776669</v>
      </c>
      <c r="P11" s="296">
        <f t="shared" si="3"/>
        <v>15.927279960119563</v>
      </c>
      <c r="Q11" s="296">
        <f t="shared" si="4"/>
        <v>1.3272733300099635</v>
      </c>
      <c r="R11" s="78"/>
      <c r="S11" s="333"/>
      <c r="T11" s="333"/>
      <c r="U11" s="333"/>
      <c r="V11" s="333"/>
      <c r="W11" s="334"/>
      <c r="X11" s="333"/>
      <c r="Y11" s="333"/>
      <c r="Z11" s="333"/>
      <c r="AA11" s="333"/>
      <c r="AB11" s="78"/>
    </row>
    <row r="12" spans="1:28">
      <c r="A12" s="72" t="s">
        <v>44</v>
      </c>
      <c r="B12" s="74">
        <f>'CY 2019-2020 forecast'!AR24</f>
        <v>1545171</v>
      </c>
      <c r="C12" s="232">
        <f>'VGS rates'!AX35</f>
        <v>2.7300000000000001E-2</v>
      </c>
      <c r="D12" s="3">
        <f t="shared" si="6"/>
        <v>421831.68300000008</v>
      </c>
      <c r="E12" s="93">
        <f t="shared" si="7"/>
        <v>0.12072981010134937</v>
      </c>
      <c r="F12" s="27">
        <f t="shared" si="0"/>
        <v>434767.45123621396</v>
      </c>
      <c r="G12" s="163">
        <f t="shared" si="8"/>
        <v>0.28139999999999998</v>
      </c>
      <c r="H12" s="304">
        <f>G12/10</f>
        <v>2.8139999999999998E-2</v>
      </c>
      <c r="I12" s="152">
        <f t="shared" si="10"/>
        <v>3.076923076923066E-2</v>
      </c>
      <c r="J12" s="163"/>
      <c r="K12" s="386"/>
      <c r="L12" s="30">
        <f>'CY 2019-2020 forecast'!AR37</f>
        <v>554.5</v>
      </c>
      <c r="M12" s="31">
        <f t="shared" si="1"/>
        <v>2786.6023444544635</v>
      </c>
      <c r="N12" s="332">
        <f t="shared" si="5"/>
        <v>760.7424400360685</v>
      </c>
      <c r="O12" s="332">
        <f t="shared" si="2"/>
        <v>784.14989972948592</v>
      </c>
      <c r="P12" s="296">
        <f t="shared" si="3"/>
        <v>23.407459693417422</v>
      </c>
      <c r="Q12" s="296">
        <f t="shared" si="4"/>
        <v>1.9506216411181185</v>
      </c>
      <c r="R12" s="78"/>
      <c r="S12" s="333"/>
      <c r="T12" s="333"/>
      <c r="U12" s="333"/>
      <c r="V12" s="333"/>
      <c r="W12" s="334"/>
      <c r="X12" s="333"/>
      <c r="Y12" s="333"/>
      <c r="Z12" s="333"/>
      <c r="AA12" s="333"/>
      <c r="AB12" s="78"/>
    </row>
    <row r="13" spans="1:28" ht="15" thickBot="1">
      <c r="A13" s="324" t="s">
        <v>45</v>
      </c>
      <c r="B13" s="94">
        <f>'CY 2019-2020 forecast'!AR28</f>
        <v>2811895</v>
      </c>
      <c r="C13" s="303">
        <v>1.9699999999999999E-2</v>
      </c>
      <c r="D13" s="237">
        <f t="shared" si="6"/>
        <v>553943.31499999994</v>
      </c>
      <c r="E13" s="95">
        <f>D13/$D$14</f>
        <v>0.15854065477310755</v>
      </c>
      <c r="F13" s="238">
        <f t="shared" si="0"/>
        <v>570930.38028603734</v>
      </c>
      <c r="G13" s="234">
        <f>ROUND(F13/B13,4)</f>
        <v>0.20300000000000001</v>
      </c>
      <c r="H13" s="305">
        <f t="shared" si="9"/>
        <v>2.0300000000000002E-2</v>
      </c>
      <c r="I13" s="153">
        <f t="shared" si="10"/>
        <v>3.0456852791878264E-2</v>
      </c>
      <c r="J13" s="163"/>
      <c r="K13" s="386"/>
      <c r="L13" s="30">
        <f>'CY 2019-2020 forecast'!AR41</f>
        <v>41.916666666666664</v>
      </c>
      <c r="M13" s="31">
        <f t="shared" si="1"/>
        <v>67082.982107355871</v>
      </c>
      <c r="N13" s="332">
        <f t="shared" si="5"/>
        <v>13215.347475149105</v>
      </c>
      <c r="O13" s="332">
        <f t="shared" si="2"/>
        <v>13617.845367793241</v>
      </c>
      <c r="P13" s="296">
        <f t="shared" si="3"/>
        <v>402.4978926441363</v>
      </c>
      <c r="Q13" s="296">
        <f t="shared" si="4"/>
        <v>33.541491053678023</v>
      </c>
      <c r="R13" s="335"/>
      <c r="S13" s="89"/>
      <c r="T13" s="89"/>
      <c r="U13" s="333"/>
      <c r="V13" s="333"/>
      <c r="W13" s="334"/>
      <c r="X13" s="89"/>
      <c r="Y13" s="89"/>
      <c r="Z13" s="333"/>
      <c r="AA13" s="333"/>
      <c r="AB13" s="78"/>
    </row>
    <row r="14" spans="1:28" ht="15" thickBot="1">
      <c r="A14" s="4" t="s">
        <v>156</v>
      </c>
      <c r="B14" s="26">
        <f>SUM(B7:B13)</f>
        <v>9921518</v>
      </c>
      <c r="C14" s="233">
        <f>(B7*C7+B8*C8+B9*C9+B10*C10+B11*C11+B12*C12+B13*C13)/B14</f>
        <v>3.5216529371579035E-2</v>
      </c>
      <c r="D14" s="3">
        <f>SUM(D7:D13)</f>
        <v>3494014.3005765015</v>
      </c>
      <c r="E14" s="25">
        <f>SUM(E7:E13)</f>
        <v>0.99999999999999989</v>
      </c>
      <c r="F14" s="389">
        <f>SUM(F7:F13)</f>
        <v>3601160.7313159737</v>
      </c>
      <c r="G14" s="170">
        <f>ROUND(F14/B14,4)</f>
        <v>0.36299999999999999</v>
      </c>
      <c r="H14" s="306">
        <f>(B7*H7+B8*H8+B9*H9+B10*H10+B11*H11+B12*H12+B13*H13)/B14</f>
        <v>3.6295237407640984E-2</v>
      </c>
      <c r="I14" s="307">
        <f>H14/C14-1</f>
        <v>3.0630730946829221E-2</v>
      </c>
      <c r="J14" s="233"/>
      <c r="K14" s="387"/>
      <c r="L14" s="326"/>
      <c r="M14" s="110"/>
      <c r="N14" s="110"/>
      <c r="O14" s="110"/>
      <c r="R14" s="66"/>
      <c r="S14" s="66"/>
      <c r="T14" s="66"/>
      <c r="U14" s="66"/>
      <c r="V14" s="66"/>
      <c r="W14" s="66"/>
      <c r="X14" s="66"/>
      <c r="Y14" s="66"/>
      <c r="Z14" s="66"/>
      <c r="AA14" s="66"/>
      <c r="AB14" s="66"/>
    </row>
    <row r="15" spans="1:28">
      <c r="D15" s="33"/>
      <c r="G15" s="161"/>
      <c r="H15" s="161"/>
      <c r="I15" s="161"/>
    </row>
    <row r="16" spans="1:28">
      <c r="B16" s="336"/>
      <c r="C16" s="66"/>
      <c r="E16" s="33"/>
      <c r="G16" s="161"/>
      <c r="H16" s="161"/>
    </row>
    <row r="17" spans="1:18">
      <c r="A17" s="4" t="s">
        <v>223</v>
      </c>
      <c r="B17" s="82"/>
      <c r="C17" s="342">
        <f>'PSD Budget Inves Totals 21-23'!B4</f>
        <v>4593333</v>
      </c>
      <c r="D17" t="s">
        <v>265</v>
      </c>
      <c r="E17" s="82"/>
      <c r="G17" s="161"/>
      <c r="H17" s="161"/>
      <c r="P17" s="33"/>
      <c r="R17" s="33"/>
    </row>
    <row r="18" spans="1:18">
      <c r="A18" s="4" t="s">
        <v>229</v>
      </c>
      <c r="B18" s="89"/>
      <c r="C18" s="89">
        <f>-'Reallocation 2016-2017'!O34</f>
        <v>-177840</v>
      </c>
      <c r="D18" s="82" t="s">
        <v>264</v>
      </c>
      <c r="E18" s="82"/>
      <c r="F18" s="89"/>
      <c r="G18" s="161"/>
      <c r="H18" s="161"/>
      <c r="P18" s="33"/>
      <c r="R18" s="33"/>
    </row>
    <row r="19" spans="1:18">
      <c r="A19" s="4" t="s">
        <v>234</v>
      </c>
      <c r="B19" s="82"/>
      <c r="C19" s="89">
        <f>-'EEU balance'!I78</f>
        <v>3592.7883283831179</v>
      </c>
      <c r="D19" s="82"/>
      <c r="E19" s="82"/>
      <c r="F19" s="89"/>
      <c r="G19" s="161"/>
      <c r="H19" s="161"/>
      <c r="P19" s="33"/>
      <c r="R19" s="33"/>
    </row>
    <row r="20" spans="1:18">
      <c r="A20" s="4" t="s">
        <v>230</v>
      </c>
      <c r="B20" s="82"/>
      <c r="C20" s="89">
        <f>SUM(C17:C19)</f>
        <v>4419085.7883283831</v>
      </c>
      <c r="D20" s="89"/>
      <c r="E20" s="89"/>
      <c r="G20" s="161"/>
      <c r="H20" s="161"/>
      <c r="P20" s="33"/>
      <c r="R20" s="33"/>
    </row>
    <row r="21" spans="1:18">
      <c r="A21" s="4"/>
      <c r="B21" s="89"/>
      <c r="C21" s="89"/>
      <c r="K21" s="88">
        <v>1205755</v>
      </c>
      <c r="L21" s="161" t="s">
        <v>268</v>
      </c>
      <c r="P21" s="33"/>
      <c r="R21" s="33"/>
    </row>
    <row r="22" spans="1:18" ht="15" customHeight="1">
      <c r="A22" t="s">
        <v>260</v>
      </c>
      <c r="B22" s="89"/>
      <c r="C22" s="89">
        <f>D14</f>
        <v>3494014.3005765015</v>
      </c>
      <c r="D22" s="166" t="s">
        <v>271</v>
      </c>
      <c r="E22" s="82"/>
      <c r="F22" s="64"/>
      <c r="K22" s="82">
        <f>C18</f>
        <v>-177840</v>
      </c>
      <c r="L22" t="s">
        <v>253</v>
      </c>
    </row>
    <row r="23" spans="1:18">
      <c r="A23" s="4" t="s">
        <v>231</v>
      </c>
      <c r="B23" s="82"/>
      <c r="C23" s="308">
        <f>C20-C22</f>
        <v>925071.48775188159</v>
      </c>
      <c r="D23" t="s">
        <v>270</v>
      </c>
      <c r="E23" s="82"/>
      <c r="K23" s="82">
        <f>C19</f>
        <v>3592.7883283831179</v>
      </c>
      <c r="L23" t="s">
        <v>254</v>
      </c>
    </row>
    <row r="24" spans="1:18">
      <c r="A24" s="4"/>
      <c r="B24" s="64"/>
      <c r="C24" s="89"/>
      <c r="D24" s="343"/>
      <c r="E24" s="344"/>
      <c r="K24" s="82">
        <f>'PSD Budget Inves Totals 21-23'!B25-C22</f>
        <v>-31436.744576501194</v>
      </c>
      <c r="L24" s="161" t="s">
        <v>269</v>
      </c>
    </row>
    <row r="25" spans="1:18" ht="13.5" customHeight="1">
      <c r="A25" t="s">
        <v>232</v>
      </c>
      <c r="C25" s="89">
        <f>C23/15</f>
        <v>61671.432516792105</v>
      </c>
      <c r="D25" s="89" t="s">
        <v>272</v>
      </c>
      <c r="K25" s="82"/>
      <c r="L25" s="31"/>
      <c r="M25" s="162"/>
    </row>
    <row r="26" spans="1:18" ht="13.5" customHeight="1">
      <c r="C26" s="64"/>
      <c r="D26" s="89"/>
      <c r="G26" s="81"/>
      <c r="H26" s="31"/>
      <c r="K26" s="82">
        <f>SUM(K22:K24)</f>
        <v>-205683.95624811808</v>
      </c>
      <c r="L26" s="31"/>
      <c r="M26" s="162"/>
    </row>
    <row r="27" spans="1:18" ht="13.5" customHeight="1">
      <c r="A27" s="4" t="s">
        <v>233</v>
      </c>
      <c r="C27" s="239">
        <f>C22+C25</f>
        <v>3555685.7330932938</v>
      </c>
      <c r="D27" s="89" t="s">
        <v>276</v>
      </c>
      <c r="G27" s="82"/>
      <c r="H27" s="31">
        <f>G27*0.081</f>
        <v>0</v>
      </c>
      <c r="K27" s="82">
        <v>-75000</v>
      </c>
      <c r="L27" s="31" t="s">
        <v>275</v>
      </c>
      <c r="M27" s="162"/>
    </row>
    <row r="28" spans="1:18" ht="13.5" customHeight="1">
      <c r="A28" s="4"/>
      <c r="C28" s="239"/>
      <c r="D28" s="89"/>
      <c r="G28" s="81"/>
      <c r="H28" s="31"/>
      <c r="K28" s="82"/>
      <c r="L28" s="31"/>
      <c r="M28" s="162"/>
    </row>
    <row r="29" spans="1:18">
      <c r="A29" t="s">
        <v>266</v>
      </c>
      <c r="B29" s="3"/>
      <c r="C29" s="388">
        <f>C27/C31</f>
        <v>3601160.7313159741</v>
      </c>
      <c r="D29" t="s">
        <v>55</v>
      </c>
      <c r="E29" s="154"/>
      <c r="G29" s="154"/>
      <c r="K29" s="82">
        <f>K21-C23</f>
        <v>280683.51224811841</v>
      </c>
      <c r="M29" s="82"/>
    </row>
    <row r="30" spans="1:18">
      <c r="C30" s="34"/>
      <c r="D30" s="34"/>
    </row>
    <row r="31" spans="1:18">
      <c r="A31" t="s">
        <v>136</v>
      </c>
      <c r="C31">
        <f>1/C32</f>
        <v>0.98737212759563153</v>
      </c>
      <c r="D31" t="s">
        <v>273</v>
      </c>
    </row>
    <row r="32" spans="1:18">
      <c r="A32" t="s">
        <v>274</v>
      </c>
      <c r="C32">
        <f>(1.00525*1.0075)</f>
        <v>1.0127893750000001</v>
      </c>
    </row>
    <row r="33" spans="1:13">
      <c r="B33" s="3"/>
      <c r="C33" s="3"/>
      <c r="D33" s="3"/>
    </row>
    <row r="34" spans="1:13">
      <c r="B34" s="325"/>
      <c r="C34" s="3"/>
      <c r="D34" s="3"/>
    </row>
    <row r="35" spans="1:13" ht="13.5" customHeight="1">
      <c r="A35" s="4" t="s">
        <v>261</v>
      </c>
      <c r="C35" s="239"/>
      <c r="D35" s="89" t="s">
        <v>263</v>
      </c>
      <c r="G35" s="81"/>
      <c r="H35" s="31"/>
      <c r="K35" s="82"/>
      <c r="L35" s="31"/>
      <c r="M35" s="162"/>
    </row>
    <row r="36" spans="1:13" ht="13.5" customHeight="1">
      <c r="A36" s="4" t="s">
        <v>259</v>
      </c>
      <c r="C36" s="239"/>
      <c r="D36" s="89" t="s">
        <v>262</v>
      </c>
      <c r="G36" s="81"/>
      <c r="H36" s="31"/>
      <c r="K36" s="64"/>
      <c r="L36" s="31"/>
      <c r="M36" s="162"/>
    </row>
    <row r="37" spans="1:13">
      <c r="B37" s="325"/>
      <c r="C37" s="3"/>
      <c r="D37" s="3"/>
    </row>
    <row r="38" spans="1:13">
      <c r="B38" s="325"/>
      <c r="C38" s="3"/>
      <c r="D38" s="3"/>
    </row>
    <row r="39" spans="1:13">
      <c r="B39" s="3"/>
      <c r="C39" s="3"/>
      <c r="D39" s="3"/>
    </row>
    <row r="43" spans="1:13">
      <c r="D43" s="89"/>
    </row>
  </sheetData>
  <mergeCells count="15">
    <mergeCell ref="P5:Q5"/>
    <mergeCell ref="U5:V5"/>
    <mergeCell ref="Z5:AA5"/>
    <mergeCell ref="H1:I1"/>
    <mergeCell ref="J1:K1"/>
    <mergeCell ref="B2:B5"/>
    <mergeCell ref="C2:C5"/>
    <mergeCell ref="D2:D5"/>
    <mergeCell ref="E2:E5"/>
    <mergeCell ref="F2:F5"/>
    <mergeCell ref="G2:G5"/>
    <mergeCell ref="H2:H5"/>
    <mergeCell ref="I2:I5"/>
    <mergeCell ref="J2:J5"/>
    <mergeCell ref="K2:K5"/>
  </mergeCells>
  <pageMargins left="0.7" right="0.7" top="0.75" bottom="0.75" header="0.3" footer="0.3"/>
  <pageSetup orientation="portrait" r:id="rId1"/>
  <legacy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16D2E1B-09EE-4DA0-9352-A5FD0EA30B8C}">
  <dimension ref="A2:U30"/>
  <sheetViews>
    <sheetView topLeftCell="A19" workbookViewId="0">
      <selection activeCell="A37" sqref="A37"/>
    </sheetView>
  </sheetViews>
  <sheetFormatPr defaultColWidth="10.54296875" defaultRowHeight="14.5"/>
  <cols>
    <col min="1" max="1" width="44.08984375" customWidth="1"/>
    <col min="2" max="2" width="14.26953125" bestFit="1" customWidth="1"/>
    <col min="3" max="3" width="13.6328125" bestFit="1" customWidth="1"/>
    <col min="4" max="21" width="11" bestFit="1" customWidth="1"/>
  </cols>
  <sheetData>
    <row r="2" spans="1:21">
      <c r="A2" s="367" t="s">
        <v>208</v>
      </c>
      <c r="B2" s="367"/>
      <c r="C2" s="367"/>
      <c r="D2" s="367"/>
      <c r="E2" s="367"/>
      <c r="F2" s="367"/>
      <c r="G2" s="367"/>
      <c r="H2" s="367"/>
      <c r="I2" s="367"/>
      <c r="J2" s="367"/>
      <c r="K2" s="367"/>
    </row>
    <row r="3" spans="1:21">
      <c r="A3" s="299"/>
      <c r="B3" s="300">
        <v>2021</v>
      </c>
      <c r="C3" s="300">
        <v>2022</v>
      </c>
      <c r="D3" s="300">
        <v>2023</v>
      </c>
      <c r="E3" s="300">
        <v>2024</v>
      </c>
      <c r="F3" s="300">
        <v>2025</v>
      </c>
      <c r="G3" s="300">
        <v>2026</v>
      </c>
      <c r="H3" s="300">
        <v>2027</v>
      </c>
      <c r="I3" s="300">
        <v>2028</v>
      </c>
      <c r="J3" s="300">
        <v>2029</v>
      </c>
      <c r="K3" s="300">
        <v>2030</v>
      </c>
    </row>
    <row r="4" spans="1:21">
      <c r="A4" s="299" t="s">
        <v>209</v>
      </c>
      <c r="B4" s="301">
        <v>4593333</v>
      </c>
      <c r="C4" s="301">
        <v>5262600</v>
      </c>
      <c r="D4" s="301">
        <v>5765226</v>
      </c>
      <c r="E4" s="301">
        <v>6267878.2599999998</v>
      </c>
      <c r="F4" s="301">
        <v>6270557.0426000003</v>
      </c>
      <c r="G4" s="301">
        <v>5773262.6130259996</v>
      </c>
      <c r="H4" s="301">
        <v>5275995.2391562602</v>
      </c>
      <c r="I4" s="301">
        <v>4778755.1915478222</v>
      </c>
      <c r="J4" s="301">
        <v>4531542.7434633011</v>
      </c>
      <c r="K4" s="301">
        <v>4284358.1708979337</v>
      </c>
    </row>
    <row r="5" spans="1:21">
      <c r="A5" s="299" t="s">
        <v>210</v>
      </c>
      <c r="B5" s="301">
        <v>1205755.4439999997</v>
      </c>
      <c r="C5" s="301">
        <v>2006848.1660000002</v>
      </c>
      <c r="D5" s="301">
        <v>2659473.5480000004</v>
      </c>
      <c r="E5" s="301">
        <v>3398117.4229999995</v>
      </c>
      <c r="F5" s="301">
        <v>3660721.6813792391</v>
      </c>
      <c r="G5" s="301">
        <v>3336927.2876342358</v>
      </c>
      <c r="H5" s="301">
        <v>2913286.9081592113</v>
      </c>
      <c r="I5" s="301">
        <v>2414799.8669416085</v>
      </c>
      <c r="J5" s="301">
        <v>2091465.5029486269</v>
      </c>
      <c r="K5" s="301">
        <v>1693283.1698812675</v>
      </c>
    </row>
    <row r="6" spans="1:21">
      <c r="A6" s="368"/>
      <c r="B6" s="369"/>
      <c r="C6" s="369"/>
      <c r="D6" s="369"/>
      <c r="E6" s="369"/>
      <c r="F6" s="369"/>
      <c r="G6" s="369"/>
      <c r="H6" s="369"/>
      <c r="I6" s="369"/>
      <c r="J6" s="369"/>
      <c r="K6" s="370"/>
    </row>
    <row r="7" spans="1:21">
      <c r="A7" s="299"/>
      <c r="B7" s="300">
        <v>2031</v>
      </c>
      <c r="C7" s="300">
        <v>2032</v>
      </c>
      <c r="D7" s="300">
        <v>2033</v>
      </c>
      <c r="E7" s="300">
        <v>2034</v>
      </c>
      <c r="F7" s="300">
        <v>2035</v>
      </c>
      <c r="G7" s="300">
        <v>2036</v>
      </c>
      <c r="H7" s="300">
        <v>2037</v>
      </c>
      <c r="I7" s="300">
        <v>2038</v>
      </c>
      <c r="J7" s="300">
        <v>2039</v>
      </c>
      <c r="K7" s="300">
        <v>2040</v>
      </c>
    </row>
    <row r="8" spans="1:21">
      <c r="A8" s="299" t="s">
        <v>209</v>
      </c>
      <c r="B8" s="301">
        <v>4407201.7526069134</v>
      </c>
      <c r="C8" s="301">
        <v>4533673.7701329822</v>
      </c>
      <c r="D8" s="301">
        <v>4663882.5078343125</v>
      </c>
      <c r="E8" s="301">
        <v>4797939.4929126557</v>
      </c>
      <c r="F8" s="301">
        <v>4935959.592641782</v>
      </c>
      <c r="G8" s="301">
        <v>5078061.1145121995</v>
      </c>
      <c r="H8" s="301">
        <v>5224365.9093796415</v>
      </c>
      <c r="I8" s="301">
        <v>5374999.4777074279</v>
      </c>
      <c r="J8" s="301">
        <v>5530091.0789955119</v>
      </c>
      <c r="K8" s="301">
        <v>5689773.8444918059</v>
      </c>
    </row>
    <row r="9" spans="1:21">
      <c r="A9" s="299" t="s">
        <v>210</v>
      </c>
      <c r="B9" s="301">
        <v>1645404.0090928581</v>
      </c>
      <c r="C9" s="301">
        <v>1551248.2943073269</v>
      </c>
      <c r="D9" s="301">
        <v>1435923.6717318101</v>
      </c>
      <c r="E9" s="301">
        <v>1324541.0361451413</v>
      </c>
      <c r="F9" s="301">
        <v>1167214.6280270545</v>
      </c>
      <c r="G9" s="301">
        <v>914062.13360593934</v>
      </c>
      <c r="H9" s="301">
        <v>665204.78791253269</v>
      </c>
      <c r="I9" s="301">
        <v>320767.48092961498</v>
      </c>
      <c r="J9" s="301">
        <v>-0.13306954503059387</v>
      </c>
      <c r="K9" s="301">
        <v>0.4771015290170908</v>
      </c>
    </row>
    <row r="11" spans="1:21">
      <c r="A11" t="s">
        <v>252</v>
      </c>
      <c r="B11" s="3"/>
    </row>
    <row r="12" spans="1:21">
      <c r="B12" s="3"/>
    </row>
    <row r="13" spans="1:21">
      <c r="A13" s="339" t="s">
        <v>251</v>
      </c>
      <c r="B13" s="338">
        <v>44197</v>
      </c>
      <c r="C13" s="338">
        <v>44592</v>
      </c>
      <c r="D13" s="338">
        <v>44957</v>
      </c>
      <c r="E13" s="338">
        <v>45322</v>
      </c>
      <c r="F13" s="338">
        <v>45688</v>
      </c>
      <c r="G13" s="338">
        <v>46053</v>
      </c>
      <c r="H13" s="338">
        <v>46418</v>
      </c>
      <c r="I13" s="338">
        <v>46783</v>
      </c>
      <c r="J13" s="338">
        <v>47149</v>
      </c>
      <c r="K13" s="338">
        <v>47514</v>
      </c>
      <c r="L13" s="338">
        <v>47879</v>
      </c>
      <c r="M13" s="338">
        <v>48244</v>
      </c>
      <c r="N13" s="338">
        <v>48610</v>
      </c>
      <c r="O13" s="338">
        <v>48975</v>
      </c>
      <c r="P13" s="338">
        <v>49340</v>
      </c>
      <c r="Q13" s="338">
        <v>49705</v>
      </c>
      <c r="R13" s="338">
        <v>50071</v>
      </c>
      <c r="S13" s="338">
        <v>50436</v>
      </c>
      <c r="T13" s="338">
        <v>50801</v>
      </c>
      <c r="U13" s="338">
        <v>51166</v>
      </c>
    </row>
    <row r="14" spans="1:21">
      <c r="A14" t="s">
        <v>114</v>
      </c>
      <c r="B14" s="88">
        <v>4047752.7926418576</v>
      </c>
      <c r="C14" s="88">
        <v>4731869.7905682763</v>
      </c>
      <c r="D14" s="88">
        <v>5332595.7884739591</v>
      </c>
      <c r="E14" s="88">
        <v>5780669.7063586982</v>
      </c>
      <c r="F14" s="88">
        <v>5651563.4626222858</v>
      </c>
      <c r="G14" s="88">
        <v>5286802.9740325073</v>
      </c>
      <c r="H14" s="88">
        <v>4760966.155692514</v>
      </c>
      <c r="I14" s="88">
        <v>4159325.9210075117</v>
      </c>
      <c r="J14" s="88">
        <v>4017204.0616508229</v>
      </c>
      <c r="K14" s="88">
        <v>3770899.0075292303</v>
      </c>
      <c r="L14" s="88">
        <v>3757159.0867476608</v>
      </c>
      <c r="M14" s="88">
        <v>4009673.0255731381</v>
      </c>
      <c r="N14" s="88">
        <v>4121852.5115980301</v>
      </c>
      <c r="O14" s="88">
        <v>4146612.7829025541</v>
      </c>
      <c r="P14" s="88">
        <v>4383098.4112165337</v>
      </c>
      <c r="Q14" s="88">
        <v>4536827.5684603928</v>
      </c>
      <c r="R14" s="88">
        <v>4541551.4836088438</v>
      </c>
      <c r="S14" s="88">
        <v>4822636.3485833732</v>
      </c>
      <c r="T14" s="88">
        <v>4959488.8774035778</v>
      </c>
      <c r="U14" s="88">
        <v>5004774.5596860619</v>
      </c>
    </row>
    <row r="15" spans="1:21">
      <c r="A15" t="s">
        <v>116</v>
      </c>
      <c r="B15" s="88">
        <v>260000.20735814222</v>
      </c>
      <c r="C15" s="88">
        <v>262600.20943172363</v>
      </c>
      <c r="D15" s="88">
        <v>265226.21152604086</v>
      </c>
      <c r="E15" s="88">
        <v>267878.47364130127</v>
      </c>
      <c r="F15" s="88">
        <v>270557.25837771432</v>
      </c>
      <c r="G15" s="88">
        <v>273262.83096149145</v>
      </c>
      <c r="H15" s="88">
        <v>275995.45927110635</v>
      </c>
      <c r="I15" s="88">
        <v>278755.41386381746</v>
      </c>
      <c r="J15" s="88">
        <v>281542.9680024556</v>
      </c>
      <c r="K15" s="88">
        <v>284358.39768248016</v>
      </c>
      <c r="L15" s="88">
        <v>287201.98165930493</v>
      </c>
      <c r="M15" s="88">
        <v>290074.00147589803</v>
      </c>
      <c r="N15" s="88">
        <v>292974.74149065698</v>
      </c>
      <c r="O15" s="88">
        <v>295904.48890556354</v>
      </c>
      <c r="P15" s="88">
        <v>298863.53379461926</v>
      </c>
      <c r="Q15" s="88">
        <v>301852.16913256538</v>
      </c>
      <c r="R15" s="88">
        <v>304870.69082389103</v>
      </c>
      <c r="S15" s="88">
        <v>307919.39773212996</v>
      </c>
      <c r="T15" s="88">
        <v>310998.59170945128</v>
      </c>
      <c r="U15" s="88">
        <v>314108.5776265458</v>
      </c>
    </row>
    <row r="16" spans="1:21">
      <c r="A16" t="s">
        <v>146</v>
      </c>
      <c r="B16" s="88">
        <v>260700</v>
      </c>
      <c r="C16" s="88">
        <v>257930</v>
      </c>
      <c r="D16" s="88">
        <v>142120</v>
      </c>
      <c r="E16" s="88">
        <v>208718</v>
      </c>
      <c r="F16" s="88">
        <v>322732</v>
      </c>
      <c r="G16" s="88">
        <v>202156</v>
      </c>
      <c r="H16" s="88">
        <v>212892</v>
      </c>
      <c r="I16" s="88">
        <v>329187</v>
      </c>
      <c r="J16" s="88">
        <v>206199.12</v>
      </c>
      <c r="K16" s="88">
        <v>217149.84</v>
      </c>
      <c r="L16" s="88">
        <v>335770.74</v>
      </c>
      <c r="M16" s="88">
        <v>221493</v>
      </c>
      <c r="N16" s="88">
        <v>221492.83679999999</v>
      </c>
      <c r="O16" s="88">
        <v>342486.15480000002</v>
      </c>
      <c r="P16" s="88">
        <v>225922.86000000002</v>
      </c>
      <c r="Q16" s="88">
        <v>225922.69353600001</v>
      </c>
      <c r="R16" s="88">
        <v>349335.87789600005</v>
      </c>
      <c r="S16" s="88">
        <v>230441.31720000002</v>
      </c>
      <c r="T16" s="88">
        <v>230441.14740672</v>
      </c>
      <c r="U16" s="88">
        <v>356322.59545392008</v>
      </c>
    </row>
    <row r="17" spans="1:21">
      <c r="A17" t="s">
        <v>235</v>
      </c>
      <c r="B17" s="88">
        <v>14880</v>
      </c>
      <c r="C17" s="88">
        <v>0</v>
      </c>
      <c r="D17" s="88">
        <v>14880</v>
      </c>
      <c r="E17" s="88">
        <v>0</v>
      </c>
      <c r="F17" s="88">
        <v>14880</v>
      </c>
      <c r="G17" s="88">
        <v>0</v>
      </c>
      <c r="H17" s="88">
        <v>14880</v>
      </c>
      <c r="I17" s="88">
        <v>0</v>
      </c>
      <c r="J17" s="88">
        <v>14880</v>
      </c>
      <c r="K17" s="88">
        <v>0</v>
      </c>
      <c r="L17" s="88">
        <v>14880</v>
      </c>
      <c r="M17" s="88">
        <v>0</v>
      </c>
      <c r="N17" s="88">
        <v>14880</v>
      </c>
      <c r="O17" s="88">
        <v>0</v>
      </c>
      <c r="P17" s="88">
        <v>14880</v>
      </c>
      <c r="Q17" s="88">
        <v>0</v>
      </c>
      <c r="R17" s="88">
        <v>14880</v>
      </c>
      <c r="S17" s="88">
        <v>0</v>
      </c>
      <c r="T17" s="88">
        <v>14880</v>
      </c>
      <c r="U17" s="88">
        <v>0</v>
      </c>
    </row>
    <row r="18" spans="1:21">
      <c r="A18" t="s">
        <v>150</v>
      </c>
      <c r="B18" s="88">
        <v>2500</v>
      </c>
      <c r="C18" s="88">
        <v>2550</v>
      </c>
      <c r="D18" s="88">
        <v>2601</v>
      </c>
      <c r="E18" s="88">
        <v>2653.02</v>
      </c>
      <c r="F18" s="88">
        <v>2706.0803999999998</v>
      </c>
      <c r="G18" s="88">
        <v>2760.2020079999998</v>
      </c>
      <c r="H18" s="88">
        <v>2815.40604816</v>
      </c>
      <c r="I18" s="88">
        <v>2871.7141691232</v>
      </c>
      <c r="J18" s="88">
        <v>2929.148452505664</v>
      </c>
      <c r="K18" s="88">
        <v>2987.7314215557772</v>
      </c>
      <c r="L18" s="88">
        <v>3047.4860499868928</v>
      </c>
      <c r="M18" s="88">
        <v>3108.4357709866308</v>
      </c>
      <c r="N18" s="88">
        <v>3170.6044864063633</v>
      </c>
      <c r="O18" s="88">
        <v>3234.0165761344906</v>
      </c>
      <c r="P18" s="88">
        <v>3298.6969076571804</v>
      </c>
      <c r="Q18" s="88">
        <v>3364.670845810324</v>
      </c>
      <c r="R18" s="88">
        <v>3431.9642627265307</v>
      </c>
      <c r="S18" s="88">
        <v>3500.6035479810612</v>
      </c>
      <c r="T18" s="88">
        <v>3570.6156189406825</v>
      </c>
      <c r="U18" s="88">
        <v>3642.027931319496</v>
      </c>
    </row>
    <row r="19" spans="1:21">
      <c r="A19" t="s">
        <v>152</v>
      </c>
      <c r="B19" s="88">
        <v>7500</v>
      </c>
      <c r="C19" s="88">
        <v>7650</v>
      </c>
      <c r="D19" s="88">
        <v>7803</v>
      </c>
      <c r="E19" s="88">
        <v>7959.06</v>
      </c>
      <c r="F19" s="88">
        <v>8118.2412000000004</v>
      </c>
      <c r="G19" s="88">
        <v>8280.6060240000006</v>
      </c>
      <c r="H19" s="88">
        <v>8446.2181444800008</v>
      </c>
      <c r="I19" s="88">
        <v>8615.1425073696009</v>
      </c>
      <c r="J19" s="88">
        <v>8787.4453575169937</v>
      </c>
      <c r="K19" s="88">
        <v>8963.1942646673342</v>
      </c>
      <c r="L19" s="88">
        <v>9142.4581499606811</v>
      </c>
      <c r="M19" s="88">
        <v>9325.3073129598943</v>
      </c>
      <c r="N19" s="88">
        <v>9511.8134592190927</v>
      </c>
      <c r="O19" s="88">
        <v>9702.0497284034755</v>
      </c>
      <c r="P19" s="88">
        <v>9896.0907229715449</v>
      </c>
      <c r="Q19" s="88">
        <v>10094.012537430975</v>
      </c>
      <c r="R19" s="88">
        <v>10295.892788179595</v>
      </c>
      <c r="S19" s="88">
        <v>10501.810643943187</v>
      </c>
      <c r="T19" s="88">
        <v>10711.846856822051</v>
      </c>
      <c r="U19" s="88">
        <v>10926.083793958493</v>
      </c>
    </row>
    <row r="20" spans="1:21">
      <c r="A20" t="s">
        <v>250</v>
      </c>
      <c r="B20" s="88">
        <v>285580</v>
      </c>
      <c r="C20" s="88">
        <v>268130</v>
      </c>
      <c r="D20" s="88">
        <v>167404</v>
      </c>
      <c r="E20" s="88">
        <v>219330.08</v>
      </c>
      <c r="F20" s="88">
        <v>348436.32159999997</v>
      </c>
      <c r="G20" s="88">
        <v>213196.808032</v>
      </c>
      <c r="H20" s="88">
        <v>239033.62419263998</v>
      </c>
      <c r="I20" s="88">
        <v>340673.85667649284</v>
      </c>
      <c r="J20" s="88">
        <v>232795.71381002266</v>
      </c>
      <c r="K20" s="88">
        <v>229100.76568622311</v>
      </c>
      <c r="L20" s="88">
        <v>362840.68419994757</v>
      </c>
      <c r="M20" s="88">
        <v>233926.74308394652</v>
      </c>
      <c r="N20" s="88">
        <v>249055.25474562545</v>
      </c>
      <c r="O20" s="88">
        <v>355422.22110453795</v>
      </c>
      <c r="P20" s="88">
        <v>253997.64763062872</v>
      </c>
      <c r="Q20" s="88">
        <v>239381.3769192413</v>
      </c>
      <c r="R20" s="88">
        <v>377943.73494690616</v>
      </c>
      <c r="S20" s="88">
        <v>244443.73139192426</v>
      </c>
      <c r="T20" s="88">
        <v>259603.60988248273</v>
      </c>
      <c r="U20" s="88">
        <v>370890.70717919804</v>
      </c>
    </row>
    <row r="21" spans="1:21" s="340" customFormat="1" ht="15" thickBot="1">
      <c r="A21" s="340" t="s">
        <v>249</v>
      </c>
      <c r="B21" s="341">
        <v>4593333</v>
      </c>
      <c r="C21" s="341">
        <v>5262600</v>
      </c>
      <c r="D21" s="341">
        <v>5765226</v>
      </c>
      <c r="E21" s="341">
        <v>6267878.2599999998</v>
      </c>
      <c r="F21" s="341">
        <v>6270557.0426000003</v>
      </c>
      <c r="G21" s="341">
        <v>5773262.6130259987</v>
      </c>
      <c r="H21" s="341">
        <v>5275995.2391562602</v>
      </c>
      <c r="I21" s="341">
        <v>4778755.1915478222</v>
      </c>
      <c r="J21" s="341">
        <v>4531542.7434633011</v>
      </c>
      <c r="K21" s="341">
        <v>4284358.1708979337</v>
      </c>
      <c r="L21" s="341">
        <v>4407201.7526069134</v>
      </c>
      <c r="M21" s="341">
        <v>4533673.7701329822</v>
      </c>
      <c r="N21" s="341">
        <v>4663882.5078343125</v>
      </c>
      <c r="O21" s="341">
        <v>4797939.4929126557</v>
      </c>
      <c r="P21" s="341">
        <v>4935959.592641782</v>
      </c>
      <c r="Q21" s="341">
        <v>5078061.1145121995</v>
      </c>
      <c r="R21" s="341">
        <v>5224365.9093796415</v>
      </c>
      <c r="S21" s="341">
        <v>5374999.4777074279</v>
      </c>
      <c r="T21" s="341">
        <v>5530091.0789955119</v>
      </c>
      <c r="U21" s="341">
        <v>5689773.8444918059</v>
      </c>
    </row>
    <row r="22" spans="1:21">
      <c r="B22" s="88">
        <f t="shared" ref="B22:U22" si="0">B14+B15+B20</f>
        <v>4593333</v>
      </c>
      <c r="C22" s="88">
        <f t="shared" si="0"/>
        <v>5262600</v>
      </c>
      <c r="D22" s="88">
        <f t="shared" si="0"/>
        <v>5765226</v>
      </c>
      <c r="E22" s="88">
        <f t="shared" si="0"/>
        <v>6267878.2599999998</v>
      </c>
      <c r="F22" s="88">
        <f t="shared" si="0"/>
        <v>6270557.0426000003</v>
      </c>
      <c r="G22" s="88">
        <f t="shared" si="0"/>
        <v>5773262.6130259987</v>
      </c>
      <c r="H22" s="88">
        <f t="shared" si="0"/>
        <v>5275995.2391562602</v>
      </c>
      <c r="I22" s="88">
        <f t="shared" si="0"/>
        <v>4778755.1915478222</v>
      </c>
      <c r="J22" s="88">
        <f t="shared" si="0"/>
        <v>4531542.7434633011</v>
      </c>
      <c r="K22" s="88">
        <f t="shared" si="0"/>
        <v>4284358.1708979337</v>
      </c>
      <c r="L22" s="88">
        <f t="shared" si="0"/>
        <v>4407201.7526069134</v>
      </c>
      <c r="M22" s="88">
        <f t="shared" si="0"/>
        <v>4533673.7701329822</v>
      </c>
      <c r="N22" s="88">
        <f t="shared" si="0"/>
        <v>4663882.5078343125</v>
      </c>
      <c r="O22" s="88">
        <f t="shared" si="0"/>
        <v>4797939.4929126557</v>
      </c>
      <c r="P22" s="88">
        <f t="shared" si="0"/>
        <v>4935959.592641782</v>
      </c>
      <c r="Q22" s="88">
        <f t="shared" si="0"/>
        <v>5078061.1145121995</v>
      </c>
      <c r="R22" s="88">
        <f t="shared" si="0"/>
        <v>5224365.9093796415</v>
      </c>
      <c r="S22" s="88">
        <f t="shared" si="0"/>
        <v>5374999.4777074279</v>
      </c>
      <c r="T22" s="88">
        <f t="shared" si="0"/>
        <v>5530091.0789955119</v>
      </c>
      <c r="U22" s="88">
        <f t="shared" si="0"/>
        <v>5689773.8444918059</v>
      </c>
    </row>
    <row r="23" spans="1:21">
      <c r="B23" s="88"/>
      <c r="C23" s="88"/>
      <c r="D23" s="88"/>
      <c r="E23" s="88"/>
      <c r="F23" s="88"/>
      <c r="G23" s="88"/>
      <c r="H23" s="88"/>
      <c r="I23" s="88"/>
      <c r="J23" s="88"/>
      <c r="K23" s="88"/>
      <c r="L23" s="88"/>
      <c r="M23" s="88"/>
      <c r="N23" s="88"/>
      <c r="O23" s="88"/>
      <c r="P23" s="88"/>
      <c r="Q23" s="88"/>
      <c r="R23" s="88"/>
      <c r="S23" s="88"/>
      <c r="T23" s="88"/>
      <c r="U23" s="88"/>
    </row>
    <row r="24" spans="1:21">
      <c r="A24" t="s">
        <v>255</v>
      </c>
      <c r="B24" s="88">
        <f>B5</f>
        <v>1205755.4439999997</v>
      </c>
      <c r="C24" s="88">
        <f>C5</f>
        <v>2006848.1660000002</v>
      </c>
      <c r="D24" s="88">
        <f>D5</f>
        <v>2659473.5480000004</v>
      </c>
      <c r="E24" s="88">
        <f>E5</f>
        <v>3398117.4229999995</v>
      </c>
      <c r="F24" s="88">
        <f>F5</f>
        <v>3660721.6813792391</v>
      </c>
      <c r="G24" s="88">
        <f>G5</f>
        <v>3336927.2876342358</v>
      </c>
      <c r="H24" s="88">
        <f>H5</f>
        <v>2913286.9081592113</v>
      </c>
      <c r="I24" s="88">
        <f>I5</f>
        <v>2414799.8669416085</v>
      </c>
      <c r="J24" s="88">
        <f>J5</f>
        <v>2091465.5029486269</v>
      </c>
      <c r="K24" s="88">
        <f>K5</f>
        <v>1693283.1698812675</v>
      </c>
      <c r="L24" s="3">
        <f t="shared" ref="L24:U24" si="1">B9</f>
        <v>1645404.0090928581</v>
      </c>
      <c r="M24" s="3">
        <f t="shared" si="1"/>
        <v>1551248.2943073269</v>
      </c>
      <c r="N24" s="3">
        <f t="shared" si="1"/>
        <v>1435923.6717318101</v>
      </c>
      <c r="O24" s="3">
        <f t="shared" si="1"/>
        <v>1324541.0361451413</v>
      </c>
      <c r="P24" s="3">
        <f t="shared" si="1"/>
        <v>1167214.6280270545</v>
      </c>
      <c r="Q24" s="3">
        <f t="shared" si="1"/>
        <v>914062.13360593934</v>
      </c>
      <c r="R24" s="3">
        <f t="shared" si="1"/>
        <v>665204.78791253269</v>
      </c>
      <c r="S24" s="3">
        <f t="shared" si="1"/>
        <v>320767.48092961498</v>
      </c>
      <c r="T24" s="3">
        <f t="shared" si="1"/>
        <v>-0.13306954503059387</v>
      </c>
      <c r="U24" s="3">
        <f t="shared" si="1"/>
        <v>0.4771015290170908</v>
      </c>
    </row>
    <row r="25" spans="1:21">
      <c r="A25" t="s">
        <v>256</v>
      </c>
      <c r="B25" s="88">
        <f>'[5]15 years_PSD Surrebuttal'!F$44</f>
        <v>3462577.5560000003</v>
      </c>
      <c r="C25" s="88">
        <f>'[5]15 years_PSD Surrebuttal'!G$44</f>
        <v>3480751.8339999998</v>
      </c>
      <c r="D25" s="88">
        <f>'[5]15 years_PSD Surrebuttal'!H$44</f>
        <v>3505752.4519999996</v>
      </c>
      <c r="E25" s="88">
        <f>'[5]15 years_PSD Surrebuttal'!I$44</f>
        <v>3529760.8370000003</v>
      </c>
      <c r="F25" s="88">
        <f>'[5]15 years_PSD Surrebuttal'!J$44</f>
        <v>3534835.3612207612</v>
      </c>
      <c r="G25" s="88">
        <f>'[5]15 years_PSD Surrebuttal'!K$44</f>
        <v>3536335.3253917638</v>
      </c>
      <c r="H25" s="88">
        <f>'[5]15 years_PSD Surrebuttal'!L$44</f>
        <v>3537708.3309970489</v>
      </c>
      <c r="I25" s="88">
        <f>'[5]15 years_PSD Surrebuttal'!M$44</f>
        <v>3538955.3246062137</v>
      </c>
      <c r="J25" s="88">
        <f>'[5]15 years_PSD Surrebuttal'!N$44</f>
        <v>3540077.2405146742</v>
      </c>
      <c r="K25" s="88">
        <f>'[5]15 years_PSD Surrebuttal'!O$44</f>
        <v>3541075.0010166662</v>
      </c>
      <c r="L25" s="88">
        <f>'[5]15 years_PSD Surrebuttal'!P$44</f>
        <v>3536797.7435140554</v>
      </c>
      <c r="M25" s="88">
        <f>'[5]15 years_PSD Surrebuttal'!Q$44</f>
        <v>3532425.4758256553</v>
      </c>
      <c r="N25" s="88">
        <f>'[5]15 years_PSD Surrebuttal'!R$44</f>
        <v>3527958.8361025024</v>
      </c>
      <c r="O25" s="88">
        <f>'[5]15 years_PSD Surrebuttal'!S$44</f>
        <v>3523398.4567675143</v>
      </c>
      <c r="P25" s="88">
        <f>'[5]15 years_PSD Surrebuttal'!T$44</f>
        <v>3518744.9646147275</v>
      </c>
      <c r="Q25" s="88">
        <f>'[5]15 years_PSD Surrebuttal'!U$44</f>
        <v>3513998.9809062602</v>
      </c>
      <c r="R25" s="88">
        <f>'[5]15 years_PSD Surrebuttal'!V$44</f>
        <v>3509161.1214671088</v>
      </c>
      <c r="S25" s="88">
        <f>'[5]15 years_PSD Surrebuttal'!W$44</f>
        <v>3504231.996777813</v>
      </c>
      <c r="T25" s="88">
        <f>'[5]15 years_PSD Surrebuttal'!X$44</f>
        <v>3499212.2120650569</v>
      </c>
      <c r="U25" s="88">
        <f>'[5]15 years_PSD Surrebuttal'!Y$44</f>
        <v>3494102.3673902769</v>
      </c>
    </row>
    <row r="26" spans="1:21">
      <c r="B26" s="88"/>
    </row>
    <row r="27" spans="1:21">
      <c r="A27" t="s">
        <v>258</v>
      </c>
      <c r="B27" s="88">
        <v>75000</v>
      </c>
      <c r="C27">
        <v>225000</v>
      </c>
      <c r="D27">
        <v>400000</v>
      </c>
      <c r="E27">
        <v>660000</v>
      </c>
      <c r="F27">
        <v>925000</v>
      </c>
      <c r="G27">
        <v>1100000</v>
      </c>
      <c r="H27">
        <v>1175000</v>
      </c>
      <c r="I27">
        <v>1175000</v>
      </c>
      <c r="J27">
        <v>1100000</v>
      </c>
      <c r="K27">
        <v>950000</v>
      </c>
      <c r="L27">
        <v>775000</v>
      </c>
      <c r="M27">
        <v>550000</v>
      </c>
      <c r="N27">
        <v>300000</v>
      </c>
      <c r="O27">
        <v>50000</v>
      </c>
      <c r="P27">
        <v>-250000</v>
      </c>
      <c r="Q27">
        <v>-650000</v>
      </c>
      <c r="R27">
        <v>-1050000</v>
      </c>
      <c r="S27">
        <v>-1550000</v>
      </c>
      <c r="T27">
        <v>-2030879</v>
      </c>
      <c r="U27">
        <v>-2195671</v>
      </c>
    </row>
    <row r="28" spans="1:21">
      <c r="B28" s="88"/>
    </row>
    <row r="29" spans="1:21">
      <c r="A29" t="s">
        <v>257</v>
      </c>
      <c r="B29" s="88">
        <f>B22-B25+B27</f>
        <v>1205755.4439999997</v>
      </c>
      <c r="C29" s="88">
        <f>C22-C25+C27</f>
        <v>2006848.1660000002</v>
      </c>
      <c r="D29" s="88">
        <f>D22-D25+D27</f>
        <v>2659473.5480000004</v>
      </c>
      <c r="E29" s="88">
        <f t="shared" ref="E29:U29" si="2">E22-E25+E27</f>
        <v>3398117.4229999995</v>
      </c>
      <c r="F29" s="88">
        <f t="shared" si="2"/>
        <v>3660721.6813792391</v>
      </c>
      <c r="G29" s="88">
        <f t="shared" si="2"/>
        <v>3336927.2876342349</v>
      </c>
      <c r="H29" s="88">
        <f t="shared" si="2"/>
        <v>2913286.9081592113</v>
      </c>
      <c r="I29" s="88">
        <f t="shared" si="2"/>
        <v>2414799.8669416085</v>
      </c>
      <c r="J29" s="88">
        <f t="shared" si="2"/>
        <v>2091465.5029486269</v>
      </c>
      <c r="K29" s="88">
        <f t="shared" si="2"/>
        <v>1693283.1698812675</v>
      </c>
      <c r="L29" s="88">
        <f t="shared" si="2"/>
        <v>1645404.0090928581</v>
      </c>
      <c r="M29" s="88">
        <f t="shared" si="2"/>
        <v>1551248.2943073269</v>
      </c>
      <c r="N29" s="88">
        <f t="shared" si="2"/>
        <v>1435923.6717318101</v>
      </c>
      <c r="O29" s="88">
        <f t="shared" si="2"/>
        <v>1324541.0361451413</v>
      </c>
      <c r="P29" s="88">
        <f t="shared" si="2"/>
        <v>1167214.6280270545</v>
      </c>
      <c r="Q29" s="88">
        <f t="shared" si="2"/>
        <v>914062.13360593934</v>
      </c>
      <c r="R29" s="88">
        <f t="shared" si="2"/>
        <v>665204.78791253269</v>
      </c>
      <c r="S29" s="88">
        <f t="shared" si="2"/>
        <v>320767.48092961498</v>
      </c>
      <c r="T29" s="88">
        <f t="shared" si="2"/>
        <v>-0.13306954503059387</v>
      </c>
      <c r="U29" s="88">
        <f t="shared" si="2"/>
        <v>0.4771015290170908</v>
      </c>
    </row>
    <row r="30" spans="1:21">
      <c r="B30" s="88"/>
    </row>
  </sheetData>
  <mergeCells count="2">
    <mergeCell ref="A2:K2"/>
    <mergeCell ref="A6:K6"/>
  </mergeCells>
  <pageMargins left="0.7" right="0.7" top="0.75" bottom="0.75" header="0.3" footer="0.3"/>
  <pageSetup orientation="portrait" verticalDpi="0" r:id="rId1"/>
  <legacy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A3CC3CE-48D2-483E-B937-7A084370A88A}">
  <dimension ref="B1:P34"/>
  <sheetViews>
    <sheetView topLeftCell="A22" workbookViewId="0">
      <selection activeCell="A40" sqref="A40"/>
    </sheetView>
  </sheetViews>
  <sheetFormatPr defaultRowHeight="14.5"/>
  <sheetData>
    <row r="1" spans="2:2">
      <c r="B1" t="s">
        <v>213</v>
      </c>
    </row>
    <row r="2" spans="2:2">
      <c r="B2" t="s">
        <v>214</v>
      </c>
    </row>
    <row r="34" spans="15:16">
      <c r="O34">
        <v>177840</v>
      </c>
      <c r="P34" t="s">
        <v>279</v>
      </c>
    </row>
  </sheetData>
  <pageMargins left="0.7" right="0.7" top="0.75" bottom="0.75" header="0.3" footer="0.3"/>
  <drawing r:id="rId1"/>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10">
    <pageSetUpPr fitToPage="1"/>
  </sheetPr>
  <dimension ref="A1:T161"/>
  <sheetViews>
    <sheetView zoomScale="90" zoomScaleNormal="90" workbookViewId="0">
      <selection activeCell="A11" sqref="A11"/>
    </sheetView>
  </sheetViews>
  <sheetFormatPr defaultRowHeight="14.5"/>
  <cols>
    <col min="1" max="1" width="9.36328125" customWidth="1"/>
    <col min="2" max="2" width="43.08984375" customWidth="1"/>
    <col min="3" max="3" width="23.26953125" customWidth="1"/>
    <col min="4" max="4" width="16.90625" customWidth="1"/>
    <col min="5" max="5" width="15.7265625" customWidth="1"/>
    <col min="6" max="6" width="17.7265625" customWidth="1"/>
    <col min="7" max="8" width="14.1796875" customWidth="1"/>
    <col min="9" max="9" width="18.6328125" customWidth="1"/>
    <col min="10" max="10" width="14.453125" customWidth="1"/>
    <col min="11" max="11" width="14.6328125" customWidth="1"/>
    <col min="12" max="12" width="14.453125" customWidth="1"/>
    <col min="13" max="13" width="13.81640625" customWidth="1"/>
    <col min="14" max="14" width="11.54296875" customWidth="1"/>
    <col min="15" max="16" width="13.36328125" bestFit="1" customWidth="1"/>
    <col min="17" max="17" width="22" customWidth="1"/>
    <col min="18" max="18" width="12.1796875" customWidth="1"/>
    <col min="19" max="19" width="12" customWidth="1"/>
    <col min="20" max="20" width="12.7265625" customWidth="1"/>
  </cols>
  <sheetData>
    <row r="1" spans="1:17" ht="18.5">
      <c r="B1" s="39" t="s">
        <v>61</v>
      </c>
      <c r="C1" s="279" t="s">
        <v>189</v>
      </c>
      <c r="D1" s="68"/>
    </row>
    <row r="2" spans="1:17" ht="15.5">
      <c r="B2" s="40"/>
      <c r="C2" s="67" t="s">
        <v>158</v>
      </c>
      <c r="D2" s="68"/>
      <c r="E2" s="46"/>
    </row>
    <row r="3" spans="1:17" ht="15.5" customHeight="1">
      <c r="C3" s="87" t="s">
        <v>112</v>
      </c>
      <c r="D3" s="157"/>
      <c r="E3" s="66"/>
    </row>
    <row r="4" spans="1:17" ht="15.5" customHeight="1">
      <c r="C4" s="315" t="s">
        <v>224</v>
      </c>
      <c r="D4" s="157"/>
      <c r="E4" s="66"/>
    </row>
    <row r="5" spans="1:17">
      <c r="A5" s="41"/>
      <c r="B5" s="41" t="s">
        <v>62</v>
      </c>
      <c r="C5" s="41" t="s">
        <v>63</v>
      </c>
      <c r="D5" s="41" t="s">
        <v>236</v>
      </c>
      <c r="E5" s="41" t="s">
        <v>64</v>
      </c>
      <c r="F5" s="41"/>
      <c r="G5" s="41"/>
      <c r="H5" s="41"/>
      <c r="I5" s="41"/>
      <c r="J5" s="41"/>
      <c r="K5" s="41"/>
    </row>
    <row r="6" spans="1:17">
      <c r="A6" s="42"/>
      <c r="B6" s="42"/>
      <c r="C6" s="43" t="s">
        <v>65</v>
      </c>
      <c r="D6" s="43" t="s">
        <v>66</v>
      </c>
      <c r="E6" s="43"/>
      <c r="F6" s="159" t="s">
        <v>217</v>
      </c>
      <c r="G6" s="159" t="s">
        <v>218</v>
      </c>
      <c r="H6" s="41"/>
      <c r="I6" s="159"/>
      <c r="J6" s="160"/>
      <c r="K6" s="160"/>
      <c r="M6" t="s">
        <v>114</v>
      </c>
      <c r="N6" t="s">
        <v>116</v>
      </c>
      <c r="O6" t="s">
        <v>145</v>
      </c>
      <c r="P6" t="s">
        <v>63</v>
      </c>
      <c r="Q6" t="s">
        <v>206</v>
      </c>
    </row>
    <row r="7" spans="1:17">
      <c r="B7" s="278">
        <v>42370</v>
      </c>
      <c r="C7" s="279">
        <v>55002.94</v>
      </c>
      <c r="D7" s="279">
        <v>164408.91</v>
      </c>
      <c r="E7" s="279"/>
      <c r="F7" s="68">
        <f t="shared" ref="F7:F21" si="0">C7*0.003</f>
        <v>165.00882000000001</v>
      </c>
      <c r="G7" s="68">
        <f>C7*0.0075</f>
        <v>412.52204999999998</v>
      </c>
      <c r="H7" s="68"/>
      <c r="I7" s="68"/>
      <c r="J7" s="68"/>
      <c r="L7" s="295">
        <f>B7</f>
        <v>42370</v>
      </c>
      <c r="M7">
        <v>164408.91</v>
      </c>
      <c r="N7">
        <v>0</v>
      </c>
    </row>
    <row r="8" spans="1:17">
      <c r="B8" s="278">
        <v>42401</v>
      </c>
      <c r="C8" s="279">
        <v>458193.97</v>
      </c>
      <c r="D8" s="279">
        <v>207702.49</v>
      </c>
      <c r="E8" s="279"/>
      <c r="F8" s="68">
        <f t="shared" si="0"/>
        <v>1374.5819099999999</v>
      </c>
      <c r="G8" s="68">
        <f t="shared" ref="G8:G67" si="1">C8*0.0075</f>
        <v>3436.4547749999997</v>
      </c>
      <c r="H8" s="68"/>
      <c r="I8" s="68"/>
      <c r="J8" s="68"/>
      <c r="L8" s="295">
        <f t="shared" ref="L8:L66" si="2">B8</f>
        <v>42401</v>
      </c>
      <c r="M8">
        <v>204012.35797260294</v>
      </c>
      <c r="N8">
        <v>3690.1320273970114</v>
      </c>
    </row>
    <row r="9" spans="1:17">
      <c r="B9" s="278">
        <v>42446</v>
      </c>
      <c r="C9" s="279">
        <v>398489.3</v>
      </c>
      <c r="D9" s="279">
        <v>244267.1</v>
      </c>
      <c r="E9" s="279">
        <f>C7+C8+C9-D7-D8-D9</f>
        <v>295307.70999999996</v>
      </c>
      <c r="F9" s="68">
        <f t="shared" si="0"/>
        <v>1195.4679000000001</v>
      </c>
      <c r="G9" s="68">
        <f t="shared" si="1"/>
        <v>2988.66975</v>
      </c>
      <c r="H9" s="68"/>
      <c r="I9" s="68"/>
      <c r="J9" s="68"/>
      <c r="L9" s="295">
        <f t="shared" si="2"/>
        <v>42446</v>
      </c>
      <c r="M9">
        <v>224519.12995077026</v>
      </c>
      <c r="N9">
        <v>19747.970049229738</v>
      </c>
    </row>
    <row r="10" spans="1:17">
      <c r="B10" s="278">
        <v>42461</v>
      </c>
      <c r="C10" s="279">
        <v>332224.94</v>
      </c>
      <c r="D10" s="279">
        <v>268271.96999999997</v>
      </c>
      <c r="E10" s="279">
        <f t="shared" ref="E10:E49" si="3">E9+C10-D10</f>
        <v>359260.67999999993</v>
      </c>
      <c r="F10" s="68">
        <f t="shared" si="0"/>
        <v>996.67482000000007</v>
      </c>
      <c r="G10" s="68">
        <f t="shared" si="1"/>
        <v>2491.68705</v>
      </c>
      <c r="H10" s="68"/>
      <c r="I10" s="68"/>
      <c r="J10" s="68"/>
      <c r="K10" s="68"/>
      <c r="L10" s="295">
        <f t="shared" si="2"/>
        <v>42461</v>
      </c>
      <c r="M10">
        <v>226358.12238928836</v>
      </c>
      <c r="N10">
        <v>41913.847610711688</v>
      </c>
    </row>
    <row r="11" spans="1:17">
      <c r="B11" s="278">
        <v>42491</v>
      </c>
      <c r="C11" s="279">
        <v>213830.56</v>
      </c>
      <c r="D11" s="279">
        <v>208270.09</v>
      </c>
      <c r="E11" s="279">
        <f t="shared" si="3"/>
        <v>364821.15</v>
      </c>
      <c r="F11" s="68">
        <f t="shared" si="0"/>
        <v>641.49167999999997</v>
      </c>
      <c r="G11" s="68">
        <f t="shared" si="1"/>
        <v>1603.7292</v>
      </c>
      <c r="H11" s="68"/>
      <c r="I11" s="68"/>
      <c r="J11" s="68"/>
      <c r="K11" s="68"/>
      <c r="L11" s="295">
        <f t="shared" si="2"/>
        <v>42491</v>
      </c>
      <c r="M11">
        <v>189219.01230976376</v>
      </c>
      <c r="N11">
        <v>19051.077690236245</v>
      </c>
    </row>
    <row r="12" spans="1:17">
      <c r="B12" s="278">
        <v>42538</v>
      </c>
      <c r="C12" s="279">
        <v>117903.35</v>
      </c>
      <c r="D12" s="279">
        <v>313098.15999999997</v>
      </c>
      <c r="E12" s="279">
        <f t="shared" si="3"/>
        <v>169626.34000000003</v>
      </c>
      <c r="F12" s="68">
        <f t="shared" si="0"/>
        <v>353.71005000000002</v>
      </c>
      <c r="G12" s="68">
        <f t="shared" si="1"/>
        <v>884.275125</v>
      </c>
      <c r="H12" s="68"/>
      <c r="I12" s="68"/>
      <c r="J12" s="68"/>
      <c r="K12" s="157"/>
      <c r="L12" s="295">
        <f t="shared" si="2"/>
        <v>42538</v>
      </c>
      <c r="M12" s="158">
        <v>287399.32151862647</v>
      </c>
      <c r="N12">
        <v>25698.838481373539</v>
      </c>
    </row>
    <row r="13" spans="1:17">
      <c r="B13" s="278">
        <v>42568</v>
      </c>
      <c r="C13" s="280">
        <v>97329.07</v>
      </c>
      <c r="D13" s="280">
        <v>217902.87</v>
      </c>
      <c r="E13" s="279">
        <f t="shared" si="3"/>
        <v>49052.540000000037</v>
      </c>
      <c r="F13" s="68">
        <f t="shared" si="0"/>
        <v>291.98721</v>
      </c>
      <c r="G13" s="68">
        <f t="shared" si="1"/>
        <v>729.96802500000001</v>
      </c>
      <c r="H13" s="68"/>
      <c r="I13" s="69"/>
      <c r="J13" s="68"/>
      <c r="K13" s="157"/>
      <c r="L13" s="295">
        <f t="shared" si="2"/>
        <v>42568</v>
      </c>
      <c r="M13" s="158">
        <v>189122.60102897853</v>
      </c>
      <c r="N13">
        <v>28780.268971021447</v>
      </c>
    </row>
    <row r="14" spans="1:17">
      <c r="B14" s="278">
        <v>42583</v>
      </c>
      <c r="C14" s="279">
        <v>92437.87</v>
      </c>
      <c r="D14" s="279">
        <v>341931.99</v>
      </c>
      <c r="E14" s="279">
        <f t="shared" si="3"/>
        <v>-200441.57999999996</v>
      </c>
      <c r="F14" s="68">
        <f t="shared" si="0"/>
        <v>277.31360999999998</v>
      </c>
      <c r="G14" s="68">
        <f t="shared" si="1"/>
        <v>693.28402499999993</v>
      </c>
      <c r="H14" s="68"/>
      <c r="I14" s="68"/>
      <c r="J14" s="68"/>
      <c r="K14" s="157"/>
      <c r="L14" s="295">
        <f t="shared" si="2"/>
        <v>42583</v>
      </c>
      <c r="M14" s="158">
        <v>324963.9004407741</v>
      </c>
      <c r="N14">
        <v>16968.089559225831</v>
      </c>
    </row>
    <row r="15" spans="1:17">
      <c r="B15" s="278">
        <v>42614</v>
      </c>
      <c r="C15" s="279">
        <v>96871.19</v>
      </c>
      <c r="D15" s="279">
        <v>250578.6</v>
      </c>
      <c r="E15" s="279">
        <f t="shared" si="3"/>
        <v>-354148.99</v>
      </c>
      <c r="F15" s="68">
        <f t="shared" si="0"/>
        <v>290.61357000000004</v>
      </c>
      <c r="G15" s="68">
        <f t="shared" si="1"/>
        <v>726.53392499999995</v>
      </c>
      <c r="H15" s="68"/>
      <c r="I15" s="68"/>
      <c r="J15" s="68"/>
      <c r="K15" s="157"/>
      <c r="L15" s="295">
        <f t="shared" si="2"/>
        <v>42614</v>
      </c>
      <c r="M15" s="158">
        <v>266819.6675629557</v>
      </c>
      <c r="N15">
        <v>-16241.067562955726</v>
      </c>
    </row>
    <row r="16" spans="1:17">
      <c r="A16" s="70"/>
      <c r="B16" s="278">
        <v>42644</v>
      </c>
      <c r="C16" s="279">
        <v>123869.16</v>
      </c>
      <c r="D16" s="279">
        <v>184051.02</v>
      </c>
      <c r="E16" s="279">
        <f t="shared" si="3"/>
        <v>-414330.85</v>
      </c>
      <c r="F16" s="68">
        <f t="shared" si="0"/>
        <v>371.60748000000001</v>
      </c>
      <c r="G16" s="68">
        <f t="shared" si="1"/>
        <v>929.01869999999997</v>
      </c>
      <c r="H16" s="68"/>
      <c r="I16" s="68"/>
      <c r="J16" s="68"/>
      <c r="K16" s="66"/>
      <c r="L16" s="295">
        <f t="shared" si="2"/>
        <v>42644</v>
      </c>
      <c r="M16" s="66">
        <v>154388.06981910052</v>
      </c>
      <c r="N16">
        <v>29662.950180899512</v>
      </c>
    </row>
    <row r="17" spans="1:17">
      <c r="A17" s="70"/>
      <c r="B17" s="278">
        <v>42675</v>
      </c>
      <c r="C17" s="279">
        <v>238339.64</v>
      </c>
      <c r="D17" s="279">
        <v>241613.66</v>
      </c>
      <c r="E17" s="279">
        <f t="shared" si="3"/>
        <v>-417604.87</v>
      </c>
      <c r="F17" s="68">
        <f t="shared" si="0"/>
        <v>715.01892000000009</v>
      </c>
      <c r="G17" s="68">
        <f t="shared" si="1"/>
        <v>1787.5473</v>
      </c>
      <c r="H17" s="68"/>
      <c r="I17" s="231"/>
      <c r="J17" s="231"/>
      <c r="K17" s="231"/>
      <c r="L17" s="295">
        <f t="shared" si="2"/>
        <v>42675</v>
      </c>
      <c r="M17" s="66">
        <v>224593.3494534762</v>
      </c>
      <c r="N17">
        <v>17020.310546523786</v>
      </c>
    </row>
    <row r="18" spans="1:17">
      <c r="A18" s="70"/>
      <c r="B18" s="278">
        <v>42705</v>
      </c>
      <c r="C18" s="279">
        <v>360415.26</v>
      </c>
      <c r="D18" s="279">
        <v>280887.78000000003</v>
      </c>
      <c r="E18" s="279">
        <f t="shared" si="3"/>
        <v>-338077.39</v>
      </c>
      <c r="F18" s="68">
        <f t="shared" si="0"/>
        <v>1081.24578</v>
      </c>
      <c r="G18" s="68">
        <f t="shared" si="1"/>
        <v>2703.11445</v>
      </c>
      <c r="H18" s="68"/>
      <c r="I18" s="68"/>
      <c r="J18" s="68"/>
      <c r="L18" s="295">
        <f t="shared" si="2"/>
        <v>42705</v>
      </c>
      <c r="M18">
        <v>257957.03131989221</v>
      </c>
      <c r="N18">
        <v>22930.73868010777</v>
      </c>
    </row>
    <row r="19" spans="1:17">
      <c r="A19" s="70"/>
      <c r="B19" s="278">
        <v>42736</v>
      </c>
      <c r="C19" s="279">
        <v>446549.8</v>
      </c>
      <c r="D19" s="279">
        <v>241588.75</v>
      </c>
      <c r="E19" s="279">
        <f t="shared" si="3"/>
        <v>-133116.34000000003</v>
      </c>
      <c r="F19" s="68">
        <f t="shared" si="0"/>
        <v>1339.6494</v>
      </c>
      <c r="G19" s="68">
        <f t="shared" si="1"/>
        <v>3349.1234999999997</v>
      </c>
      <c r="H19" s="68"/>
      <c r="I19" s="68"/>
      <c r="J19" s="68"/>
      <c r="L19" s="295">
        <f t="shared" si="2"/>
        <v>42736</v>
      </c>
      <c r="M19">
        <v>226534.16940608333</v>
      </c>
      <c r="N19">
        <v>15054.580593916669</v>
      </c>
    </row>
    <row r="20" spans="1:17">
      <c r="A20" s="70"/>
      <c r="B20" s="278">
        <v>42767</v>
      </c>
      <c r="C20" s="279">
        <v>490176.58</v>
      </c>
      <c r="D20" s="279">
        <v>211993.73</v>
      </c>
      <c r="E20" s="279">
        <f t="shared" si="3"/>
        <v>145066.50999999998</v>
      </c>
      <c r="F20" s="68">
        <f t="shared" si="0"/>
        <v>1470.5297400000002</v>
      </c>
      <c r="G20" s="68">
        <f t="shared" si="1"/>
        <v>3676.3243499999999</v>
      </c>
      <c r="H20" s="68"/>
      <c r="I20" s="68"/>
      <c r="J20" s="68"/>
      <c r="L20" s="295">
        <f t="shared" si="2"/>
        <v>42767</v>
      </c>
      <c r="M20">
        <v>191460.69918926933</v>
      </c>
      <c r="N20">
        <v>20533.030810730641</v>
      </c>
    </row>
    <row r="21" spans="1:17">
      <c r="A21" s="70"/>
      <c r="B21" s="278">
        <v>42811</v>
      </c>
      <c r="C21" s="279">
        <v>481436.94</v>
      </c>
      <c r="D21" s="279">
        <v>234826.3</v>
      </c>
      <c r="E21" s="279">
        <f t="shared" si="3"/>
        <v>391677.14999999997</v>
      </c>
      <c r="F21" s="68">
        <f t="shared" si="0"/>
        <v>1444.3108200000001</v>
      </c>
      <c r="G21" s="68">
        <f t="shared" si="1"/>
        <v>3610.7770499999997</v>
      </c>
      <c r="H21" s="68"/>
      <c r="I21" s="68"/>
      <c r="J21" s="68"/>
      <c r="L21" s="295">
        <f t="shared" si="2"/>
        <v>42811</v>
      </c>
      <c r="M21">
        <v>207343.47307325527</v>
      </c>
      <c r="N21">
        <v>27482.826926744729</v>
      </c>
    </row>
    <row r="22" spans="1:17">
      <c r="A22" s="70"/>
      <c r="B22" s="278">
        <v>42826</v>
      </c>
      <c r="C22" s="279">
        <v>378373.85</v>
      </c>
      <c r="D22" s="279">
        <v>222212.41</v>
      </c>
      <c r="E22" s="279">
        <f t="shared" si="3"/>
        <v>547838.59</v>
      </c>
      <c r="F22" s="68">
        <f t="shared" ref="F22:F48" si="4">C22*0.003</f>
        <v>1135.1215499999998</v>
      </c>
      <c r="G22" s="68">
        <f t="shared" si="1"/>
        <v>2837.8038749999996</v>
      </c>
      <c r="H22" s="68"/>
      <c r="I22" s="68"/>
      <c r="J22" s="68"/>
      <c r="L22" s="295">
        <f t="shared" si="2"/>
        <v>42826</v>
      </c>
      <c r="M22">
        <v>199155.87007235267</v>
      </c>
      <c r="N22">
        <v>23056.539927647322</v>
      </c>
    </row>
    <row r="23" spans="1:17">
      <c r="A23" s="70"/>
      <c r="B23" s="278">
        <v>42856</v>
      </c>
      <c r="C23" s="279">
        <v>207105.02</v>
      </c>
      <c r="D23" s="279">
        <v>167940.82</v>
      </c>
      <c r="E23" s="279">
        <f t="shared" si="3"/>
        <v>587002.79</v>
      </c>
      <c r="F23" s="68">
        <f t="shared" si="4"/>
        <v>621.31506000000002</v>
      </c>
      <c r="G23" s="68">
        <f t="shared" si="1"/>
        <v>1553.2876499999998</v>
      </c>
      <c r="H23" s="68"/>
      <c r="I23" s="68"/>
      <c r="J23" s="68"/>
      <c r="L23" s="295">
        <f t="shared" si="2"/>
        <v>42856</v>
      </c>
      <c r="M23">
        <v>149032.66528986779</v>
      </c>
      <c r="N23">
        <v>18908.154710132225</v>
      </c>
    </row>
    <row r="24" spans="1:17">
      <c r="A24" s="70"/>
      <c r="B24" s="278">
        <v>42903</v>
      </c>
      <c r="C24" s="279">
        <v>146595.81</v>
      </c>
      <c r="D24" s="279">
        <v>267165.12</v>
      </c>
      <c r="E24" s="279">
        <f t="shared" si="3"/>
        <v>466433.4800000001</v>
      </c>
      <c r="F24" s="68">
        <f t="shared" si="4"/>
        <v>439.78743000000003</v>
      </c>
      <c r="G24" s="68">
        <f t="shared" si="1"/>
        <v>1099.4685749999999</v>
      </c>
      <c r="H24" s="68"/>
      <c r="I24" s="68"/>
      <c r="J24" s="68"/>
      <c r="L24" s="295">
        <f t="shared" si="2"/>
        <v>42903</v>
      </c>
      <c r="M24">
        <v>238914.83744084145</v>
      </c>
      <c r="N24">
        <v>28250.28255915855</v>
      </c>
    </row>
    <row r="25" spans="1:17">
      <c r="A25" s="70"/>
      <c r="B25" s="278">
        <v>42933</v>
      </c>
      <c r="C25" s="279">
        <v>113029.67</v>
      </c>
      <c r="D25" s="279">
        <v>223539.21</v>
      </c>
      <c r="E25" s="279">
        <f t="shared" si="3"/>
        <v>355923.94000000018</v>
      </c>
      <c r="F25" s="68">
        <f t="shared" si="4"/>
        <v>339.08901000000003</v>
      </c>
      <c r="G25" s="68">
        <f t="shared" si="1"/>
        <v>847.72252499999991</v>
      </c>
      <c r="H25" s="68"/>
      <c r="I25" s="68"/>
      <c r="J25" s="68"/>
      <c r="K25" s="33"/>
      <c r="L25" s="295">
        <f t="shared" si="2"/>
        <v>42933</v>
      </c>
      <c r="M25">
        <v>194531.71477679361</v>
      </c>
      <c r="N25">
        <v>29007.49522320637</v>
      </c>
    </row>
    <row r="26" spans="1:17">
      <c r="A26" s="70"/>
      <c r="B26" s="278">
        <v>42948</v>
      </c>
      <c r="C26" s="279">
        <v>111184.65</v>
      </c>
      <c r="D26" s="279">
        <v>318138.37</v>
      </c>
      <c r="E26" s="279">
        <f t="shared" si="3"/>
        <v>148970.2200000002</v>
      </c>
      <c r="F26" s="68">
        <f t="shared" si="4"/>
        <v>333.55394999999999</v>
      </c>
      <c r="G26" s="68">
        <f t="shared" si="1"/>
        <v>833.88487499999997</v>
      </c>
      <c r="H26" s="68"/>
      <c r="I26" s="68"/>
      <c r="J26" s="68"/>
      <c r="L26" s="295">
        <f t="shared" si="2"/>
        <v>42948</v>
      </c>
      <c r="M26">
        <v>289133.47730585316</v>
      </c>
      <c r="N26">
        <v>29004.892694146823</v>
      </c>
    </row>
    <row r="27" spans="1:17">
      <c r="A27" s="70"/>
      <c r="B27" s="278">
        <v>42979</v>
      </c>
      <c r="C27" s="279">
        <v>119190.61</v>
      </c>
      <c r="D27" s="279">
        <v>249519.31</v>
      </c>
      <c r="E27" s="279">
        <f t="shared" si="3"/>
        <v>18641.520000000193</v>
      </c>
      <c r="F27" s="68">
        <f t="shared" si="4"/>
        <v>357.57183000000003</v>
      </c>
      <c r="G27" s="68">
        <f t="shared" si="1"/>
        <v>893.929575</v>
      </c>
      <c r="H27" s="68"/>
      <c r="I27" s="68"/>
      <c r="J27" s="68"/>
      <c r="L27" s="295">
        <f t="shared" si="2"/>
        <v>42979</v>
      </c>
      <c r="M27">
        <v>231084.26637774496</v>
      </c>
      <c r="N27">
        <v>18435.043622255049</v>
      </c>
    </row>
    <row r="28" spans="1:17">
      <c r="A28" s="70"/>
      <c r="B28" s="278">
        <v>43009</v>
      </c>
      <c r="C28" s="279">
        <v>125685.35</v>
      </c>
      <c r="D28" s="279">
        <v>234793.83000000005</v>
      </c>
      <c r="E28" s="279">
        <f t="shared" si="3"/>
        <v>-90466.959999999846</v>
      </c>
      <c r="F28" s="68">
        <f t="shared" si="4"/>
        <v>377.05605000000003</v>
      </c>
      <c r="G28" s="68">
        <f t="shared" si="1"/>
        <v>942.64012500000001</v>
      </c>
      <c r="H28" s="68"/>
      <c r="I28" s="68"/>
      <c r="J28" s="68"/>
      <c r="L28" s="295">
        <f t="shared" si="2"/>
        <v>43009</v>
      </c>
      <c r="M28">
        <v>212342.86848651295</v>
      </c>
      <c r="N28">
        <v>22450.961513487091</v>
      </c>
    </row>
    <row r="29" spans="1:17">
      <c r="A29" s="70"/>
      <c r="B29" s="278">
        <v>43040</v>
      </c>
      <c r="C29" s="279">
        <v>225590.64</v>
      </c>
      <c r="D29" s="279">
        <v>271726.94999999995</v>
      </c>
      <c r="E29" s="279">
        <f t="shared" si="3"/>
        <v>-136603.26999999979</v>
      </c>
      <c r="F29" s="68">
        <f t="shared" si="4"/>
        <v>676.77192000000002</v>
      </c>
      <c r="G29" s="68">
        <f t="shared" si="1"/>
        <v>1691.9298000000001</v>
      </c>
      <c r="H29" s="68"/>
      <c r="I29" s="68"/>
      <c r="J29" s="68"/>
      <c r="L29" s="295">
        <f t="shared" si="2"/>
        <v>43040</v>
      </c>
      <c r="M29">
        <v>244775.42961835742</v>
      </c>
      <c r="N29">
        <v>26951.520381642549</v>
      </c>
    </row>
    <row r="30" spans="1:17" ht="15" thickBot="1">
      <c r="A30" s="70"/>
      <c r="B30" s="278">
        <v>43070</v>
      </c>
      <c r="C30" s="279">
        <v>431916.35</v>
      </c>
      <c r="D30" s="279">
        <v>246954.56</v>
      </c>
      <c r="E30" s="279">
        <f t="shared" si="3"/>
        <v>48358.520000000193</v>
      </c>
      <c r="F30" s="68">
        <f t="shared" si="4"/>
        <v>1295.7490499999999</v>
      </c>
      <c r="G30" s="68">
        <f t="shared" si="1"/>
        <v>3239.3726249999995</v>
      </c>
      <c r="H30" s="68"/>
      <c r="I30" s="68"/>
      <c r="J30" s="68"/>
      <c r="L30" s="295">
        <f t="shared" si="2"/>
        <v>43070</v>
      </c>
      <c r="M30">
        <v>228709.59605047622</v>
      </c>
      <c r="N30">
        <v>18244.963949523772</v>
      </c>
    </row>
    <row r="31" spans="1:17">
      <c r="A31" s="70"/>
      <c r="B31" s="281">
        <v>43101</v>
      </c>
      <c r="C31" s="282">
        <f>P31</f>
        <v>675290.08</v>
      </c>
      <c r="D31" s="282">
        <f>M31+N31</f>
        <v>251949.52</v>
      </c>
      <c r="E31" s="283">
        <f t="shared" si="3"/>
        <v>471699.08000000007</v>
      </c>
      <c r="F31" s="68">
        <f t="shared" si="4"/>
        <v>2025.87024</v>
      </c>
      <c r="G31" s="68">
        <f t="shared" si="1"/>
        <v>5064.6755999999996</v>
      </c>
      <c r="H31" s="68"/>
      <c r="I31" s="68"/>
      <c r="J31" s="68"/>
      <c r="L31" s="295">
        <f t="shared" si="2"/>
        <v>43101</v>
      </c>
      <c r="M31" s="298">
        <v>227653.19314916994</v>
      </c>
      <c r="N31" s="298">
        <v>24296.326850830057</v>
      </c>
      <c r="O31" s="298">
        <v>0</v>
      </c>
      <c r="P31" s="297">
        <v>675290.08</v>
      </c>
      <c r="Q31" s="297">
        <v>549579.59672305512</v>
      </c>
    </row>
    <row r="32" spans="1:17">
      <c r="A32" s="70"/>
      <c r="B32" s="284">
        <v>43132</v>
      </c>
      <c r="C32" s="285">
        <f t="shared" ref="C32:C62" si="5">P32</f>
        <v>549836.54280000005</v>
      </c>
      <c r="D32" s="285">
        <f t="shared" ref="D32:D63" si="6">M32+N32</f>
        <v>198923.05</v>
      </c>
      <c r="E32" s="286">
        <f t="shared" si="3"/>
        <v>822612.5728000002</v>
      </c>
      <c r="F32" s="68">
        <f t="shared" si="4"/>
        <v>1649.5096284000001</v>
      </c>
      <c r="G32" s="68">
        <f t="shared" si="1"/>
        <v>4123.7740709999998</v>
      </c>
      <c r="H32" s="68"/>
      <c r="I32" s="68"/>
      <c r="J32" s="68"/>
      <c r="L32" s="295">
        <f t="shared" si="2"/>
        <v>43132</v>
      </c>
      <c r="M32" s="298">
        <v>185231.46090017364</v>
      </c>
      <c r="N32" s="298">
        <v>13691.589099826357</v>
      </c>
      <c r="O32" s="298">
        <v>0</v>
      </c>
      <c r="P32" s="297">
        <v>549836.54280000005</v>
      </c>
      <c r="Q32" s="297">
        <v>571508.82520979038</v>
      </c>
    </row>
    <row r="33" spans="1:17">
      <c r="A33" s="70"/>
      <c r="B33" s="284">
        <v>43163</v>
      </c>
      <c r="C33" s="285">
        <f t="shared" si="5"/>
        <v>430463.79439999996</v>
      </c>
      <c r="D33" s="285">
        <f t="shared" si="6"/>
        <v>211167.38999999996</v>
      </c>
      <c r="E33" s="286">
        <f t="shared" si="3"/>
        <v>1041908.9772000003</v>
      </c>
      <c r="F33" s="68">
        <f t="shared" si="4"/>
        <v>1291.3913831999998</v>
      </c>
      <c r="G33" s="68">
        <f t="shared" si="1"/>
        <v>3228.4784579999996</v>
      </c>
      <c r="H33" s="68"/>
      <c r="I33" s="68"/>
      <c r="J33" s="68"/>
      <c r="L33" s="295">
        <f t="shared" si="2"/>
        <v>43163</v>
      </c>
      <c r="M33" s="298">
        <v>193339.51452675712</v>
      </c>
      <c r="N33" s="298">
        <v>17827.87547324285</v>
      </c>
      <c r="O33" s="298">
        <v>0</v>
      </c>
      <c r="P33" s="297">
        <v>430463.79439999996</v>
      </c>
      <c r="Q33" s="297">
        <v>508208.68256223161</v>
      </c>
    </row>
    <row r="34" spans="1:17">
      <c r="A34" s="70"/>
      <c r="B34" s="284">
        <v>43194</v>
      </c>
      <c r="C34" s="285">
        <f t="shared" si="5"/>
        <v>414893.27290000004</v>
      </c>
      <c r="D34" s="285">
        <f t="shared" si="6"/>
        <v>180068.08</v>
      </c>
      <c r="E34" s="286">
        <f t="shared" si="3"/>
        <v>1276734.1701000002</v>
      </c>
      <c r="F34" s="68">
        <f t="shared" si="4"/>
        <v>1244.6798187000002</v>
      </c>
      <c r="G34" s="68">
        <f t="shared" si="1"/>
        <v>3111.6995467500001</v>
      </c>
      <c r="H34" s="68"/>
      <c r="I34" s="68"/>
      <c r="J34" s="68"/>
      <c r="L34" s="295">
        <f t="shared" si="2"/>
        <v>43194</v>
      </c>
      <c r="M34" s="298">
        <v>161938.34818770972</v>
      </c>
      <c r="N34" s="298">
        <v>18129.731812290276</v>
      </c>
      <c r="O34" s="298">
        <v>0</v>
      </c>
      <c r="P34" s="297">
        <v>414893.27290000004</v>
      </c>
      <c r="Q34" s="297">
        <v>377301.31550219236</v>
      </c>
    </row>
    <row r="35" spans="1:17">
      <c r="A35" s="70"/>
      <c r="B35" s="284">
        <v>43225</v>
      </c>
      <c r="C35" s="285">
        <f t="shared" si="5"/>
        <v>243616.45740000001</v>
      </c>
      <c r="D35" s="285">
        <f t="shared" si="6"/>
        <v>225683.73</v>
      </c>
      <c r="E35" s="286">
        <f t="shared" si="3"/>
        <v>1294666.8975000002</v>
      </c>
      <c r="F35" s="68">
        <f t="shared" si="4"/>
        <v>730.84937220000006</v>
      </c>
      <c r="G35" s="68">
        <f t="shared" si="1"/>
        <v>1827.1234305</v>
      </c>
      <c r="H35" s="68"/>
      <c r="I35" s="68"/>
      <c r="J35" s="68"/>
      <c r="L35" s="295">
        <f t="shared" si="2"/>
        <v>43225</v>
      </c>
      <c r="M35" s="298">
        <v>198603.29397742148</v>
      </c>
      <c r="N35" s="298">
        <v>27080.436022578535</v>
      </c>
      <c r="O35" s="298">
        <v>0</v>
      </c>
      <c r="P35" s="297">
        <v>243616.45740000001</v>
      </c>
      <c r="Q35" s="297">
        <v>221403.81220047982</v>
      </c>
    </row>
    <row r="36" spans="1:17">
      <c r="A36" s="70"/>
      <c r="B36" s="284">
        <v>43256</v>
      </c>
      <c r="C36" s="285">
        <f t="shared" si="5"/>
        <v>133680.4639</v>
      </c>
      <c r="D36" s="285">
        <f t="shared" si="6"/>
        <v>220164.01000000004</v>
      </c>
      <c r="E36" s="286">
        <f t="shared" si="3"/>
        <v>1208183.3514000003</v>
      </c>
      <c r="F36" s="68">
        <f t="shared" si="4"/>
        <v>401.04139170000002</v>
      </c>
      <c r="G36" s="68">
        <f t="shared" si="1"/>
        <v>1002.60347925</v>
      </c>
      <c r="H36" s="68"/>
      <c r="I36" s="68"/>
      <c r="J36" s="68"/>
      <c r="L36" s="295">
        <f t="shared" si="2"/>
        <v>43256</v>
      </c>
      <c r="M36" s="298">
        <v>200692.2766712986</v>
      </c>
      <c r="N36" s="298">
        <v>19471.733328701426</v>
      </c>
      <c r="O36" s="298">
        <v>0</v>
      </c>
      <c r="P36" s="297">
        <v>133680.4639</v>
      </c>
      <c r="Q36" s="297">
        <v>135303.0933966407</v>
      </c>
    </row>
    <row r="37" spans="1:17">
      <c r="A37" s="70"/>
      <c r="B37" s="284">
        <v>43287</v>
      </c>
      <c r="C37" s="285">
        <f t="shared" si="5"/>
        <v>110437.70130000002</v>
      </c>
      <c r="D37" s="285">
        <f t="shared" si="6"/>
        <v>137158.77000000002</v>
      </c>
      <c r="E37" s="286">
        <f t="shared" si="3"/>
        <v>1181462.2827000003</v>
      </c>
      <c r="F37" s="68">
        <f t="shared" si="4"/>
        <v>331.31310390000004</v>
      </c>
      <c r="G37" s="68">
        <f t="shared" si="1"/>
        <v>828.28275975000008</v>
      </c>
      <c r="H37" s="68"/>
      <c r="I37" s="68"/>
      <c r="J37" s="68"/>
      <c r="L37" s="295">
        <f t="shared" si="2"/>
        <v>43287</v>
      </c>
      <c r="M37" s="298">
        <v>128852.8798748602</v>
      </c>
      <c r="N37" s="298">
        <v>8305.8901251398056</v>
      </c>
      <c r="O37" s="298">
        <v>0</v>
      </c>
      <c r="P37" s="297">
        <v>110437.70130000002</v>
      </c>
      <c r="Q37" s="297">
        <v>111600.15036866891</v>
      </c>
    </row>
    <row r="38" spans="1:17">
      <c r="A38" s="70"/>
      <c r="B38" s="284">
        <v>43313</v>
      </c>
      <c r="C38" s="285">
        <f t="shared" si="5"/>
        <v>107011.49789999999</v>
      </c>
      <c r="D38" s="285">
        <f t="shared" si="6"/>
        <v>327512.39</v>
      </c>
      <c r="E38" s="286">
        <f t="shared" si="3"/>
        <v>960961.39060000039</v>
      </c>
      <c r="F38" s="68">
        <f t="shared" si="4"/>
        <v>321.03449369999998</v>
      </c>
      <c r="G38" s="68">
        <f t="shared" si="1"/>
        <v>802.58623424999985</v>
      </c>
      <c r="H38" s="68"/>
      <c r="L38" s="295">
        <f t="shared" si="2"/>
        <v>43313</v>
      </c>
      <c r="M38" s="298">
        <v>287861.58640193148</v>
      </c>
      <c r="N38" s="298">
        <v>39650.803598068516</v>
      </c>
      <c r="O38" s="298">
        <v>0</v>
      </c>
      <c r="P38" s="297">
        <v>107011.49789999999</v>
      </c>
      <c r="Q38" s="297">
        <v>108658.86025848656</v>
      </c>
    </row>
    <row r="39" spans="1:17">
      <c r="A39" s="70"/>
      <c r="B39" s="284">
        <v>43344</v>
      </c>
      <c r="C39" s="285">
        <f t="shared" si="5"/>
        <v>112279.22549999999</v>
      </c>
      <c r="D39" s="285">
        <f t="shared" si="6"/>
        <v>290918.3</v>
      </c>
      <c r="E39" s="286">
        <f t="shared" si="3"/>
        <v>782322.3161000004</v>
      </c>
      <c r="F39" s="68">
        <f t="shared" si="4"/>
        <v>336.83767649999999</v>
      </c>
      <c r="G39" s="68">
        <f t="shared" si="1"/>
        <v>842.09419124999988</v>
      </c>
      <c r="H39" s="68"/>
      <c r="L39" s="295">
        <f t="shared" si="2"/>
        <v>43344</v>
      </c>
      <c r="M39" s="298">
        <v>264141.84780474287</v>
      </c>
      <c r="N39" s="298">
        <v>26776.452195257116</v>
      </c>
      <c r="O39" s="298">
        <v>0</v>
      </c>
      <c r="P39" s="297">
        <v>112279.22549999999</v>
      </c>
      <c r="Q39" s="297">
        <v>116152.90897127814</v>
      </c>
    </row>
    <row r="40" spans="1:17">
      <c r="A40" s="70"/>
      <c r="B40" s="284">
        <v>43374</v>
      </c>
      <c r="C40" s="285">
        <f t="shared" si="5"/>
        <v>155670.76860000001</v>
      </c>
      <c r="D40" s="285">
        <f t="shared" si="6"/>
        <v>307089.49999999994</v>
      </c>
      <c r="E40" s="286">
        <f t="shared" si="3"/>
        <v>630903.58470000047</v>
      </c>
      <c r="F40" s="68">
        <f t="shared" si="4"/>
        <v>467.01230580000004</v>
      </c>
      <c r="G40" s="68">
        <f t="shared" si="1"/>
        <v>1167.5307645</v>
      </c>
      <c r="H40" s="68"/>
      <c r="L40" s="295">
        <f t="shared" si="2"/>
        <v>43374</v>
      </c>
      <c r="M40" s="298">
        <v>288263.83333807898</v>
      </c>
      <c r="N40" s="298">
        <v>18825.666661920983</v>
      </c>
      <c r="O40" s="298">
        <v>0</v>
      </c>
      <c r="P40" s="297">
        <v>155670.76860000001</v>
      </c>
      <c r="Q40" s="297">
        <v>155617.6765816547</v>
      </c>
    </row>
    <row r="41" spans="1:17">
      <c r="A41" s="70"/>
      <c r="B41" s="284">
        <v>43405</v>
      </c>
      <c r="C41" s="285">
        <f t="shared" si="5"/>
        <v>337830.02739999996</v>
      </c>
      <c r="D41" s="285">
        <f t="shared" si="6"/>
        <v>244986.09999999998</v>
      </c>
      <c r="E41" s="286">
        <f t="shared" si="3"/>
        <v>723747.51210000052</v>
      </c>
      <c r="F41" s="68">
        <f t="shared" si="4"/>
        <v>1013.4900822</v>
      </c>
      <c r="G41" s="68">
        <f t="shared" si="1"/>
        <v>2533.7252054999994</v>
      </c>
      <c r="H41" s="68"/>
      <c r="I41" s="157"/>
      <c r="J41" s="157"/>
      <c r="L41" s="295">
        <f t="shared" si="2"/>
        <v>43405</v>
      </c>
      <c r="M41" s="298">
        <v>228467.03109323105</v>
      </c>
      <c r="N41" s="298">
        <v>16519.068906768916</v>
      </c>
      <c r="O41" s="298">
        <v>0</v>
      </c>
      <c r="P41" s="297">
        <v>337830.02739999996</v>
      </c>
      <c r="Q41" s="297">
        <v>270000.50427440146</v>
      </c>
    </row>
    <row r="42" spans="1:17">
      <c r="A42" s="70"/>
      <c r="B42" s="284">
        <v>43435</v>
      </c>
      <c r="C42" s="285">
        <f t="shared" si="5"/>
        <v>469558.28159999999</v>
      </c>
      <c r="D42" s="285">
        <f t="shared" si="6"/>
        <v>324152.83999999997</v>
      </c>
      <c r="E42" s="286">
        <f t="shared" si="3"/>
        <v>869152.95370000054</v>
      </c>
      <c r="F42" s="68">
        <f t="shared" si="4"/>
        <v>1408.6748448000001</v>
      </c>
      <c r="G42" s="68">
        <f t="shared" si="1"/>
        <v>3521.6871119999996</v>
      </c>
      <c r="H42" s="68"/>
      <c r="I42" s="157"/>
      <c r="J42" s="157"/>
      <c r="L42" s="295">
        <f t="shared" si="2"/>
        <v>43435</v>
      </c>
      <c r="M42" s="298">
        <v>308725.14397137531</v>
      </c>
      <c r="N42" s="298">
        <v>15427.696028624654</v>
      </c>
      <c r="O42" s="298">
        <v>0</v>
      </c>
      <c r="P42" s="297">
        <v>469558.28159999999</v>
      </c>
      <c r="Q42" s="297">
        <v>414729.46342683351</v>
      </c>
    </row>
    <row r="43" spans="1:17" ht="14.5" customHeight="1">
      <c r="B43" s="284">
        <v>43467</v>
      </c>
      <c r="C43" s="285">
        <f t="shared" si="5"/>
        <v>564085.72839999991</v>
      </c>
      <c r="D43" s="285">
        <f t="shared" si="6"/>
        <v>240706.63</v>
      </c>
      <c r="E43" s="286">
        <f t="shared" si="3"/>
        <v>1192532.0521000004</v>
      </c>
      <c r="F43" s="68">
        <f t="shared" si="4"/>
        <v>1692.2571851999996</v>
      </c>
      <c r="G43" s="68">
        <f t="shared" si="1"/>
        <v>4230.6429629999993</v>
      </c>
      <c r="H43" s="68"/>
      <c r="I43" s="169"/>
      <c r="J43" s="66"/>
      <c r="L43" s="295">
        <f t="shared" si="2"/>
        <v>43467</v>
      </c>
      <c r="M43" s="298">
        <v>218765.3645474824</v>
      </c>
      <c r="N43" s="298">
        <v>21941.265452517589</v>
      </c>
      <c r="O43" s="298">
        <v>0</v>
      </c>
      <c r="P43" s="297">
        <v>564085.72839999991</v>
      </c>
      <c r="Q43" s="297">
        <v>527836.38752865314</v>
      </c>
    </row>
    <row r="44" spans="1:17" ht="14.5" customHeight="1">
      <c r="B44" s="284">
        <v>43499</v>
      </c>
      <c r="C44" s="285">
        <f t="shared" si="5"/>
        <v>613344.30309000006</v>
      </c>
      <c r="D44" s="285">
        <f t="shared" si="6"/>
        <v>178985.2</v>
      </c>
      <c r="E44" s="286">
        <f t="shared" si="3"/>
        <v>1626891.1551900005</v>
      </c>
      <c r="F44" s="68">
        <f t="shared" si="4"/>
        <v>1840.0329092700001</v>
      </c>
      <c r="G44" s="68">
        <f t="shared" si="1"/>
        <v>4600.0822731750004</v>
      </c>
      <c r="H44" s="68"/>
      <c r="I44" s="169"/>
      <c r="J44" s="66"/>
      <c r="L44" s="295">
        <f t="shared" si="2"/>
        <v>43499</v>
      </c>
      <c r="M44" s="298">
        <v>165457.67267131386</v>
      </c>
      <c r="N44" s="298">
        <v>13527.527328686136</v>
      </c>
      <c r="O44" s="298">
        <v>0</v>
      </c>
      <c r="P44" s="297">
        <v>613344.30309000006</v>
      </c>
      <c r="Q44" s="297">
        <v>548642.36500385986</v>
      </c>
    </row>
    <row r="45" spans="1:17" ht="14.5" customHeight="1">
      <c r="B45" s="284">
        <v>43528</v>
      </c>
      <c r="C45" s="285">
        <f t="shared" si="5"/>
        <v>485104.07750000001</v>
      </c>
      <c r="D45" s="285">
        <f t="shared" si="6"/>
        <v>228686.84000000003</v>
      </c>
      <c r="E45" s="286">
        <f t="shared" si="3"/>
        <v>1883308.3926900004</v>
      </c>
      <c r="F45" s="68">
        <f t="shared" si="4"/>
        <v>1455.3122325000002</v>
      </c>
      <c r="G45" s="68">
        <f t="shared" si="1"/>
        <v>3638.2805812500001</v>
      </c>
      <c r="H45" s="68"/>
      <c r="I45" s="169"/>
      <c r="J45" s="66"/>
      <c r="L45" s="295">
        <f t="shared" si="2"/>
        <v>43528</v>
      </c>
      <c r="M45" s="298">
        <v>215754.42934523209</v>
      </c>
      <c r="N45" s="298">
        <v>12932.410654767931</v>
      </c>
      <c r="O45" s="298">
        <v>0</v>
      </c>
      <c r="P45" s="297">
        <v>485104.07750000001</v>
      </c>
      <c r="Q45" s="297">
        <v>486002.77478166891</v>
      </c>
    </row>
    <row r="46" spans="1:17" ht="14.5" customHeight="1">
      <c r="B46" s="284">
        <v>43560</v>
      </c>
      <c r="C46" s="285">
        <f t="shared" si="5"/>
        <v>379245.3273</v>
      </c>
      <c r="D46" s="285">
        <f t="shared" si="6"/>
        <v>222436.55999999997</v>
      </c>
      <c r="E46" s="286">
        <f t="shared" si="3"/>
        <v>2040117.1599900001</v>
      </c>
      <c r="F46" s="68">
        <f t="shared" si="4"/>
        <v>1137.7359819000001</v>
      </c>
      <c r="G46" s="68">
        <f t="shared" si="1"/>
        <v>2844.3399547499998</v>
      </c>
      <c r="H46" s="68"/>
      <c r="I46" s="169"/>
      <c r="J46" s="66"/>
      <c r="L46" s="295">
        <f t="shared" si="2"/>
        <v>43560</v>
      </c>
      <c r="M46" s="298">
        <v>199669.57122509796</v>
      </c>
      <c r="N46" s="298">
        <v>22766.988774902024</v>
      </c>
      <c r="O46" s="298">
        <v>0</v>
      </c>
      <c r="P46" s="297">
        <v>379245.3273</v>
      </c>
      <c r="Q46" s="297">
        <v>358005.63924966729</v>
      </c>
    </row>
    <row r="47" spans="1:17" ht="14.5" customHeight="1">
      <c r="B47" s="284">
        <v>43591</v>
      </c>
      <c r="C47" s="285">
        <f t="shared" si="5"/>
        <v>239359.96980000002</v>
      </c>
      <c r="D47" s="285">
        <f t="shared" si="6"/>
        <v>295051.25</v>
      </c>
      <c r="E47" s="286">
        <f t="shared" si="3"/>
        <v>1984425.8797900002</v>
      </c>
      <c r="F47" s="68">
        <f t="shared" si="4"/>
        <v>718.07990940000013</v>
      </c>
      <c r="G47" s="68">
        <f t="shared" si="1"/>
        <v>1795.1997735</v>
      </c>
      <c r="H47" s="68"/>
      <c r="I47" s="169"/>
      <c r="J47" s="66"/>
      <c r="L47" s="295">
        <f t="shared" si="2"/>
        <v>43591</v>
      </c>
      <c r="M47" s="298">
        <v>270388.38826251519</v>
      </c>
      <c r="N47" s="298">
        <v>24662.861737484789</v>
      </c>
      <c r="O47" s="298">
        <v>0</v>
      </c>
      <c r="P47" s="297">
        <v>239359.96980000002</v>
      </c>
      <c r="Q47" s="297">
        <v>207832.06414879407</v>
      </c>
    </row>
    <row r="48" spans="1:17" ht="14.5" customHeight="1">
      <c r="B48" s="284">
        <v>43623</v>
      </c>
      <c r="C48" s="285">
        <f t="shared" si="5"/>
        <v>154838.76450000002</v>
      </c>
      <c r="D48" s="285">
        <f t="shared" si="6"/>
        <v>206258.52</v>
      </c>
      <c r="E48" s="286">
        <f t="shared" si="3"/>
        <v>1933006.1242900002</v>
      </c>
      <c r="F48" s="68">
        <f t="shared" si="4"/>
        <v>464.51629350000007</v>
      </c>
      <c r="G48" s="68">
        <f t="shared" si="1"/>
        <v>1161.2907337500001</v>
      </c>
      <c r="H48" s="68"/>
      <c r="I48" s="169"/>
      <c r="J48" s="66"/>
      <c r="L48" s="295">
        <f t="shared" si="2"/>
        <v>43623</v>
      </c>
      <c r="M48" s="298">
        <v>183894.51357384014</v>
      </c>
      <c r="N48" s="298">
        <v>22364.006426159835</v>
      </c>
      <c r="O48" s="298">
        <v>0</v>
      </c>
      <c r="P48" s="297">
        <v>154838.76450000002</v>
      </c>
      <c r="Q48" s="297">
        <v>135771.32124276608</v>
      </c>
    </row>
    <row r="49" spans="2:17" ht="14.5" customHeight="1">
      <c r="B49" s="284">
        <v>43654</v>
      </c>
      <c r="C49" s="285">
        <f t="shared" si="5"/>
        <v>105663.03129999999</v>
      </c>
      <c r="D49" s="285">
        <f t="shared" si="6"/>
        <v>263761.28999999998</v>
      </c>
      <c r="E49" s="286">
        <f t="shared" si="3"/>
        <v>1774907.8655900001</v>
      </c>
      <c r="F49" s="68">
        <f>C49*0.00525</f>
        <v>554.73091432499996</v>
      </c>
      <c r="G49" s="68">
        <f t="shared" si="1"/>
        <v>792.47273474999986</v>
      </c>
      <c r="H49" s="68"/>
      <c r="I49" s="169"/>
      <c r="J49" s="66"/>
      <c r="L49" s="295">
        <f t="shared" si="2"/>
        <v>43654</v>
      </c>
      <c r="M49" s="298">
        <v>242415.38905961745</v>
      </c>
      <c r="N49" s="298">
        <v>21345.900940382511</v>
      </c>
      <c r="O49" s="298">
        <v>0</v>
      </c>
      <c r="P49" s="297">
        <v>105663.03129999999</v>
      </c>
      <c r="Q49" s="297">
        <v>111706.773632439</v>
      </c>
    </row>
    <row r="50" spans="2:17" ht="14.5" customHeight="1">
      <c r="B50" s="284">
        <v>43686</v>
      </c>
      <c r="C50" s="285">
        <f t="shared" si="5"/>
        <v>107847.2827</v>
      </c>
      <c r="D50" s="285">
        <f t="shared" si="6"/>
        <v>296672.56</v>
      </c>
      <c r="E50" s="286">
        <f t="shared" ref="E50:E66" si="7">E49+C50-D50</f>
        <v>1586082.5882900001</v>
      </c>
      <c r="F50" s="68">
        <f t="shared" ref="F50:F67" si="8">C50*0.00525</f>
        <v>566.19823417500004</v>
      </c>
      <c r="G50" s="68">
        <f t="shared" si="1"/>
        <v>808.85462024999993</v>
      </c>
      <c r="H50" s="68"/>
      <c r="I50" s="169"/>
      <c r="J50" s="66"/>
      <c r="K50" s="33"/>
      <c r="L50" s="295">
        <f t="shared" si="2"/>
        <v>43686</v>
      </c>
      <c r="M50" s="298">
        <v>270168.92901473853</v>
      </c>
      <c r="N50" s="298">
        <v>26503.630985261461</v>
      </c>
      <c r="O50" s="298">
        <v>0</v>
      </c>
      <c r="P50" s="297">
        <v>107847.2827</v>
      </c>
      <c r="Q50" s="297">
        <v>108418.42314398751</v>
      </c>
    </row>
    <row r="51" spans="2:17" ht="14.5" customHeight="1">
      <c r="B51" s="284">
        <v>43717</v>
      </c>
      <c r="C51" s="285">
        <f t="shared" si="5"/>
        <v>109139.22689999998</v>
      </c>
      <c r="D51" s="285">
        <f t="shared" si="6"/>
        <v>227201.8</v>
      </c>
      <c r="E51" s="286">
        <f t="shared" si="7"/>
        <v>1468020.0151899999</v>
      </c>
      <c r="F51" s="68">
        <f t="shared" si="8"/>
        <v>572.98094122499992</v>
      </c>
      <c r="G51" s="68">
        <f t="shared" si="1"/>
        <v>818.54420174999984</v>
      </c>
      <c r="H51" s="68"/>
      <c r="I51" s="169"/>
      <c r="J51" s="66"/>
      <c r="L51" s="295">
        <f t="shared" si="2"/>
        <v>43717</v>
      </c>
      <c r="M51" s="298">
        <v>206190.54548871532</v>
      </c>
      <c r="N51" s="298">
        <v>21011.254511284664</v>
      </c>
      <c r="O51" s="298">
        <v>0</v>
      </c>
      <c r="P51" s="297">
        <v>109139.22689999998</v>
      </c>
      <c r="Q51" s="297">
        <v>115468.024201288</v>
      </c>
    </row>
    <row r="52" spans="2:17" ht="14.5" customHeight="1">
      <c r="B52" s="284">
        <v>43745</v>
      </c>
      <c r="C52" s="285">
        <f t="shared" si="5"/>
        <v>153650.65350000001</v>
      </c>
      <c r="D52" s="285">
        <f t="shared" si="6"/>
        <v>309809.68999999994</v>
      </c>
      <c r="E52" s="286">
        <f t="shared" si="7"/>
        <v>1311860.97869</v>
      </c>
      <c r="F52" s="68">
        <f t="shared" si="8"/>
        <v>806.66593087500007</v>
      </c>
      <c r="G52" s="68">
        <f t="shared" si="1"/>
        <v>1152.3799012500001</v>
      </c>
      <c r="H52" s="68"/>
      <c r="I52" s="169"/>
      <c r="J52" s="66"/>
      <c r="L52" s="295">
        <f t="shared" si="2"/>
        <v>43745</v>
      </c>
      <c r="M52" s="298">
        <v>292636.98184138787</v>
      </c>
      <c r="N52" s="298">
        <v>17172.708158612102</v>
      </c>
      <c r="O52" s="298">
        <v>0</v>
      </c>
      <c r="P52" s="297">
        <v>153650.65350000001</v>
      </c>
      <c r="Q52" s="297">
        <v>141675.82624780742</v>
      </c>
    </row>
    <row r="53" spans="2:17" ht="14.5" customHeight="1">
      <c r="B53" s="284">
        <v>43777</v>
      </c>
      <c r="C53" s="285">
        <f t="shared" si="5"/>
        <v>297951.49859999999</v>
      </c>
      <c r="D53" s="285">
        <f t="shared" si="6"/>
        <v>302235.23</v>
      </c>
      <c r="E53" s="286">
        <f t="shared" si="7"/>
        <v>1307577.2472900001</v>
      </c>
      <c r="F53" s="68">
        <f t="shared" si="8"/>
        <v>1564.2453676500002</v>
      </c>
      <c r="G53" s="68">
        <f t="shared" si="1"/>
        <v>2234.6362394999996</v>
      </c>
      <c r="H53" s="68"/>
      <c r="I53" s="169"/>
      <c r="J53" s="66"/>
      <c r="L53" s="295">
        <f t="shared" si="2"/>
        <v>43777</v>
      </c>
      <c r="M53" s="298">
        <v>277708.07552962971</v>
      </c>
      <c r="N53" s="298">
        <v>24527.154470370275</v>
      </c>
      <c r="O53" s="298">
        <v>0</v>
      </c>
      <c r="P53" s="297">
        <v>297951.49859999999</v>
      </c>
      <c r="Q53" s="297">
        <v>273180.06562469207</v>
      </c>
    </row>
    <row r="54" spans="2:17" ht="14.5" customHeight="1">
      <c r="B54" s="284">
        <v>43808</v>
      </c>
      <c r="C54" s="285">
        <f t="shared" si="5"/>
        <v>438633.19680000003</v>
      </c>
      <c r="D54" s="285">
        <f t="shared" si="6"/>
        <v>250203.96</v>
      </c>
      <c r="E54" s="286">
        <f t="shared" si="7"/>
        <v>1496006.4840900002</v>
      </c>
      <c r="F54" s="68">
        <f t="shared" si="8"/>
        <v>2302.8242832000005</v>
      </c>
      <c r="G54" s="68">
        <f t="shared" si="1"/>
        <v>3289.7489760000003</v>
      </c>
      <c r="H54" s="68"/>
      <c r="I54" s="169"/>
      <c r="J54" s="66"/>
      <c r="L54" s="295">
        <f t="shared" si="2"/>
        <v>43808</v>
      </c>
      <c r="M54" s="298">
        <v>228333.36106392145</v>
      </c>
      <c r="N54" s="298">
        <v>21870.598936078553</v>
      </c>
      <c r="O54" s="298">
        <v>0</v>
      </c>
      <c r="P54" s="297">
        <v>438633.19680000003</v>
      </c>
      <c r="Q54" s="297">
        <v>412990.30709521024</v>
      </c>
    </row>
    <row r="55" spans="2:17" ht="14.5" customHeight="1">
      <c r="B55" s="284">
        <v>43839</v>
      </c>
      <c r="C55" s="285">
        <f t="shared" si="5"/>
        <v>512134.77120000002</v>
      </c>
      <c r="D55" s="285">
        <f t="shared" si="6"/>
        <v>368977.50000000006</v>
      </c>
      <c r="E55" s="286">
        <f t="shared" si="7"/>
        <v>1639163.7552900002</v>
      </c>
      <c r="F55" s="68">
        <f t="shared" si="8"/>
        <v>2688.7075488</v>
      </c>
      <c r="G55" s="68">
        <f t="shared" si="1"/>
        <v>3841.0107840000001</v>
      </c>
      <c r="H55" s="68"/>
      <c r="I55" s="169"/>
      <c r="J55" s="66"/>
      <c r="L55" s="295">
        <f t="shared" si="2"/>
        <v>43839</v>
      </c>
      <c r="M55" s="298">
        <v>351340.16655859852</v>
      </c>
      <c r="N55" s="298">
        <v>17637.333441401537</v>
      </c>
      <c r="O55" s="298">
        <v>0</v>
      </c>
      <c r="P55" s="297">
        <v>512134.77120000002</v>
      </c>
      <c r="Q55" s="297">
        <v>522130.36629963713</v>
      </c>
    </row>
    <row r="56" spans="2:17" ht="14.5" customHeight="1">
      <c r="B56" s="284">
        <v>43862</v>
      </c>
      <c r="C56" s="285">
        <f t="shared" si="5"/>
        <v>526042.34719999996</v>
      </c>
      <c r="D56" s="285">
        <f t="shared" si="6"/>
        <v>237092.99</v>
      </c>
      <c r="E56" s="286">
        <f t="shared" si="7"/>
        <v>1928113.1124900004</v>
      </c>
      <c r="F56" s="68">
        <f t="shared" si="8"/>
        <v>2761.7223227999998</v>
      </c>
      <c r="G56" s="68">
        <f t="shared" si="1"/>
        <v>3945.3176039999994</v>
      </c>
      <c r="H56" s="68"/>
      <c r="I56" s="169"/>
      <c r="J56" s="66"/>
      <c r="L56" s="295">
        <f t="shared" si="2"/>
        <v>43862</v>
      </c>
      <c r="M56" s="298">
        <v>209624.01375419516</v>
      </c>
      <c r="N56" s="298">
        <v>27468.97624580485</v>
      </c>
      <c r="O56" s="298">
        <v>3289.75</v>
      </c>
      <c r="P56" s="297">
        <v>526042.34719999996</v>
      </c>
      <c r="Q56" s="297">
        <v>542658.95881761494</v>
      </c>
    </row>
    <row r="57" spans="2:17" ht="14.5" customHeight="1">
      <c r="B57" s="284">
        <v>43891</v>
      </c>
      <c r="C57" s="285">
        <f t="shared" si="5"/>
        <v>424165.96720000001</v>
      </c>
      <c r="D57" s="285">
        <f t="shared" si="6"/>
        <v>201318.15</v>
      </c>
      <c r="E57" s="286">
        <f t="shared" si="7"/>
        <v>2150960.9296900006</v>
      </c>
      <c r="F57" s="68">
        <f t="shared" si="8"/>
        <v>2226.8713278</v>
      </c>
      <c r="G57" s="68">
        <f t="shared" si="1"/>
        <v>3181.2447539999998</v>
      </c>
      <c r="H57" s="68"/>
      <c r="I57" s="169"/>
      <c r="J57" s="66"/>
      <c r="L57" s="295">
        <f t="shared" si="2"/>
        <v>43891</v>
      </c>
      <c r="M57" s="298">
        <v>187324.85640132637</v>
      </c>
      <c r="N57" s="298">
        <v>13993.293598673637</v>
      </c>
      <c r="O57" s="298">
        <v>110304</v>
      </c>
      <c r="P57" s="297">
        <v>424165.96720000001</v>
      </c>
      <c r="Q57" s="297">
        <v>480752.8806587013</v>
      </c>
    </row>
    <row r="58" spans="2:17" ht="14.5" customHeight="1">
      <c r="B58" s="284">
        <v>43922</v>
      </c>
      <c r="C58" s="285">
        <f t="shared" si="5"/>
        <v>337017.68789999996</v>
      </c>
      <c r="D58" s="285">
        <f t="shared" si="6"/>
        <v>212279.85</v>
      </c>
      <c r="E58" s="286">
        <f t="shared" si="7"/>
        <v>2275698.7675900003</v>
      </c>
      <c r="F58" s="68">
        <f t="shared" si="8"/>
        <v>1769.3428614749998</v>
      </c>
      <c r="G58" s="68">
        <f t="shared" si="1"/>
        <v>2527.6326592499995</v>
      </c>
      <c r="H58" s="68"/>
      <c r="I58" s="169"/>
      <c r="J58" s="66"/>
      <c r="L58" s="295">
        <f t="shared" si="2"/>
        <v>43922</v>
      </c>
      <c r="M58" s="298">
        <v>190061.5967581335</v>
      </c>
      <c r="N58" s="298">
        <v>22218.253241866507</v>
      </c>
      <c r="O58" s="298">
        <v>42259.079999999994</v>
      </c>
      <c r="P58" s="297">
        <v>337017.68789999996</v>
      </c>
      <c r="Q58" s="297">
        <v>354119.30680667463</v>
      </c>
    </row>
    <row r="59" spans="2:17" ht="14.5" customHeight="1">
      <c r="B59" s="284">
        <v>43952</v>
      </c>
      <c r="C59" s="285">
        <f t="shared" si="5"/>
        <v>266965.76000000001</v>
      </c>
      <c r="D59" s="285">
        <f t="shared" si="6"/>
        <v>151097.06999999998</v>
      </c>
      <c r="E59" s="286">
        <f t="shared" si="7"/>
        <v>2391567.4575900002</v>
      </c>
      <c r="F59" s="68">
        <f t="shared" si="8"/>
        <v>1401.5702400000002</v>
      </c>
      <c r="G59" s="68">
        <f t="shared" si="1"/>
        <v>2002.2431999999999</v>
      </c>
      <c r="H59" s="68"/>
      <c r="I59" s="169"/>
      <c r="J59" s="66"/>
      <c r="L59" s="295">
        <f t="shared" si="2"/>
        <v>43952</v>
      </c>
      <c r="M59" s="298">
        <v>134837.47910303288</v>
      </c>
      <c r="N59" s="298">
        <v>16259.590896967105</v>
      </c>
      <c r="O59" s="298">
        <v>23507.64</v>
      </c>
      <c r="P59" s="297">
        <v>266965.76000000001</v>
      </c>
      <c r="Q59" s="297">
        <v>205643.98987578944</v>
      </c>
    </row>
    <row r="60" spans="2:17" ht="14.5" customHeight="1">
      <c r="B60" s="284">
        <v>43983</v>
      </c>
      <c r="C60" s="285">
        <f t="shared" si="5"/>
        <v>137398.33679999999</v>
      </c>
      <c r="D60" s="285">
        <f t="shared" si="6"/>
        <v>254297.5</v>
      </c>
      <c r="E60" s="286">
        <f t="shared" si="7"/>
        <v>2274668.2943900004</v>
      </c>
      <c r="F60" s="68">
        <f t="shared" si="8"/>
        <v>721.34126819999994</v>
      </c>
      <c r="G60" s="68">
        <f t="shared" si="1"/>
        <v>1030.4875259999999</v>
      </c>
      <c r="H60" s="68"/>
      <c r="I60" s="169"/>
      <c r="J60" s="66"/>
      <c r="L60" s="295">
        <f t="shared" si="2"/>
        <v>43983</v>
      </c>
      <c r="M60" s="298">
        <v>238991.7701983552</v>
      </c>
      <c r="N60" s="298">
        <v>15305.729801644798</v>
      </c>
      <c r="O60" s="298">
        <v>35975.64</v>
      </c>
      <c r="P60" s="297">
        <v>137398.33679999999</v>
      </c>
      <c r="Q60" s="297">
        <v>134433.12570287974</v>
      </c>
    </row>
    <row r="61" spans="2:17" ht="14.5" customHeight="1">
      <c r="B61" s="284">
        <v>44013</v>
      </c>
      <c r="C61" s="285">
        <f t="shared" si="5"/>
        <v>107139.97659999999</v>
      </c>
      <c r="D61" s="285">
        <f t="shared" si="6"/>
        <v>302056.38000000006</v>
      </c>
      <c r="E61" s="286">
        <f t="shared" si="7"/>
        <v>2079751.8909900005</v>
      </c>
      <c r="F61" s="68">
        <f t="shared" si="8"/>
        <v>562.48487714999999</v>
      </c>
      <c r="G61" s="68">
        <f t="shared" si="1"/>
        <v>803.54982449999989</v>
      </c>
      <c r="H61" s="68"/>
      <c r="I61" s="169"/>
      <c r="J61" s="66"/>
      <c r="L61" s="295">
        <f t="shared" si="2"/>
        <v>44013</v>
      </c>
      <c r="M61" s="298">
        <v>271292.18515488808</v>
      </c>
      <c r="N61" s="298">
        <v>30764.194845111982</v>
      </c>
      <c r="O61" s="298">
        <v>25851.5</v>
      </c>
      <c r="P61" s="297">
        <v>107139.97659999999</v>
      </c>
      <c r="Q61" s="297">
        <v>110661.65702700279</v>
      </c>
    </row>
    <row r="62" spans="2:17" ht="14.5" customHeight="1">
      <c r="B62" s="284">
        <v>44044</v>
      </c>
      <c r="C62" s="285">
        <f t="shared" si="5"/>
        <v>103713.41569999998</v>
      </c>
      <c r="D62" s="285">
        <f t="shared" si="6"/>
        <v>257496.89000000004</v>
      </c>
      <c r="E62" s="286">
        <f t="shared" si="7"/>
        <v>1925968.4166900003</v>
      </c>
      <c r="F62" s="68">
        <f t="shared" si="8"/>
        <v>544.49543242499999</v>
      </c>
      <c r="G62" s="68">
        <f t="shared" si="1"/>
        <v>777.85061774999986</v>
      </c>
      <c r="H62" s="68"/>
      <c r="I62" s="169"/>
      <c r="J62" s="66"/>
      <c r="L62" s="295">
        <f t="shared" si="2"/>
        <v>44044</v>
      </c>
      <c r="M62" s="298">
        <v>236664.98085983063</v>
      </c>
      <c r="N62" s="298">
        <v>20831.90914016941</v>
      </c>
      <c r="O62" s="298">
        <v>20980</v>
      </c>
      <c r="P62" s="297">
        <v>103713.41569999998</v>
      </c>
      <c r="Q62" s="297">
        <v>107418.13587728108</v>
      </c>
    </row>
    <row r="63" spans="2:17" ht="14.5" customHeight="1">
      <c r="B63" s="284">
        <v>44075</v>
      </c>
      <c r="C63" s="385">
        <f>Q63</f>
        <v>114414.7058410568</v>
      </c>
      <c r="D63" s="285">
        <f t="shared" si="6"/>
        <v>279949.66000000003</v>
      </c>
      <c r="E63" s="286">
        <f>E62+C63-D63</f>
        <v>1760433.4625310572</v>
      </c>
      <c r="F63" s="68">
        <f t="shared" si="8"/>
        <v>600.67720566554829</v>
      </c>
      <c r="G63" s="68">
        <f t="shared" si="1"/>
        <v>858.11029380792593</v>
      </c>
      <c r="H63" s="68"/>
      <c r="I63" s="169"/>
      <c r="L63" s="295">
        <f t="shared" si="2"/>
        <v>44075</v>
      </c>
      <c r="M63" s="296">
        <v>262615.52291961649</v>
      </c>
      <c r="N63" s="296">
        <v>17334.137080383538</v>
      </c>
      <c r="O63" s="296">
        <v>20980</v>
      </c>
      <c r="P63">
        <v>117328.63900000001</v>
      </c>
      <c r="Q63">
        <v>114414.7058410568</v>
      </c>
    </row>
    <row r="64" spans="2:17" ht="14.5" customHeight="1">
      <c r="B64" s="284">
        <v>44105</v>
      </c>
      <c r="C64" s="287">
        <f>Q64</f>
        <v>141338.16704303893</v>
      </c>
      <c r="D64" s="287">
        <v>508060.59999999992</v>
      </c>
      <c r="E64" s="286">
        <f t="shared" si="7"/>
        <v>1393711.0295740962</v>
      </c>
      <c r="F64" s="68">
        <f t="shared" si="8"/>
        <v>742.02537697595449</v>
      </c>
      <c r="G64" s="68">
        <f t="shared" si="1"/>
        <v>1060.036252822792</v>
      </c>
      <c r="H64" s="68"/>
      <c r="I64" s="169"/>
      <c r="J64" s="66"/>
      <c r="L64" s="295">
        <f t="shared" si="2"/>
        <v>44105</v>
      </c>
      <c r="M64" s="298">
        <v>0</v>
      </c>
      <c r="N64" s="298">
        <v>0</v>
      </c>
      <c r="O64" s="298">
        <v>0</v>
      </c>
      <c r="Q64">
        <v>141338.16704303893</v>
      </c>
    </row>
    <row r="65" spans="1:17" ht="14.5" customHeight="1">
      <c r="B65" s="284">
        <v>44136</v>
      </c>
      <c r="C65" s="287">
        <f>Q65</f>
        <v>258593.6638599337</v>
      </c>
      <c r="D65" s="287">
        <v>508060.59999999992</v>
      </c>
      <c r="E65" s="286">
        <f t="shared" si="7"/>
        <v>1144244.09343403</v>
      </c>
      <c r="F65" s="68">
        <f t="shared" si="8"/>
        <v>1357.6167352646521</v>
      </c>
      <c r="G65" s="68">
        <f t="shared" si="1"/>
        <v>1939.4524789495026</v>
      </c>
      <c r="H65" s="68"/>
      <c r="I65" s="169"/>
      <c r="J65" s="66"/>
      <c r="L65" s="295">
        <f t="shared" si="2"/>
        <v>44136</v>
      </c>
      <c r="M65" s="298">
        <v>0</v>
      </c>
      <c r="N65" s="298">
        <v>0</v>
      </c>
      <c r="O65" s="298">
        <v>0</v>
      </c>
      <c r="Q65">
        <v>258593.6638599337</v>
      </c>
    </row>
    <row r="66" spans="1:17" ht="14.5" customHeight="1">
      <c r="B66" s="284">
        <v>44166</v>
      </c>
      <c r="C66" s="287">
        <f>Q66</f>
        <v>397208.74656597158</v>
      </c>
      <c r="D66" s="287">
        <v>508060.59999999992</v>
      </c>
      <c r="E66" s="286">
        <f t="shared" si="7"/>
        <v>1033392.2400000016</v>
      </c>
      <c r="F66" s="68">
        <f t="shared" si="8"/>
        <v>2085.345919471351</v>
      </c>
      <c r="G66" s="68">
        <f t="shared" si="1"/>
        <v>2979.0655992447869</v>
      </c>
      <c r="H66" s="68"/>
      <c r="I66" s="169"/>
      <c r="J66" s="66"/>
      <c r="L66" s="295">
        <f t="shared" si="2"/>
        <v>44166</v>
      </c>
      <c r="M66" s="298">
        <v>0</v>
      </c>
      <c r="N66" s="298">
        <v>0</v>
      </c>
      <c r="O66" s="298">
        <v>0</v>
      </c>
      <c r="Q66">
        <v>397208.74656597158</v>
      </c>
    </row>
    <row r="67" spans="1:17" ht="14.5" customHeight="1" thickBot="1">
      <c r="B67" s="284">
        <v>44197</v>
      </c>
      <c r="C67" s="289">
        <f>S109+S110+S111+S112+S113+S114</f>
        <v>450048.8917079019</v>
      </c>
      <c r="D67" s="169"/>
      <c r="E67" s="286"/>
      <c r="F67" s="167">
        <f t="shared" si="8"/>
        <v>2362.7566814664851</v>
      </c>
      <c r="G67" s="167">
        <f t="shared" si="1"/>
        <v>3375.366687809264</v>
      </c>
      <c r="H67" s="167"/>
      <c r="I67" s="169"/>
      <c r="J67" s="66"/>
      <c r="L67" s="295"/>
    </row>
    <row r="68" spans="1:17" ht="14.5" customHeight="1" thickBot="1">
      <c r="B68" s="327" t="s">
        <v>156</v>
      </c>
      <c r="C68" s="328">
        <f>SUM(C7:C67)</f>
        <v>17027356.131707903</v>
      </c>
      <c r="D68" s="328">
        <f>SUM(D7:D66)</f>
        <v>15543915</v>
      </c>
      <c r="E68" s="329"/>
      <c r="F68" s="167"/>
      <c r="G68" s="167"/>
      <c r="H68" s="167"/>
      <c r="I68" s="167"/>
    </row>
    <row r="69" spans="1:17" ht="14.5" customHeight="1">
      <c r="C69" s="167"/>
      <c r="D69" s="167"/>
      <c r="E69" s="167"/>
      <c r="F69" s="46"/>
      <c r="I69" s="33"/>
    </row>
    <row r="70" spans="1:17" ht="14.5" customHeight="1">
      <c r="C70" t="s">
        <v>63</v>
      </c>
      <c r="D70" t="s">
        <v>216</v>
      </c>
      <c r="E70" t="s">
        <v>217</v>
      </c>
      <c r="F70" s="291" t="s">
        <v>220</v>
      </c>
      <c r="G70" t="s">
        <v>277</v>
      </c>
      <c r="H70" t="s">
        <v>237</v>
      </c>
      <c r="I70" s="323" t="s">
        <v>219</v>
      </c>
    </row>
    <row r="71" spans="1:17" s="108" customFormat="1" ht="14.5" customHeight="1">
      <c r="A71"/>
      <c r="B71">
        <v>2016</v>
      </c>
      <c r="C71" s="296">
        <f>SUM(C$7:C$18)</f>
        <v>2584907.25</v>
      </c>
      <c r="D71" s="296">
        <f>'EEU PSD Proposed budgets18-20'!C15</f>
        <v>3057618.3214435084</v>
      </c>
      <c r="E71" s="296">
        <f>SUM(F$7:F$18)</f>
        <v>7754.7217500000006</v>
      </c>
      <c r="F71" s="296">
        <f>SUM(G$7:G$18)</f>
        <v>19386.804375</v>
      </c>
      <c r="G71"/>
      <c r="H71" s="312">
        <f>SUM(D71:G71)</f>
        <v>3084759.8475685082</v>
      </c>
      <c r="I71" s="82">
        <f t="shared" ref="I71:I76" si="9">C71-H71</f>
        <v>-499852.59756850824</v>
      </c>
      <c r="J71" s="82">
        <f>I71</f>
        <v>-499852.59756850824</v>
      </c>
    </row>
    <row r="72" spans="1:17" s="108" customFormat="1" ht="14.5" customHeight="1">
      <c r="A72"/>
      <c r="B72">
        <v>2017</v>
      </c>
      <c r="C72" s="296">
        <f>SUM(C$19:C$30)</f>
        <v>3276835.27</v>
      </c>
      <c r="D72" s="296">
        <f>'EEU PSD Proposed budgets18-20'!D15</f>
        <v>3221754.9577231491</v>
      </c>
      <c r="E72" s="296">
        <f>SUM(F$19:F$30)</f>
        <v>9830.5058100000006</v>
      </c>
      <c r="F72" s="296">
        <f>SUM(G$19:G$30)</f>
        <v>24576.264525000002</v>
      </c>
      <c r="G72"/>
      <c r="H72" s="312">
        <f>SUM(D72:G72)</f>
        <v>3256161.7280581491</v>
      </c>
      <c r="I72" s="82">
        <f t="shared" si="9"/>
        <v>20673.541941850912</v>
      </c>
      <c r="J72" s="82">
        <f>I72+J71</f>
        <v>-479179.05562665733</v>
      </c>
    </row>
    <row r="73" spans="1:17" s="108" customFormat="1" ht="14.5" customHeight="1">
      <c r="A73"/>
      <c r="B73">
        <v>2018</v>
      </c>
      <c r="C73" s="296">
        <f>SUM(C$31:C$42)</f>
        <v>3740568.1136999996</v>
      </c>
      <c r="D73" s="296">
        <f>'EEU PSD Proposed budgets18-20'!F34</f>
        <v>3386237</v>
      </c>
      <c r="E73" s="296">
        <f>SUM(F$31:F$42)</f>
        <v>11221.704341100001</v>
      </c>
      <c r="F73" s="296">
        <f>SUM(G$31:G$42)</f>
        <v>28054.260852749994</v>
      </c>
      <c r="G73"/>
      <c r="H73" s="312">
        <f>SUM(D73:G73)</f>
        <v>3425512.96519385</v>
      </c>
      <c r="I73" s="82">
        <f t="shared" si="9"/>
        <v>315055.14850614965</v>
      </c>
      <c r="J73" s="82">
        <f>I73+J72</f>
        <v>-164123.90712050768</v>
      </c>
    </row>
    <row r="74" spans="1:17" s="108" customFormat="1" ht="14.5" customHeight="1">
      <c r="A74"/>
      <c r="B74">
        <v>2019</v>
      </c>
      <c r="C74" s="296">
        <f>SUM(C$43:C$54)</f>
        <v>3648863.0603900002</v>
      </c>
      <c r="D74" s="296">
        <f>'EEU PSD Proposed budgets18-20'!G34</f>
        <v>3515838</v>
      </c>
      <c r="E74" s="296">
        <f>SUM(F$43:F$54)</f>
        <v>13675.580183220001</v>
      </c>
      <c r="F74" s="296">
        <f>SUM(G$43:G$54)</f>
        <v>27366.472952924996</v>
      </c>
      <c r="G74"/>
      <c r="H74" s="312">
        <f>SUM(D74:G74)</f>
        <v>3556880.0531361452</v>
      </c>
      <c r="I74" s="82">
        <f t="shared" si="9"/>
        <v>91983.007253855001</v>
      </c>
      <c r="J74" s="82">
        <f>I74+J73</f>
        <v>-72140.899866652675</v>
      </c>
    </row>
    <row r="75" spans="1:17" s="108" customFormat="1" ht="14.5" customHeight="1">
      <c r="A75"/>
      <c r="B75">
        <v>2020</v>
      </c>
      <c r="C75" s="296">
        <f>SUM(C$55:C$66)</f>
        <v>3326133.5459100013</v>
      </c>
      <c r="D75" s="296">
        <f>'EEU PSD Proposed budgets18-20'!H34</f>
        <v>3576991</v>
      </c>
      <c r="E75" s="296">
        <f>SUM(F$55:F$67)</f>
        <v>19824.957797493989</v>
      </c>
      <c r="F75" s="296">
        <f>SUM(G$55:G$67)</f>
        <v>28321.368282134266</v>
      </c>
      <c r="G75">
        <f>64399+18098</f>
        <v>82497</v>
      </c>
      <c r="H75" s="312">
        <f>SUM(D75:G75)</f>
        <v>3707634.326079628</v>
      </c>
      <c r="I75" s="82">
        <f t="shared" si="9"/>
        <v>-381500.7801696267</v>
      </c>
      <c r="J75" s="82">
        <f>I75+J74</f>
        <v>-453641.68003627937</v>
      </c>
    </row>
    <row r="76" spans="1:17" s="108" customFormat="1" ht="14.5" customHeight="1">
      <c r="A76"/>
      <c r="B76" s="330" t="s">
        <v>238</v>
      </c>
      <c r="C76" s="33">
        <f>C67</f>
        <v>450048.8917079019</v>
      </c>
      <c r="D76"/>
      <c r="E76"/>
      <c r="F76"/>
      <c r="G76"/>
      <c r="H76" s="312"/>
      <c r="I76" s="82">
        <f t="shared" si="9"/>
        <v>450048.8917079019</v>
      </c>
      <c r="J76" s="308">
        <f>I76+J75</f>
        <v>-3592.7883283774718</v>
      </c>
    </row>
    <row r="77" spans="1:17" s="108" customFormat="1" ht="14.5" customHeight="1">
      <c r="A77"/>
      <c r="B77"/>
      <c r="C77"/>
      <c r="D77"/>
      <c r="E77" s="33"/>
      <c r="F77"/>
      <c r="G77"/>
      <c r="H77" s="312"/>
      <c r="I77" s="82"/>
      <c r="J77" s="82"/>
    </row>
    <row r="78" spans="1:17" s="108" customFormat="1" ht="14.5" customHeight="1">
      <c r="A78"/>
      <c r="B78"/>
      <c r="C78" s="64">
        <f t="shared" ref="C78:F78" si="10">SUM(C71:C76)</f>
        <v>17027356.131707899</v>
      </c>
      <c r="D78" s="64">
        <f t="shared" si="10"/>
        <v>16758439.279166657</v>
      </c>
      <c r="E78" s="64">
        <f>SUM(E71:E76)</f>
        <v>62307.469881813988</v>
      </c>
      <c r="F78" s="64">
        <f>SUM(F71:F76)</f>
        <v>127705.17098780925</v>
      </c>
      <c r="G78" s="64">
        <f>SUM(G71:G76)</f>
        <v>82497</v>
      </c>
      <c r="H78" s="312">
        <f>SUM(D78:G78)</f>
        <v>17030948.920036282</v>
      </c>
      <c r="I78" s="331">
        <f>C78-H78</f>
        <v>-3592.7883283831179</v>
      </c>
      <c r="J78" s="82" t="s">
        <v>225</v>
      </c>
    </row>
    <row r="79" spans="1:17" s="108" customFormat="1" ht="14.5" customHeight="1">
      <c r="A79"/>
      <c r="B79"/>
      <c r="C79"/>
      <c r="D79"/>
      <c r="E79"/>
      <c r="F79"/>
      <c r="G79"/>
      <c r="H79" s="312"/>
      <c r="I79" s="82"/>
      <c r="J79" s="82"/>
    </row>
    <row r="80" spans="1:17" s="108" customFormat="1" ht="14.5" customHeight="1">
      <c r="A80"/>
      <c r="B80"/>
      <c r="C80"/>
      <c r="D80"/>
      <c r="E80"/>
      <c r="F80"/>
      <c r="G80"/>
      <c r="H80" s="312"/>
      <c r="I80" s="82"/>
      <c r="J80" s="82"/>
    </row>
    <row r="81" spans="1:10" s="108" customFormat="1" ht="14.5" customHeight="1">
      <c r="A81"/>
      <c r="B81"/>
      <c r="C81" s="64"/>
      <c r="D81" s="64"/>
      <c r="E81" s="64"/>
      <c r="F81" s="64"/>
      <c r="G81" s="64"/>
      <c r="H81" s="312"/>
      <c r="I81" s="82"/>
      <c r="J81" s="82"/>
    </row>
    <row r="82" spans="1:10" s="108" customFormat="1" ht="14.5" customHeight="1">
      <c r="A82"/>
      <c r="B82"/>
      <c r="C82" s="64"/>
      <c r="D82" s="64"/>
      <c r="E82" s="64"/>
      <c r="F82" s="64"/>
      <c r="G82" s="64"/>
      <c r="H82" s="312"/>
      <c r="I82" s="82"/>
      <c r="J82" s="82"/>
    </row>
    <row r="83" spans="1:10" s="108" customFormat="1" ht="14.5" customHeight="1">
      <c r="A83"/>
      <c r="B83"/>
      <c r="C83"/>
      <c r="D83"/>
      <c r="E83"/>
      <c r="F83"/>
      <c r="G83"/>
      <c r="H83"/>
      <c r="I83"/>
      <c r="J83"/>
    </row>
    <row r="84" spans="1:10" s="108" customFormat="1" ht="14.5" customHeight="1">
      <c r="A84"/>
      <c r="B84"/>
      <c r="C84" s="85"/>
      <c r="D84"/>
      <c r="E84"/>
      <c r="F84"/>
      <c r="G84"/>
      <c r="H84"/>
      <c r="I84"/>
      <c r="J84"/>
    </row>
    <row r="85" spans="1:10" s="108" customFormat="1" ht="14.5" customHeight="1">
      <c r="A85"/>
      <c r="B85"/>
      <c r="C85" s="86"/>
      <c r="D85"/>
      <c r="E85"/>
      <c r="F85"/>
      <c r="G85"/>
      <c r="H85"/>
      <c r="I85"/>
      <c r="J85"/>
    </row>
    <row r="86" spans="1:10" s="108" customFormat="1" ht="14.5" customHeight="1">
      <c r="A86" s="277"/>
      <c r="B86" s="168"/>
      <c r="C86" s="309"/>
      <c r="D86" s="310"/>
      <c r="E86" s="311"/>
      <c r="F86"/>
      <c r="G86"/>
      <c r="H86"/>
      <c r="I86"/>
      <c r="J86"/>
    </row>
    <row r="87" spans="1:10" s="108" customFormat="1" ht="14.5" customHeight="1">
      <c r="A87" s="277"/>
      <c r="B87" s="168"/>
      <c r="C87" s="309"/>
      <c r="D87" s="310"/>
      <c r="E87" s="311"/>
      <c r="F87"/>
      <c r="G87"/>
      <c r="H87"/>
      <c r="I87"/>
      <c r="J87"/>
    </row>
    <row r="88" spans="1:10" s="108" customFormat="1" ht="14.5" customHeight="1">
      <c r="A88" s="277"/>
      <c r="B88" s="168"/>
      <c r="C88" s="309"/>
      <c r="D88" s="310"/>
      <c r="F88"/>
      <c r="G88"/>
      <c r="H88"/>
      <c r="I88"/>
      <c r="J88"/>
    </row>
    <row r="89" spans="1:10" s="108" customFormat="1" ht="14.5" customHeight="1">
      <c r="A89" s="277"/>
      <c r="B89" s="168"/>
      <c r="C89" s="311"/>
      <c r="E89" s="311"/>
      <c r="F89"/>
      <c r="G89"/>
      <c r="H89"/>
      <c r="I89"/>
      <c r="J89"/>
    </row>
    <row r="90" spans="1:10" s="108" customFormat="1" ht="14.5" customHeight="1">
      <c r="A90" s="168"/>
      <c r="C90" s="311"/>
      <c r="D90" s="250"/>
      <c r="G90" s="250"/>
      <c r="H90" s="250"/>
      <c r="I90" s="312"/>
    </row>
    <row r="91" spans="1:10" s="108" customFormat="1" ht="14.5" customHeight="1">
      <c r="A91" s="168"/>
      <c r="C91" s="3"/>
      <c r="D91" s="3"/>
      <c r="E91" s="250"/>
      <c r="F91" s="64"/>
      <c r="G91"/>
      <c r="H91" s="250"/>
      <c r="I91" s="312"/>
    </row>
    <row r="92" spans="1:10" s="108" customFormat="1" ht="14.5" customHeight="1">
      <c r="A92" s="168"/>
      <c r="C92" s="3"/>
      <c r="D92" s="3"/>
      <c r="E92" s="250"/>
      <c r="F92"/>
      <c r="G92" s="250"/>
      <c r="H92" s="250"/>
      <c r="I92" s="312"/>
    </row>
    <row r="93" spans="1:10" s="108" customFormat="1" ht="14.5" customHeight="1">
      <c r="A93" s="168"/>
      <c r="C93" s="3"/>
      <c r="D93" s="3"/>
      <c r="E93" s="250"/>
      <c r="F93"/>
      <c r="G93" s="250"/>
      <c r="H93" s="250"/>
      <c r="I93" s="312"/>
    </row>
    <row r="94" spans="1:10" s="108" customFormat="1" ht="14.5" customHeight="1">
      <c r="A94" s="168"/>
      <c r="C94" s="3"/>
      <c r="D94" s="3"/>
      <c r="E94" s="250"/>
      <c r="F94" s="82"/>
      <c r="G94" s="250"/>
      <c r="H94" s="250"/>
      <c r="I94" s="312"/>
    </row>
    <row r="95" spans="1:10" s="108" customFormat="1" ht="14.5" customHeight="1">
      <c r="A95" s="168"/>
      <c r="C95" s="3"/>
      <c r="D95" s="3"/>
      <c r="E95" s="250"/>
      <c r="F95"/>
      <c r="G95"/>
      <c r="I95" s="312"/>
    </row>
    <row r="96" spans="1:10" s="108" customFormat="1" ht="14.5" customHeight="1">
      <c r="A96" s="168"/>
      <c r="C96" s="311"/>
      <c r="D96" s="311"/>
      <c r="E96" s="250"/>
      <c r="I96" s="312"/>
    </row>
    <row r="97" spans="1:20" s="66" customFormat="1">
      <c r="A97" s="108"/>
      <c r="B97" s="108"/>
      <c r="C97" s="311"/>
      <c r="D97" s="311"/>
      <c r="E97" s="250"/>
      <c r="F97" s="108"/>
      <c r="I97" s="308"/>
    </row>
    <row r="98" spans="1:20" s="66" customFormat="1">
      <c r="A98" s="108"/>
      <c r="B98" s="108"/>
      <c r="C98" s="108"/>
      <c r="D98" s="250"/>
      <c r="E98" s="312"/>
      <c r="F98" s="108"/>
      <c r="I98" s="308"/>
    </row>
    <row r="99" spans="1:20" s="66" customFormat="1">
      <c r="A99" s="313"/>
      <c r="B99" s="313"/>
      <c r="C99" s="314"/>
      <c r="D99" s="310"/>
      <c r="E99" s="308"/>
      <c r="I99" s="308"/>
    </row>
    <row r="100" spans="1:20">
      <c r="A100" s="155"/>
      <c r="B100" s="155"/>
      <c r="C100" s="302"/>
      <c r="D100" s="156"/>
      <c r="E100" s="82"/>
      <c r="I100" s="82"/>
    </row>
    <row r="101" spans="1:20">
      <c r="C101" s="3"/>
      <c r="H101" s="33"/>
      <c r="I101" s="82"/>
    </row>
    <row r="102" spans="1:20">
      <c r="I102" s="82"/>
    </row>
    <row r="103" spans="1:20">
      <c r="I103" s="82"/>
    </row>
    <row r="104" spans="1:20" ht="15" thickBot="1">
      <c r="D104" s="80"/>
      <c r="E104" s="80"/>
      <c r="F104" s="211"/>
      <c r="G104" s="211"/>
      <c r="H104" s="80"/>
    </row>
    <row r="105" spans="1:20" ht="15" customHeight="1">
      <c r="A105" s="90"/>
      <c r="B105" s="364" t="s">
        <v>111</v>
      </c>
      <c r="C105" s="241"/>
      <c r="D105" s="90"/>
      <c r="E105" s="76"/>
      <c r="F105" s="79"/>
      <c r="G105" s="79"/>
      <c r="H105" s="79"/>
      <c r="I105" s="357" t="s">
        <v>178</v>
      </c>
      <c r="J105" s="357"/>
      <c r="K105" s="357"/>
      <c r="L105" s="364"/>
      <c r="M105" s="80"/>
      <c r="N105" s="65"/>
      <c r="O105" s="80"/>
      <c r="P105" s="80"/>
    </row>
    <row r="106" spans="1:20" ht="15" thickBot="1">
      <c r="A106" s="91" t="s">
        <v>176</v>
      </c>
      <c r="B106" s="365"/>
      <c r="C106" s="240"/>
      <c r="D106" s="212"/>
      <c r="E106" s="211"/>
      <c r="F106" s="211"/>
      <c r="G106" s="211"/>
      <c r="H106" s="211"/>
      <c r="I106" s="211"/>
      <c r="J106" s="211"/>
      <c r="K106" s="211"/>
      <c r="L106" s="213"/>
      <c r="M106" s="80"/>
      <c r="N106" s="80"/>
      <c r="O106" s="80"/>
      <c r="P106" s="80"/>
    </row>
    <row r="107" spans="1:20" ht="15" thickBot="1">
      <c r="A107" s="91">
        <f>'AVG Liap customers'!C5</f>
        <v>4.8135114967715067E-2</v>
      </c>
      <c r="B107" s="365"/>
      <c r="C107" s="83">
        <v>2019</v>
      </c>
      <c r="D107" s="83">
        <v>2019</v>
      </c>
      <c r="E107" s="84">
        <v>2019</v>
      </c>
      <c r="F107" s="84">
        <v>2019</v>
      </c>
      <c r="G107" s="216">
        <v>2020</v>
      </c>
      <c r="H107" s="216">
        <v>2020</v>
      </c>
      <c r="I107" s="216">
        <v>2020</v>
      </c>
      <c r="J107" s="216">
        <v>2020</v>
      </c>
      <c r="K107" s="216">
        <v>2020</v>
      </c>
      <c r="L107" s="216">
        <v>2020</v>
      </c>
      <c r="M107" s="216">
        <v>2020</v>
      </c>
      <c r="N107" s="216">
        <v>2020</v>
      </c>
      <c r="O107" s="216">
        <v>2020</v>
      </c>
      <c r="P107" s="216">
        <v>2020</v>
      </c>
      <c r="Q107" s="216">
        <v>2020</v>
      </c>
      <c r="R107" s="216">
        <v>2020</v>
      </c>
      <c r="S107" s="216">
        <v>2021</v>
      </c>
      <c r="T107" s="216"/>
    </row>
    <row r="108" spans="1:20" ht="15" thickBot="1">
      <c r="A108" s="337">
        <f>'AVG Liap customers'!C6</f>
        <v>0.95186488503228495</v>
      </c>
      <c r="B108" s="217"/>
      <c r="C108" s="111" t="s">
        <v>21</v>
      </c>
      <c r="D108" s="111" t="s">
        <v>10</v>
      </c>
      <c r="E108" s="45" t="s">
        <v>11</v>
      </c>
      <c r="F108" s="45" t="s">
        <v>12</v>
      </c>
      <c r="G108" s="275" t="s">
        <v>13</v>
      </c>
      <c r="H108" s="275" t="s">
        <v>14</v>
      </c>
      <c r="I108" s="275" t="s">
        <v>15</v>
      </c>
      <c r="J108" s="275" t="s">
        <v>16</v>
      </c>
      <c r="K108" s="275" t="s">
        <v>17</v>
      </c>
      <c r="L108" s="275" t="s">
        <v>18</v>
      </c>
      <c r="M108" s="275" t="s">
        <v>19</v>
      </c>
      <c r="N108" s="275" t="s">
        <v>20</v>
      </c>
      <c r="O108" s="275" t="s">
        <v>21</v>
      </c>
      <c r="P108" s="275" t="s">
        <v>10</v>
      </c>
      <c r="Q108" s="275" t="s">
        <v>11</v>
      </c>
      <c r="R108" s="275" t="s">
        <v>12</v>
      </c>
      <c r="S108" s="275" t="s">
        <v>13</v>
      </c>
      <c r="T108" s="275"/>
    </row>
    <row r="109" spans="1:20">
      <c r="A109" s="4" t="s">
        <v>40</v>
      </c>
      <c r="B109" s="161">
        <f>'Prop EEC 2021 Rates VGS'!C7*10</f>
        <v>0.48</v>
      </c>
      <c r="C109" s="73">
        <f>'CY 2019-2020 forecast'!M20*$A$108*$B109</f>
        <v>40364.858463869881</v>
      </c>
      <c r="D109" s="73">
        <f>'CY 2019-2020 forecast'!N20*$A$108*$B109</f>
        <v>55356.045060411139</v>
      </c>
      <c r="E109" s="73">
        <f>'CY 2019-2020 forecast'!O20*$A$108*$B109</f>
        <v>132099.35184963568</v>
      </c>
      <c r="F109" s="73">
        <f>'CY 2019-2020 forecast'!P20*$A$108*$B109</f>
        <v>218402.27575383487</v>
      </c>
      <c r="G109" s="73">
        <f>'CY 2019-2020 forecast'!Q20*$A$108*$B109</f>
        <v>308406.50722618436</v>
      </c>
      <c r="H109" s="73">
        <f>'CY 2019-2020 forecast'!R20*$A$108*$B109</f>
        <v>317834.53853945219</v>
      </c>
      <c r="I109" s="73">
        <f>'CY 2019-2020 forecast'!S20*$A$108*$B109</f>
        <v>272024.860634816</v>
      </c>
      <c r="J109" s="73">
        <f>'CY 2019-2020 forecast'!T20*$A$108*$B109</f>
        <v>201074.07049156234</v>
      </c>
      <c r="K109" s="73">
        <f>'CY 2019-2020 forecast'!U20*$A$108*$B109</f>
        <v>110711.63322567748</v>
      </c>
      <c r="L109" s="73">
        <f>'CY 2019-2020 forecast'!V20*$A$108*$B109</f>
        <v>58053.097100257022</v>
      </c>
      <c r="M109" s="73">
        <f>'CY 2019-2020 forecast'!W20*$A$108*$B109</f>
        <v>39732.058688300414</v>
      </c>
      <c r="N109" s="73">
        <f>'CY 2019-2020 forecast'!X20*$A$108*$B109</f>
        <v>38339.442286902777</v>
      </c>
      <c r="O109" s="73">
        <f>'CY 2019-2020 forecast'!Y20*$A$108*$B109</f>
        <v>39665.808892302164</v>
      </c>
      <c r="P109" s="73">
        <f>'CY 2019-2020 forecast'!Z20*$A$108*$B109</f>
        <v>55937.215684616451</v>
      </c>
      <c r="Q109" s="73">
        <f>'CY 2019-2020 forecast'!AA20*$A$108*$B109</f>
        <v>133666.50219635284</v>
      </c>
      <c r="R109" s="73">
        <f>'CY 2019-2020 forecast'!AB20*$A$108*$B109</f>
        <v>221059.57791608179</v>
      </c>
      <c r="S109" s="73">
        <f>'CY 2019-2020 forecast'!AC20*$A$108*$B109</f>
        <v>316714.68853950937</v>
      </c>
      <c r="T109" s="73"/>
    </row>
    <row r="110" spans="1:20">
      <c r="A110" s="4" t="s">
        <v>175</v>
      </c>
      <c r="B110" s="161">
        <f>'Prop EEC 2021 Rates VGS'!C8*10</f>
        <v>0.38400000000000001</v>
      </c>
      <c r="C110" s="73">
        <f>'CY 2019-2020 forecast'!M20*(1-$A$108)*$B110</f>
        <v>1632.9772289040975</v>
      </c>
      <c r="D110" s="73">
        <f>'CY 2019-2020 forecast'!N20*(1-$A$108)*$B110</f>
        <v>2239.4519516710861</v>
      </c>
      <c r="E110" s="73">
        <f>'CY 2019-2020 forecast'!O20*(1-$A$108)*$B110</f>
        <v>5344.134520291449</v>
      </c>
      <c r="F110" s="73">
        <f>'CY 2019-2020 forecast'!P20*(1-$A$108)*$B110</f>
        <v>8835.5553969321008</v>
      </c>
      <c r="G110" s="73">
        <f>'CY 2019-2020 forecast'!Q20*(1-$A$108)*$B110</f>
        <v>12476.714219052479</v>
      </c>
      <c r="H110" s="73">
        <f>'CY 2019-2020 forecast'!R20*(1-$A$108)*$B110</f>
        <v>12858.12916843826</v>
      </c>
      <c r="I110" s="73">
        <f>'CY 2019-2020 forecast'!S20*(1-$A$108)*$B110</f>
        <v>11004.879492147182</v>
      </c>
      <c r="J110" s="73">
        <f>'CY 2019-2020 forecast'!T20*(1-$A$108)*$B110</f>
        <v>8134.5356067501243</v>
      </c>
      <c r="K110" s="73">
        <f>'CY 2019-2020 forecast'!U20*(1-$A$108)*$B110</f>
        <v>4478.8854194580244</v>
      </c>
      <c r="L110" s="73">
        <f>'CY 2019-2020 forecast'!V20*(1-$A$108)*$B110</f>
        <v>2348.5623197943842</v>
      </c>
      <c r="M110" s="73">
        <f>'CY 2019-2020 forecast'!W20*(1-$A$108)*$B110</f>
        <v>1607.377049359668</v>
      </c>
      <c r="N110" s="73">
        <f>'CY 2019-2020 forecast'!X20*(1-$A$108)*$B110</f>
        <v>1551.0381704777753</v>
      </c>
      <c r="O110" s="73">
        <f>'CY 2019-2020 forecast'!Y20*(1-$A$108)*$B110</f>
        <v>1604.6968861582654</v>
      </c>
      <c r="P110" s="73">
        <f>'CY 2019-2020 forecast'!Z20*(1-$A$108)*$B110</f>
        <v>2262.9634523068366</v>
      </c>
      <c r="Q110" s="73">
        <f>'CY 2019-2020 forecast'!AA20*(1-$A$108)*$B110</f>
        <v>5407.5342429177254</v>
      </c>
      <c r="R110" s="73">
        <f>'CY 2019-2020 forecast'!AB20*(1-$A$108)*$B110</f>
        <v>8943.0576671345571</v>
      </c>
      <c r="S110" s="73">
        <f>'CY 2019-2020 forecast'!AC20*(1-$A$108)*$B110</f>
        <v>12812.825168392486</v>
      </c>
      <c r="T110" s="73"/>
    </row>
    <row r="111" spans="1:20">
      <c r="A111" s="4" t="s">
        <v>41</v>
      </c>
      <c r="B111" s="161">
        <f>'Prop EEC 2021 Rates VGS'!C9*10</f>
        <v>0.45400000000000001</v>
      </c>
      <c r="C111" s="73">
        <f>'CY 2019-2020 forecast'!M21*$B111</f>
        <v>1791.03</v>
      </c>
      <c r="D111" s="73">
        <f>'CY 2019-2020 forecast'!N21*$B111</f>
        <v>4388.3640000000005</v>
      </c>
      <c r="E111" s="73">
        <f>'CY 2019-2020 forecast'!O21*$B111</f>
        <v>18432.400000000001</v>
      </c>
      <c r="F111" s="73">
        <f>'CY 2019-2020 forecast'!P21*$B111</f>
        <v>37676.097999999998</v>
      </c>
      <c r="G111" s="73">
        <f>'CY 2019-2020 forecast'!Q21*$B111</f>
        <v>59518.038</v>
      </c>
      <c r="H111" s="73">
        <f>'CY 2019-2020 forecast'!R21*$B111</f>
        <v>60142.741999999998</v>
      </c>
      <c r="I111" s="73">
        <f>'CY 2019-2020 forecast'!S21*$B111</f>
        <v>48341.012000000002</v>
      </c>
      <c r="J111" s="73">
        <f>'CY 2019-2020 forecast'!T21*$B111</f>
        <v>31424.972000000002</v>
      </c>
      <c r="K111" s="73">
        <f>'CY 2019-2020 forecast'!U21*$B111</f>
        <v>11992.41</v>
      </c>
      <c r="L111" s="73">
        <f>'CY 2019-2020 forecast'!V21*$B111</f>
        <v>3528.4880000000003</v>
      </c>
      <c r="M111" s="73">
        <f>'CY 2019-2020 forecast'!W21*$B111</f>
        <v>1676.6220000000001</v>
      </c>
      <c r="N111" s="73">
        <f>'CY 2019-2020 forecast'!X21*$B111</f>
        <v>1483.672</v>
      </c>
      <c r="O111" s="73">
        <f>'CY 2019-2020 forecast'!Y21*$B111</f>
        <v>1484.5800000000002</v>
      </c>
      <c r="P111" s="73">
        <f>'CY 2019-2020 forecast'!Z21*$B111</f>
        <v>4431.9480000000003</v>
      </c>
      <c r="Q111" s="73">
        <f>'CY 2019-2020 forecast'!AA21*$B111</f>
        <v>18719.781999999999</v>
      </c>
      <c r="R111" s="73">
        <f>'CY 2019-2020 forecast'!AB21*$B111</f>
        <v>38134.637999999999</v>
      </c>
      <c r="S111" s="73">
        <f>'CY 2019-2020 forecast'!AC21*$B111</f>
        <v>59745.038</v>
      </c>
      <c r="T111" s="73"/>
    </row>
    <row r="112" spans="1:20">
      <c r="A112" s="4" t="s">
        <v>42</v>
      </c>
      <c r="B112" s="161">
        <f>'Prop EEC 2021 Rates VGS'!C10*10</f>
        <v>0.35200000000000004</v>
      </c>
      <c r="C112" s="73">
        <f>'CY 2019-2020 forecast'!M22*$B112</f>
        <v>3479.8720000000003</v>
      </c>
      <c r="D112" s="73">
        <f>'CY 2019-2020 forecast'!N22*$B112</f>
        <v>3900.1600000000003</v>
      </c>
      <c r="E112" s="73">
        <f>'CY 2019-2020 forecast'!O22*$B112</f>
        <v>5433.8240000000005</v>
      </c>
      <c r="F112" s="73">
        <f>'CY 2019-2020 forecast'!P22*$B112</f>
        <v>7335.3280000000004</v>
      </c>
      <c r="G112" s="73">
        <f>'CY 2019-2020 forecast'!Q22*$B112</f>
        <v>9084.768</v>
      </c>
      <c r="H112" s="73">
        <f>'CY 2019-2020 forecast'!R22*$B112</f>
        <v>9504.3520000000008</v>
      </c>
      <c r="I112" s="73">
        <f>'CY 2019-2020 forecast'!S22*$B112</f>
        <v>8444.1280000000006</v>
      </c>
      <c r="J112" s="73">
        <f>'CY 2019-2020 forecast'!T22*$B112</f>
        <v>7132.9280000000008</v>
      </c>
      <c r="K112" s="73">
        <f>'CY 2019-2020 forecast'!U22*$B112</f>
        <v>5081.4720000000007</v>
      </c>
      <c r="L112" s="73">
        <f>'CY 2019-2020 forecast'!V22*$B112</f>
        <v>3880.0960000000005</v>
      </c>
      <c r="M112" s="73">
        <f>'CY 2019-2020 forecast'!W22*$B112</f>
        <v>3308.4480000000003</v>
      </c>
      <c r="N112" s="73">
        <f>'CY 2019-2020 forecast'!X22*$B112</f>
        <v>3304.9280000000003</v>
      </c>
      <c r="O112" s="73">
        <f>'CY 2019-2020 forecast'!Y22*$B112</f>
        <v>3575.9680000000003</v>
      </c>
      <c r="P112" s="73">
        <f>'CY 2019-2020 forecast'!Z22*$B112</f>
        <v>3907.2000000000003</v>
      </c>
      <c r="Q112" s="73">
        <f>'CY 2019-2020 forecast'!AA22*$B112</f>
        <v>5423.6160000000009</v>
      </c>
      <c r="R112" s="73">
        <f>'CY 2019-2020 forecast'!AB22*$B112</f>
        <v>7349.0560000000005</v>
      </c>
      <c r="S112" s="73">
        <f>'CY 2019-2020 forecast'!AC22*$B112</f>
        <v>9621.2160000000003</v>
      </c>
      <c r="T112" s="73"/>
    </row>
    <row r="113" spans="1:20">
      <c r="A113" s="4" t="s">
        <v>43</v>
      </c>
      <c r="B113" s="161">
        <f>'Prop EEC 2021 Rates VGS'!C11*10</f>
        <v>0.35399999999999998</v>
      </c>
      <c r="C113" s="73">
        <f>'CY 2019-2020 forecast'!M23*$B113</f>
        <v>2865.6299999999997</v>
      </c>
      <c r="D113" s="73">
        <f>'CY 2019-2020 forecast'!N23*$B113</f>
        <v>5885.6039999999994</v>
      </c>
      <c r="E113" s="73">
        <f>'CY 2019-2020 forecast'!O23*$B113</f>
        <v>18399.504000000001</v>
      </c>
      <c r="F113" s="73">
        <f>'CY 2019-2020 forecast'!P23*$B113</f>
        <v>33204.137999999999</v>
      </c>
      <c r="G113" s="73">
        <f>'CY 2019-2020 forecast'!Q23*$B113</f>
        <v>48360.293999999994</v>
      </c>
      <c r="H113" s="73">
        <f>'CY 2019-2020 forecast'!R23*$B113</f>
        <v>48817.307999999997</v>
      </c>
      <c r="I113" s="73">
        <f>'CY 2019-2020 forecast'!S23*$B113</f>
        <v>40131.21</v>
      </c>
      <c r="J113" s="73">
        <f>'CY 2019-2020 forecast'!T23*$B113</f>
        <v>27169.853999999999</v>
      </c>
      <c r="K113" s="73">
        <f>'CY 2019-2020 forecast'!U23*$B113</f>
        <v>12051.575999999999</v>
      </c>
      <c r="L113" s="73">
        <f>'CY 2019-2020 forecast'!V23*$B113</f>
        <v>4093.6559999999999</v>
      </c>
      <c r="M113" s="73">
        <f>'CY 2019-2020 forecast'!W23*$B113</f>
        <v>2054.616</v>
      </c>
      <c r="N113" s="73">
        <f>'CY 2019-2020 forecast'!X23*$B113</f>
        <v>1851.0659999999998</v>
      </c>
      <c r="O113" s="73">
        <f>'CY 2019-2020 forecast'!Y23*$B113</f>
        <v>1995.8519999999999</v>
      </c>
      <c r="P113" s="73">
        <f>'CY 2019-2020 forecast'!Z23*$B113</f>
        <v>5918.1719999999996</v>
      </c>
      <c r="Q113" s="73">
        <f>'CY 2019-2020 forecast'!AA23*$B113</f>
        <v>18466.056</v>
      </c>
      <c r="R113" s="73">
        <f>'CY 2019-2020 forecast'!AB23*$B113</f>
        <v>33320.25</v>
      </c>
      <c r="S113" s="73">
        <f>'CY 2019-2020 forecast'!AC23*$B113</f>
        <v>51155.123999999996</v>
      </c>
      <c r="T113" s="73"/>
    </row>
    <row r="114" spans="1:20">
      <c r="A114" s="19" t="s">
        <v>44</v>
      </c>
      <c r="B114" s="161">
        <f>'Prop EEC 2021 Rates VGS'!C12*10</f>
        <v>0.27300000000000002</v>
      </c>
      <c r="C114" s="73">
        <f>'CY 2019-2020 forecast'!M24*$B114</f>
        <v>23472.813000000002</v>
      </c>
      <c r="D114" s="73">
        <f>'CY 2019-2020 forecast'!N24*$B114</f>
        <v>25179.882000000001</v>
      </c>
      <c r="E114" s="73">
        <f>'CY 2019-2020 forecast'!O24*$B114</f>
        <v>33129.369000000006</v>
      </c>
      <c r="F114" s="73">
        <f>'CY 2019-2020 forecast'!P24*$B114</f>
        <v>39808.86</v>
      </c>
      <c r="G114" s="73">
        <f>'CY 2019-2020 forecast'!Q24*$B114</f>
        <v>48468.147000000004</v>
      </c>
      <c r="H114" s="73">
        <f>'CY 2019-2020 forecast'!R24*$B114</f>
        <v>48679.722000000002</v>
      </c>
      <c r="I114" s="73">
        <f>'CY 2019-2020 forecast'!S24*$B114</f>
        <v>45391.164000000004</v>
      </c>
      <c r="J114" s="73">
        <f>'CY 2019-2020 forecast'!T24*$B114</f>
        <v>39192.699000000001</v>
      </c>
      <c r="K114" s="73">
        <f>'CY 2019-2020 forecast'!U24*$B114</f>
        <v>30655.989000000001</v>
      </c>
      <c r="L114" s="73">
        <f>'CY 2019-2020 forecast'!V24*$B114</f>
        <v>24863.202000000001</v>
      </c>
      <c r="M114" s="73">
        <f>'CY 2019-2020 forecast'!W24*$B114</f>
        <v>21594.573</v>
      </c>
      <c r="N114" s="73">
        <f>'CY 2019-2020 forecast'!X24*$B114</f>
        <v>21405.384000000002</v>
      </c>
      <c r="O114" s="73">
        <f>'CY 2019-2020 forecast'!Y24*$B114</f>
        <v>23387.364000000001</v>
      </c>
      <c r="P114" s="73">
        <f>'CY 2019-2020 forecast'!Z24*$B114</f>
        <v>25405.926000000003</v>
      </c>
      <c r="Q114" s="73">
        <f>'CY 2019-2020 forecast'!AA24*$B114</f>
        <v>33341.762999999999</v>
      </c>
      <c r="R114" s="73">
        <f>'CY 2019-2020 forecast'!AB24*$B114</f>
        <v>40038.18</v>
      </c>
      <c r="S114" s="73"/>
      <c r="T114" s="73"/>
    </row>
    <row r="115" spans="1:20" ht="15" thickBot="1">
      <c r="A115" s="20" t="s">
        <v>45</v>
      </c>
      <c r="B115" s="161">
        <f>'Prop EEC 2021 Rates VGS'!C13*10</f>
        <v>0.19699999999999998</v>
      </c>
      <c r="C115" s="73">
        <f>'CY 2019-2020 forecast'!M28*$B115</f>
        <v>41382.804999999993</v>
      </c>
      <c r="D115" s="73">
        <f>'CY 2019-2020 forecast'!N28*$B115</f>
        <v>45099.603999999992</v>
      </c>
      <c r="E115" s="73">
        <f>'CY 2019-2020 forecast'!O28*$B115</f>
        <v>47056.601999999999</v>
      </c>
      <c r="F115" s="73">
        <f>'CY 2019-2020 forecast'!P28*$B115</f>
        <v>53946.282999999996</v>
      </c>
      <c r="G115" s="73">
        <f>'CY 2019-2020 forecast'!Q28*$B115</f>
        <v>61106.444999999992</v>
      </c>
      <c r="H115" s="73">
        <f>'CY 2019-2020 forecast'!R28*$B115</f>
        <v>52138.807999999997</v>
      </c>
      <c r="I115" s="73">
        <f>'CY 2019-2020 forecast'!S28*$B115</f>
        <v>52065.13</v>
      </c>
      <c r="J115" s="73">
        <f>'CY 2019-2020 forecast'!T28*$B115</f>
        <v>44076.976999999999</v>
      </c>
      <c r="K115" s="73">
        <f>'CY 2019-2020 forecast'!U28*$B115</f>
        <v>40148.6</v>
      </c>
      <c r="L115" s="73">
        <f>'CY 2019-2020 forecast'!V28*$B115</f>
        <v>37474.324999999997</v>
      </c>
      <c r="M115" s="73">
        <f>'CY 2019-2020 forecast'!W28*$B115</f>
        <v>40832.583999999995</v>
      </c>
      <c r="N115" s="73">
        <f>'CY 2019-2020 forecast'!X28*$B115</f>
        <v>41226.780999999995</v>
      </c>
      <c r="O115" s="73">
        <f>'CY 2019-2020 forecast'!Y28*$B115</f>
        <v>39690.968999999997</v>
      </c>
      <c r="P115" s="73">
        <f>'CY 2019-2020 forecast'!Z28*$B115</f>
        <v>45235.927999999993</v>
      </c>
      <c r="Q115" s="73">
        <f>'CY 2019-2020 forecast'!AA28*$B115</f>
        <v>46975.240999999995</v>
      </c>
      <c r="R115" s="73">
        <f>'CY 2019-2020 forecast'!AB28*$B115</f>
        <v>54428.144999999997</v>
      </c>
      <c r="S115" s="73"/>
      <c r="T115" s="73"/>
    </row>
    <row r="116" spans="1:20" ht="15" thickBot="1">
      <c r="A116" s="214" t="s">
        <v>60</v>
      </c>
      <c r="B116" s="45"/>
      <c r="C116" s="215">
        <f t="shared" ref="C116" si="11">SUM(C109:C115)</f>
        <v>114989.98569277397</v>
      </c>
      <c r="D116" s="215">
        <f t="shared" ref="D116" si="12">SUM(D109:D115)</f>
        <v>142049.1110120822</v>
      </c>
      <c r="E116" s="215">
        <f t="shared" ref="E116:G116" si="13">SUM(E109:E115)</f>
        <v>259895.18536992715</v>
      </c>
      <c r="F116" s="215">
        <f t="shared" si="13"/>
        <v>399208.53815076686</v>
      </c>
      <c r="G116" s="215">
        <f t="shared" si="13"/>
        <v>547420.91344523674</v>
      </c>
      <c r="H116" s="215">
        <f t="shared" ref="H116:I116" si="14">SUM(H109:H115)</f>
        <v>549975.59970789053</v>
      </c>
      <c r="I116" s="215">
        <f t="shared" si="14"/>
        <v>477402.38412696321</v>
      </c>
      <c r="J116" s="215">
        <f t="shared" ref="J116:S116" si="15">SUM(J109:J115)</f>
        <v>358206.03609831253</v>
      </c>
      <c r="K116" s="215">
        <f t="shared" si="15"/>
        <v>215120.5656451355</v>
      </c>
      <c r="L116" s="215">
        <f t="shared" si="15"/>
        <v>134241.42642005143</v>
      </c>
      <c r="M116" s="215">
        <f t="shared" si="15"/>
        <v>110806.27873766009</v>
      </c>
      <c r="N116" s="215">
        <f t="shared" si="15"/>
        <v>109162.31145738054</v>
      </c>
      <c r="O116" s="215">
        <f t="shared" si="15"/>
        <v>111405.23877846044</v>
      </c>
      <c r="P116" s="215">
        <f t="shared" si="15"/>
        <v>143099.35313692328</v>
      </c>
      <c r="Q116" s="215">
        <f t="shared" si="15"/>
        <v>262000.49443927058</v>
      </c>
      <c r="R116" s="215">
        <f t="shared" si="15"/>
        <v>403272.90458321635</v>
      </c>
      <c r="S116" s="215">
        <f t="shared" si="15"/>
        <v>450048.8917079019</v>
      </c>
      <c r="T116" s="215"/>
    </row>
    <row r="118" spans="1:20">
      <c r="B118" t="s">
        <v>221</v>
      </c>
      <c r="C118" s="88">
        <v>109139.22689999999</v>
      </c>
      <c r="D118" s="88">
        <v>153650.65350000001</v>
      </c>
      <c r="E118" s="88">
        <v>297951.49859999999</v>
      </c>
      <c r="F118" s="88">
        <v>438633.19679999998</v>
      </c>
      <c r="G118" s="88">
        <v>512134.77120000013</v>
      </c>
      <c r="H118" s="88">
        <v>526042.34719999996</v>
      </c>
      <c r="I118" s="88">
        <v>424165.96720000001</v>
      </c>
      <c r="J118" s="88">
        <v>337017.68789999996</v>
      </c>
      <c r="K118" s="88">
        <v>266965.76000000001</v>
      </c>
      <c r="L118" s="88">
        <v>137398.33679999999</v>
      </c>
      <c r="M118" s="88">
        <v>107139.97659999998</v>
      </c>
      <c r="N118" s="88">
        <v>103988.95569999999</v>
      </c>
      <c r="O118" s="88"/>
      <c r="P118" s="88"/>
      <c r="Q118" s="88"/>
      <c r="R118" s="88"/>
      <c r="S118" s="296"/>
    </row>
    <row r="119" spans="1:20">
      <c r="C119" s="88"/>
      <c r="D119" s="88"/>
      <c r="E119" s="88"/>
      <c r="F119" s="88"/>
      <c r="G119" s="88"/>
      <c r="H119" s="88"/>
      <c r="I119" s="88"/>
      <c r="J119" s="88"/>
      <c r="K119" s="88"/>
      <c r="L119" s="88"/>
      <c r="M119" s="88"/>
      <c r="N119" s="88"/>
      <c r="O119" s="88"/>
      <c r="P119" s="88"/>
      <c r="Q119" s="88"/>
      <c r="R119" s="88"/>
    </row>
    <row r="120" spans="1:20">
      <c r="B120" t="s">
        <v>112</v>
      </c>
      <c r="C120" s="88">
        <v>115468.024201288</v>
      </c>
      <c r="D120" s="88">
        <v>141675.82624780742</v>
      </c>
      <c r="E120" s="88">
        <v>273180.06562469207</v>
      </c>
      <c r="F120" s="88">
        <v>412990.30709521024</v>
      </c>
      <c r="G120" s="88">
        <v>522130.36629963713</v>
      </c>
      <c r="H120" s="88">
        <v>542658.95881761494</v>
      </c>
      <c r="I120" s="88">
        <v>480752.8806587013</v>
      </c>
      <c r="J120" s="88">
        <v>354119.30680667463</v>
      </c>
      <c r="K120" s="88">
        <v>205643.98987578944</v>
      </c>
      <c r="L120" s="88">
        <v>134433.12570287974</v>
      </c>
      <c r="M120" s="88">
        <v>110661.65702700279</v>
      </c>
      <c r="N120" s="88">
        <v>107418.13587728108</v>
      </c>
      <c r="O120" s="88">
        <v>114414.7058410568</v>
      </c>
      <c r="P120" s="88">
        <v>141338.16704303893</v>
      </c>
      <c r="Q120" s="88">
        <v>258593.6638599337</v>
      </c>
      <c r="R120" s="88">
        <v>397208.74656597158</v>
      </c>
      <c r="S120" s="31">
        <f>S109+S110+S111+S112+S113+S114</f>
        <v>450048.8917079019</v>
      </c>
    </row>
    <row r="123" spans="1:20">
      <c r="O123" s="82">
        <f>O120-O116</f>
        <v>3009.4670625963627</v>
      </c>
      <c r="P123" s="82">
        <f>P120-P116</f>
        <v>-1761.1860938843456</v>
      </c>
      <c r="Q123" s="82">
        <f>Q120-Q116</f>
        <v>-3406.8305793368781</v>
      </c>
      <c r="R123" s="82">
        <f>R120-R116</f>
        <v>-6064.1580172447721</v>
      </c>
      <c r="S123" s="82">
        <f>S120-S116</f>
        <v>0</v>
      </c>
    </row>
    <row r="131" spans="1:14">
      <c r="M131" s="33"/>
      <c r="N131" s="38"/>
    </row>
    <row r="132" spans="1:14">
      <c r="M132" s="33"/>
      <c r="N132" s="38"/>
    </row>
    <row r="133" spans="1:14">
      <c r="M133" s="33"/>
      <c r="N133" s="38"/>
    </row>
    <row r="134" spans="1:14">
      <c r="M134" s="33"/>
      <c r="N134" s="38"/>
    </row>
    <row r="135" spans="1:14">
      <c r="M135" s="33"/>
      <c r="N135" s="38"/>
    </row>
    <row r="141" spans="1:14">
      <c r="A141" s="288"/>
      <c r="B141" s="168"/>
      <c r="C141" s="311"/>
      <c r="D141" s="229"/>
      <c r="E141" s="108"/>
    </row>
    <row r="142" spans="1:14">
      <c r="A142" s="108"/>
      <c r="B142" s="168"/>
      <c r="C142" s="311"/>
      <c r="D142" s="108"/>
      <c r="E142" s="108"/>
    </row>
    <row r="150" spans="3:7">
      <c r="C150" s="38"/>
      <c r="D150" s="38"/>
      <c r="E150" s="38"/>
      <c r="F150" s="38"/>
      <c r="G150" s="38"/>
    </row>
    <row r="151" spans="3:7">
      <c r="C151" s="38"/>
      <c r="D151" s="38"/>
      <c r="E151" s="38"/>
      <c r="F151" s="38"/>
      <c r="G151" s="38"/>
    </row>
    <row r="152" spans="3:7">
      <c r="C152" s="38"/>
      <c r="D152" s="38"/>
      <c r="E152" s="38"/>
      <c r="F152" s="38"/>
      <c r="G152" s="38"/>
    </row>
    <row r="153" spans="3:7">
      <c r="C153" s="38"/>
      <c r="D153" s="38"/>
      <c r="E153" s="38"/>
      <c r="F153" s="38"/>
      <c r="G153" s="38"/>
    </row>
    <row r="154" spans="3:7">
      <c r="C154" s="38"/>
      <c r="D154" s="38"/>
      <c r="E154" s="38"/>
      <c r="F154" s="38"/>
      <c r="G154" s="38"/>
    </row>
    <row r="155" spans="3:7">
      <c r="C155" s="38"/>
      <c r="D155" s="38"/>
      <c r="E155" s="38"/>
      <c r="F155" s="38"/>
      <c r="G155" s="38"/>
    </row>
    <row r="156" spans="3:7">
      <c r="C156" s="38"/>
      <c r="D156" s="38"/>
      <c r="E156" s="38"/>
      <c r="F156" s="38"/>
      <c r="G156" s="38"/>
    </row>
    <row r="157" spans="3:7">
      <c r="C157" s="38"/>
      <c r="D157" s="38"/>
      <c r="E157" s="38"/>
      <c r="F157" s="38"/>
      <c r="G157" s="38"/>
    </row>
    <row r="158" spans="3:7">
      <c r="C158" s="38"/>
      <c r="D158" s="38"/>
      <c r="E158" s="38"/>
      <c r="F158" s="38"/>
      <c r="G158" s="38"/>
    </row>
    <row r="159" spans="3:7">
      <c r="C159" s="38"/>
      <c r="D159" s="38"/>
      <c r="E159" s="38"/>
      <c r="F159" s="38"/>
      <c r="G159" s="38"/>
    </row>
    <row r="160" spans="3:7">
      <c r="C160" s="38"/>
    </row>
    <row r="161" spans="3:3">
      <c r="C161" s="38"/>
    </row>
  </sheetData>
  <mergeCells count="2">
    <mergeCell ref="B105:B107"/>
    <mergeCell ref="I105:L105"/>
  </mergeCells>
  <pageMargins left="0.7" right="0.7" top="0.75" bottom="0.75" header="0.3" footer="0.3"/>
  <pageSetup scale="73" orientation="landscape" r:id="rId1"/>
  <drawing r:id="rId2"/>
  <legacyDrawing r:id="rId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4"/>
  <dimension ref="A1:BE85"/>
  <sheetViews>
    <sheetView workbookViewId="0">
      <pane xSplit="1" topLeftCell="AJ1" activePane="topRight" state="frozen"/>
      <selection pane="topRight"/>
    </sheetView>
  </sheetViews>
  <sheetFormatPr defaultRowHeight="14.5"/>
  <cols>
    <col min="1" max="1" width="44.7265625" customWidth="1"/>
    <col min="2" max="41" width="11.453125" style="71" customWidth="1"/>
    <col min="42" max="44" width="15.7265625" style="71" bestFit="1" customWidth="1"/>
    <col min="45" max="52" width="8.7265625" style="71"/>
    <col min="53" max="53" width="13.08984375" style="71" customWidth="1"/>
    <col min="54" max="54" width="12.36328125" style="71" customWidth="1"/>
    <col min="55" max="55" width="14.26953125" style="71" customWidth="1"/>
    <col min="56" max="56" width="15" style="71" customWidth="1"/>
    <col min="57" max="57" width="12.08984375" customWidth="1"/>
  </cols>
  <sheetData>
    <row r="1" spans="1:44">
      <c r="B1" s="71" t="s">
        <v>179</v>
      </c>
      <c r="N1" s="71" t="s">
        <v>182</v>
      </c>
      <c r="AB1" s="71" t="s">
        <v>182</v>
      </c>
    </row>
    <row r="2" spans="1:44">
      <c r="A2" s="44" t="s">
        <v>183</v>
      </c>
      <c r="AL2" s="71" t="s">
        <v>246</v>
      </c>
    </row>
    <row r="3" spans="1:44">
      <c r="B3" s="71">
        <v>2018</v>
      </c>
      <c r="C3" s="71">
        <v>2018</v>
      </c>
      <c r="D3" s="71">
        <v>2018</v>
      </c>
      <c r="E3" s="71">
        <v>2019</v>
      </c>
      <c r="F3" s="71">
        <v>2019</v>
      </c>
      <c r="G3" s="71">
        <v>2019</v>
      </c>
      <c r="H3" s="71">
        <v>2019</v>
      </c>
      <c r="I3" s="71">
        <v>2019</v>
      </c>
      <c r="J3" s="71">
        <v>2019</v>
      </c>
      <c r="K3" s="71">
        <v>2019</v>
      </c>
      <c r="L3" s="71">
        <v>2019</v>
      </c>
      <c r="M3" s="71">
        <v>2019</v>
      </c>
      <c r="N3" s="71">
        <f>[6]F!D2</f>
        <v>2019</v>
      </c>
      <c r="O3" s="71">
        <f>[6]F!E2</f>
        <v>2019</v>
      </c>
      <c r="P3" s="71">
        <f>[6]F!F2</f>
        <v>2019</v>
      </c>
      <c r="Q3" s="71">
        <f>[6]F!G2</f>
        <v>2020</v>
      </c>
      <c r="R3" s="71">
        <f>[6]F!H2</f>
        <v>2020</v>
      </c>
      <c r="S3" s="71">
        <f>[6]F!I2</f>
        <v>2020</v>
      </c>
      <c r="T3" s="71">
        <f>[6]F!J2</f>
        <v>2020</v>
      </c>
      <c r="U3" s="71">
        <f>[6]F!K2</f>
        <v>2020</v>
      </c>
      <c r="V3" s="71">
        <f>[6]F!L2</f>
        <v>2020</v>
      </c>
      <c r="W3" s="71">
        <f>[6]F!M2</f>
        <v>2020</v>
      </c>
      <c r="X3" s="71">
        <f>[6]F!N2</f>
        <v>2020</v>
      </c>
      <c r="Y3" s="71">
        <f>[6]F!O2</f>
        <v>2020</v>
      </c>
      <c r="Z3" s="71">
        <f>[6]F!P2</f>
        <v>2020</v>
      </c>
      <c r="AA3" s="71">
        <f>[6]F!Q2</f>
        <v>2020</v>
      </c>
      <c r="AB3" s="71">
        <f>[6]F!R2</f>
        <v>2020</v>
      </c>
      <c r="AC3" s="71">
        <f>[7]D!G$4</f>
        <v>2021</v>
      </c>
      <c r="AD3" s="71">
        <f>[7]D!H$4</f>
        <v>2021</v>
      </c>
      <c r="AE3" s="71">
        <f>[7]D!I$4</f>
        <v>2021</v>
      </c>
      <c r="AF3" s="71">
        <f>[7]D!J$4</f>
        <v>2021</v>
      </c>
      <c r="AG3" s="71">
        <f>[7]D!K$4</f>
        <v>2021</v>
      </c>
      <c r="AH3" s="71">
        <f>[7]D!L$4</f>
        <v>2021</v>
      </c>
      <c r="AI3" s="71">
        <f>[7]D!M$4</f>
        <v>2021</v>
      </c>
      <c r="AJ3" s="71">
        <f>[7]D!N$4</f>
        <v>2021</v>
      </c>
      <c r="AK3" s="71">
        <f>[7]D!O$4</f>
        <v>2021</v>
      </c>
      <c r="AL3" s="71">
        <f>[7]D!D$4</f>
        <v>2020</v>
      </c>
      <c r="AM3" s="71">
        <f>[7]D!E$4</f>
        <v>2020</v>
      </c>
      <c r="AN3" s="71">
        <f>[7]D!F$4</f>
        <v>2020</v>
      </c>
    </row>
    <row r="4" spans="1:44" ht="18.5">
      <c r="A4" t="s">
        <v>24</v>
      </c>
      <c r="B4" s="218" t="s">
        <v>10</v>
      </c>
      <c r="C4" s="218" t="s">
        <v>11</v>
      </c>
      <c r="D4" s="218" t="s">
        <v>12</v>
      </c>
      <c r="E4" s="218" t="s">
        <v>13</v>
      </c>
      <c r="F4" s="218" t="s">
        <v>14</v>
      </c>
      <c r="G4" s="218" t="s">
        <v>15</v>
      </c>
      <c r="H4" s="218" t="s">
        <v>16</v>
      </c>
      <c r="I4" s="218" t="s">
        <v>17</v>
      </c>
      <c r="J4" s="218" t="s">
        <v>18</v>
      </c>
      <c r="K4" s="218" t="s">
        <v>19</v>
      </c>
      <c r="L4" s="218" t="s">
        <v>20</v>
      </c>
      <c r="M4" s="218" t="s">
        <v>21</v>
      </c>
      <c r="N4" s="253" t="str">
        <f>[6]F!D3</f>
        <v>October</v>
      </c>
      <c r="O4" s="253" t="str">
        <f>[6]F!E3</f>
        <v>November</v>
      </c>
      <c r="P4" s="253" t="str">
        <f>[6]F!F3</f>
        <v>December</v>
      </c>
      <c r="Q4" s="253" t="str">
        <f>[6]F!G3</f>
        <v>January</v>
      </c>
      <c r="R4" s="253" t="str">
        <f>[6]F!H3</f>
        <v>February</v>
      </c>
      <c r="S4" s="253" t="str">
        <f>[6]F!I3</f>
        <v>March</v>
      </c>
      <c r="T4" s="253" t="str">
        <f>[6]F!J3</f>
        <v>April</v>
      </c>
      <c r="U4" s="253" t="str">
        <f>[6]F!K3</f>
        <v>May</v>
      </c>
      <c r="V4" s="253" t="str">
        <f>[6]F!L3</f>
        <v>June</v>
      </c>
      <c r="W4" s="253" t="str">
        <f>[6]F!M3</f>
        <v>July</v>
      </c>
      <c r="X4" s="253" t="str">
        <f>[6]F!N3</f>
        <v>August</v>
      </c>
      <c r="Y4" s="253" t="str">
        <f>[6]F!O3</f>
        <v>September</v>
      </c>
      <c r="Z4" s="253" t="str">
        <f>[6]F!P3</f>
        <v>October</v>
      </c>
      <c r="AA4" s="253" t="str">
        <f>[6]F!Q3</f>
        <v>November</v>
      </c>
      <c r="AB4" s="253" t="str">
        <f>[6]F!R3</f>
        <v>December</v>
      </c>
      <c r="AC4" s="294" t="str">
        <f>[7]D!G$5</f>
        <v>January</v>
      </c>
      <c r="AD4" s="294" t="str">
        <f>[7]D!H$5</f>
        <v>February</v>
      </c>
      <c r="AE4" s="294" t="str">
        <f>[7]D!I$5</f>
        <v>March</v>
      </c>
      <c r="AF4" s="294" t="str">
        <f>[7]D!J$5</f>
        <v>April</v>
      </c>
      <c r="AG4" s="294" t="str">
        <f>[7]D!K$5</f>
        <v>May</v>
      </c>
      <c r="AH4" s="294" t="str">
        <f>[7]D!L$5</f>
        <v>June</v>
      </c>
      <c r="AI4" s="294" t="str">
        <f>[7]D!M$5</f>
        <v>July</v>
      </c>
      <c r="AJ4" s="294" t="str">
        <f>[7]D!N$5</f>
        <v>August</v>
      </c>
      <c r="AK4" s="294" t="str">
        <f>[7]D!O$5</f>
        <v>September</v>
      </c>
      <c r="AL4" s="294" t="str">
        <f>[7]D!D$5</f>
        <v>October</v>
      </c>
      <c r="AM4" s="294" t="str">
        <f>[7]D!E$5</f>
        <v>November</v>
      </c>
      <c r="AN4" s="294" t="str">
        <f>[7]D!F$5</f>
        <v>December</v>
      </c>
      <c r="AO4" s="253"/>
      <c r="AP4" s="219" t="s">
        <v>177</v>
      </c>
      <c r="AQ4" s="219" t="s">
        <v>194</v>
      </c>
      <c r="AR4" s="219" t="s">
        <v>192</v>
      </c>
    </row>
    <row r="5" spans="1:44" ht="15.5">
      <c r="A5" s="2" t="s">
        <v>2</v>
      </c>
      <c r="B5" s="220">
        <f>[8]D!C31</f>
        <v>2228356.7698082193</v>
      </c>
      <c r="C5" s="220">
        <f>[8]D!D31</f>
        <v>4322996.7424657531</v>
      </c>
      <c r="D5" s="220">
        <f>[8]D!E31</f>
        <v>6264470.7930958904</v>
      </c>
      <c r="E5" s="220">
        <f>[8]D!F31</f>
        <v>7791553.559452055</v>
      </c>
      <c r="F5" s="220">
        <f>[8]D!G31</f>
        <v>8081722.8486027401</v>
      </c>
      <c r="G5" s="220">
        <f>[8]D!H31</f>
        <v>7226871.9230958903</v>
      </c>
      <c r="H5" s="220">
        <f>[8]D!I31</f>
        <v>5586925.6024657534</v>
      </c>
      <c r="I5" s="220">
        <f>[8]D!J31</f>
        <v>3467225.0165479453</v>
      </c>
      <c r="J5" s="220">
        <f>[8]D!K31</f>
        <v>2337983.1324657537</v>
      </c>
      <c r="K5" s="220">
        <f>[8]D!L31</f>
        <v>1981042.5625479452</v>
      </c>
      <c r="L5" s="220">
        <f>[8]D!M31</f>
        <v>1915559.255452055</v>
      </c>
      <c r="M5" s="220">
        <f>[8]D!N31</f>
        <v>1912627.5875342465</v>
      </c>
      <c r="N5" s="220">
        <f>[6]D!C31</f>
        <v>2188462.9814520548</v>
      </c>
      <c r="O5" s="220">
        <f>[6]D!D31</f>
        <v>3751217.4953424656</v>
      </c>
      <c r="P5" s="220">
        <f>[6]D!E31</f>
        <v>5574170.8617808223</v>
      </c>
      <c r="Q5" s="220">
        <f>[6]D!F31</f>
        <v>7435211.413479453</v>
      </c>
      <c r="R5" s="220">
        <f>[6]D!G31</f>
        <v>7424386.704328767</v>
      </c>
      <c r="S5" s="220">
        <f>[6]D!H31</f>
        <v>6598419.621534247</v>
      </c>
      <c r="T5" s="220">
        <f>[6]D!I31</f>
        <v>5122393.2989041097</v>
      </c>
      <c r="U5" s="220">
        <f>[6]D!J31</f>
        <v>3365301.9709315067</v>
      </c>
      <c r="V5" s="220">
        <f>[6]D!K31</f>
        <v>2231402.7969863014</v>
      </c>
      <c r="W5" s="220">
        <f>[6]D!L31</f>
        <v>1877569.0898630139</v>
      </c>
      <c r="X5" s="220">
        <f>[6]D!M31</f>
        <v>1874707.0574520547</v>
      </c>
      <c r="Y5" s="220">
        <f>[6]D!N31</f>
        <v>1870360.1021917807</v>
      </c>
      <c r="Z5" s="220">
        <f>[6]D!O31</f>
        <v>2260982.4565479453</v>
      </c>
      <c r="AA5" s="220">
        <f>[6]D!P31</f>
        <v>3935469.5586301368</v>
      </c>
      <c r="AB5" s="220">
        <f>[6]D!Q31</f>
        <v>5871827.1877260283</v>
      </c>
      <c r="AC5" s="220">
        <f>[7]D!G33</f>
        <v>7752040.6685479451</v>
      </c>
      <c r="AD5" s="220">
        <f>[7]D!H33</f>
        <v>7757332.8094794517</v>
      </c>
      <c r="AE5" s="220">
        <f>[7]D!I33</f>
        <v>6760332.1188767124</v>
      </c>
      <c r="AF5" s="220">
        <f>[7]D!J33</f>
        <v>5448413.3372602742</v>
      </c>
      <c r="AG5" s="220">
        <f>[7]D!K33</f>
        <v>3572734.9591780822</v>
      </c>
      <c r="AH5" s="220">
        <f>[7]D!L33</f>
        <v>2351956.8256164384</v>
      </c>
      <c r="AI5" s="220">
        <f>[7]D!M33</f>
        <v>1967245.4260821918</v>
      </c>
      <c r="AJ5" s="220">
        <f>[7]D!N33</f>
        <v>1920318.1536986299</v>
      </c>
      <c r="AK5" s="220">
        <f>[7]D!O33</f>
        <v>1916478.6849315069</v>
      </c>
      <c r="AL5" s="220">
        <f>[7]D!D33</f>
        <v>2319292.930821918</v>
      </c>
      <c r="AM5" s="220">
        <f>[7]D!E33</f>
        <v>3939698.7980821915</v>
      </c>
      <c r="AN5" s="220">
        <f>[7]D!F33</f>
        <v>5828709.784931507</v>
      </c>
      <c r="AO5" s="220"/>
      <c r="AP5" s="220">
        <f t="shared" ref="AP5:AP14" si="0">SUM(E5:P5)</f>
        <v>51815362.826739721</v>
      </c>
      <c r="AQ5" s="220">
        <f t="shared" ref="AQ5:AQ14" si="1">SUM(Q5:AB5)</f>
        <v>49868031.25857535</v>
      </c>
      <c r="AR5" s="220">
        <f>SUM(AC5:AN5)</f>
        <v>51534554.497506857</v>
      </c>
    </row>
    <row r="6" spans="1:44" ht="15.5">
      <c r="A6" s="2" t="s">
        <v>3</v>
      </c>
      <c r="B6" s="220">
        <f>[8]D!C32</f>
        <v>229394.639369863</v>
      </c>
      <c r="C6" s="220">
        <f>[8]D!D32</f>
        <v>500908.43739726034</v>
      </c>
      <c r="D6" s="220">
        <f>[8]D!E32</f>
        <v>909074.241479452</v>
      </c>
      <c r="E6" s="220">
        <f>[8]D!F32</f>
        <v>1356274.4980821917</v>
      </c>
      <c r="F6" s="220">
        <f>[8]D!G32</f>
        <v>1416753.7959726027</v>
      </c>
      <c r="G6" s="220">
        <f>[8]D!H32</f>
        <v>1224853.9549589041</v>
      </c>
      <c r="H6" s="220">
        <f>[8]D!I32</f>
        <v>825481.10931506846</v>
      </c>
      <c r="I6" s="220">
        <f>[8]D!J32</f>
        <v>389917.924</v>
      </c>
      <c r="J6" s="220">
        <f>[8]D!K32</f>
        <v>220691.65534246576</v>
      </c>
      <c r="K6" s="220">
        <f>[8]D!L32</f>
        <v>184260.96695890412</v>
      </c>
      <c r="L6" s="220">
        <f>[8]D!M32</f>
        <v>178615.93339726029</v>
      </c>
      <c r="M6" s="220">
        <f>[8]D!N32</f>
        <v>180465.40794520543</v>
      </c>
      <c r="N6" s="220">
        <f>[6]D!C32</f>
        <v>229323.9666027397</v>
      </c>
      <c r="O6" s="220">
        <f>[6]D!D32</f>
        <v>494639.25315068488</v>
      </c>
      <c r="P6" s="220">
        <f>[6]D!E32</f>
        <v>864908.09904109593</v>
      </c>
      <c r="Q6" s="220">
        <f>[6]D!F32</f>
        <v>1278800.0465753425</v>
      </c>
      <c r="R6" s="220">
        <f>[6]D!G32</f>
        <v>1253340.34569863</v>
      </c>
      <c r="S6" s="220">
        <f>[6]D!H32</f>
        <v>1049796.1970958905</v>
      </c>
      <c r="T6" s="220">
        <f>[6]D!I32</f>
        <v>731637.59095890413</v>
      </c>
      <c r="U6" s="220">
        <f>[6]D!J32</f>
        <v>381440.01936986303</v>
      </c>
      <c r="V6" s="220">
        <f>[6]D!K32</f>
        <v>212677.29109589042</v>
      </c>
      <c r="W6" s="220">
        <f>[6]D!L32</f>
        <v>180521.32328767123</v>
      </c>
      <c r="X6" s="220">
        <f>[6]D!M32</f>
        <v>177448.47972602741</v>
      </c>
      <c r="Y6" s="220">
        <f>[6]D!N32</f>
        <v>172910.04082191782</v>
      </c>
      <c r="Z6" s="220">
        <f>[6]D!O32</f>
        <v>237864.98082191779</v>
      </c>
      <c r="AA6" s="220">
        <f>[6]D!P32</f>
        <v>526037.75356164388</v>
      </c>
      <c r="AB6" s="220">
        <f>[6]D!Q32</f>
        <v>923174.83454794518</v>
      </c>
      <c r="AC6" s="220">
        <f>[7]D!G34</f>
        <v>1290140.8203013698</v>
      </c>
      <c r="AD6" s="220">
        <f>[7]D!H34</f>
        <v>1289598.8623013699</v>
      </c>
      <c r="AE6" s="220">
        <f>[7]D!I34</f>
        <v>1055422.529369863</v>
      </c>
      <c r="AF6" s="220">
        <f>[7]D!J34</f>
        <v>765328.89972602739</v>
      </c>
      <c r="AG6" s="220">
        <f>[7]D!K34</f>
        <v>399190.38057534245</v>
      </c>
      <c r="AH6" s="220">
        <f>[7]D!L34</f>
        <v>215035.4090410959</v>
      </c>
      <c r="AI6" s="220">
        <f>[7]D!M34</f>
        <v>187903.94032876709</v>
      </c>
      <c r="AJ6" s="220">
        <f>[7]D!N34</f>
        <v>186567.64013698633</v>
      </c>
      <c r="AK6" s="220">
        <f>[7]D!O34</f>
        <v>175228.42205479453</v>
      </c>
      <c r="AL6" s="220">
        <f>[7]D!D34</f>
        <v>238915.25824657537</v>
      </c>
      <c r="AM6" s="220">
        <f>[7]D!E34</f>
        <v>520957.65369863017</v>
      </c>
      <c r="AN6" s="220">
        <f>[7]D!F34</f>
        <v>903169.45383561647</v>
      </c>
      <c r="AO6" s="220"/>
      <c r="AP6" s="220">
        <f t="shared" si="0"/>
        <v>7566186.5647671232</v>
      </c>
      <c r="AQ6" s="220">
        <f t="shared" si="1"/>
        <v>7125648.9035616443</v>
      </c>
      <c r="AR6" s="220">
        <f t="shared" ref="AR6:AR14" si="2">SUM(AC6:AN6)</f>
        <v>7227459.269616439</v>
      </c>
    </row>
    <row r="7" spans="1:44" ht="15.5">
      <c r="A7" s="2" t="s">
        <v>4</v>
      </c>
      <c r="B7" s="220">
        <f>[8]D!C33</f>
        <v>105729.74495890411</v>
      </c>
      <c r="C7" s="220">
        <f>[8]D!D33</f>
        <v>132340.28739726025</v>
      </c>
      <c r="D7" s="220">
        <f>[8]D!E33</f>
        <v>167540.33312328765</v>
      </c>
      <c r="E7" s="220">
        <f>[8]D!F33</f>
        <v>203204.1350410959</v>
      </c>
      <c r="F7" s="220">
        <f>[8]D!G33</f>
        <v>215885.94197260274</v>
      </c>
      <c r="G7" s="220">
        <f>[8]D!H33</f>
        <v>204729.62695890412</v>
      </c>
      <c r="H7" s="220">
        <f>[8]D!I33</f>
        <v>174204.86794520548</v>
      </c>
      <c r="I7" s="220">
        <f>[8]D!J33</f>
        <v>133383.79887671233</v>
      </c>
      <c r="J7" s="220">
        <f>[8]D!K33</f>
        <v>108478.97465753424</v>
      </c>
      <c r="K7" s="220">
        <f>[8]D!L33</f>
        <v>101608.41756164383</v>
      </c>
      <c r="L7" s="220">
        <f>[8]D!M33</f>
        <v>98109.301999999996</v>
      </c>
      <c r="M7" s="220">
        <f>[8]D!N33</f>
        <v>106061.21794520548</v>
      </c>
      <c r="N7" s="220">
        <f>[6]D!C33</f>
        <v>111898.31495890411</v>
      </c>
      <c r="O7" s="220">
        <f>[6]D!D33</f>
        <v>140479.75712328765</v>
      </c>
      <c r="P7" s="220">
        <f>[6]D!E33</f>
        <v>178459.98358904111</v>
      </c>
      <c r="Q7" s="220">
        <f>[6]D!F33</f>
        <v>212243.57531506848</v>
      </c>
      <c r="R7" s="220">
        <f>[6]D!G33</f>
        <v>213327.43512328767</v>
      </c>
      <c r="S7" s="220">
        <f>[6]D!H33</f>
        <v>196764.58167123288</v>
      </c>
      <c r="T7" s="220">
        <f>[6]D!I33</f>
        <v>170717.64589041093</v>
      </c>
      <c r="U7" s="220">
        <f>[6]D!J33</f>
        <v>135523.75167123289</v>
      </c>
      <c r="V7" s="220">
        <f>[6]D!K33</f>
        <v>110913.51849315068</v>
      </c>
      <c r="W7" s="220">
        <f>[6]D!L33</f>
        <v>100934.55246575343</v>
      </c>
      <c r="X7" s="220">
        <f>[6]D!M33</f>
        <v>103523.6005479452</v>
      </c>
      <c r="Y7" s="220">
        <f>[6]D!N33</f>
        <v>107747.55520547945</v>
      </c>
      <c r="Z7" s="220">
        <f>[6]D!O33</f>
        <v>115738.08246575342</v>
      </c>
      <c r="AA7" s="220">
        <f>[6]D!P33</f>
        <v>146626.09452054795</v>
      </c>
      <c r="AB7" s="220">
        <f>[6]D!Q33</f>
        <v>187296.73723287671</v>
      </c>
      <c r="AC7" s="220">
        <f>[7]D!G35</f>
        <v>226713.66972602741</v>
      </c>
      <c r="AD7" s="220">
        <f>[7]D!H35</f>
        <v>232797.68095890409</v>
      </c>
      <c r="AE7" s="220">
        <f>[7]D!I35</f>
        <v>206483.77972602739</v>
      </c>
      <c r="AF7" s="220">
        <f>[7]D!J35</f>
        <v>184377.73876712329</v>
      </c>
      <c r="AG7" s="220">
        <f>[7]D!K35</f>
        <v>139850.70243835615</v>
      </c>
      <c r="AH7" s="220">
        <f>[7]D!L35</f>
        <v>112771.5820547945</v>
      </c>
      <c r="AI7" s="220">
        <f>[7]D!M35</f>
        <v>93860.073835616437</v>
      </c>
      <c r="AJ7" s="220">
        <f>[7]D!N35</f>
        <v>102502.76383561644</v>
      </c>
      <c r="AK7" s="220">
        <f>[7]D!O35</f>
        <v>108833.23726027396</v>
      </c>
      <c r="AL7" s="220">
        <f>[7]D!D35</f>
        <v>114371.02430136985</v>
      </c>
      <c r="AM7" s="220">
        <f>[7]D!E35</f>
        <v>144915.28767123289</v>
      </c>
      <c r="AN7" s="220">
        <f>[7]D!F35</f>
        <v>188080.57972602738</v>
      </c>
      <c r="AO7" s="220"/>
      <c r="AP7" s="220">
        <f t="shared" si="0"/>
        <v>1776504.338630137</v>
      </c>
      <c r="AQ7" s="220">
        <f t="shared" si="1"/>
        <v>1801357.1306027395</v>
      </c>
      <c r="AR7" s="220">
        <f t="shared" si="2"/>
        <v>1855558.1203013696</v>
      </c>
    </row>
    <row r="8" spans="1:44" ht="15.5">
      <c r="A8" s="2" t="s">
        <v>5</v>
      </c>
      <c r="B8" s="220">
        <f>[8]D!C34</f>
        <v>198977.53339726027</v>
      </c>
      <c r="C8" s="220">
        <f>[8]D!D34</f>
        <v>487209.72205479455</v>
      </c>
      <c r="D8" s="220">
        <f>[8]D!E34</f>
        <v>862927.51367123285</v>
      </c>
      <c r="E8" s="220">
        <f>[8]D!F34</f>
        <v>1261769.9509863015</v>
      </c>
      <c r="F8" s="220">
        <f>[8]D!G34</f>
        <v>1297702.1073424658</v>
      </c>
      <c r="G8" s="220">
        <f>[8]D!H34</f>
        <v>1109222.4509863015</v>
      </c>
      <c r="H8" s="220">
        <f>[8]D!I34</f>
        <v>762829.78643835615</v>
      </c>
      <c r="I8" s="220">
        <f>[8]D!J34</f>
        <v>355123.67021917808</v>
      </c>
      <c r="J8" s="220">
        <f>[8]D!K34</f>
        <v>162466.30602739725</v>
      </c>
      <c r="K8" s="220">
        <f>[8]D!L34</f>
        <v>118724.18098630136</v>
      </c>
      <c r="L8" s="220">
        <f>[8]D!M34</f>
        <v>109160.65156164384</v>
      </c>
      <c r="M8" s="220">
        <f>[8]D!N34</f>
        <v>125726.03452054794</v>
      </c>
      <c r="N8" s="220">
        <f>[6]D!C34</f>
        <v>178597.04687671232</v>
      </c>
      <c r="O8" s="220">
        <f>[6]D!D34</f>
        <v>436292.58575342468</v>
      </c>
      <c r="P8" s="220">
        <f>[6]D!E34</f>
        <v>745241.58783561643</v>
      </c>
      <c r="Q8" s="220">
        <f>[6]D!F34</f>
        <v>1059401.2872602739</v>
      </c>
      <c r="R8" s="220">
        <f>[6]D!G34</f>
        <v>1040535.5816712328</v>
      </c>
      <c r="S8" s="220">
        <f>[6]D!H34</f>
        <v>870311.29591780831</v>
      </c>
      <c r="T8" s="220">
        <f>[6]D!I34</f>
        <v>605967.53863013699</v>
      </c>
      <c r="U8" s="220">
        <f>[6]D!J34</f>
        <v>309471.68380821915</v>
      </c>
      <c r="V8" s="220">
        <f>[6]D!K34</f>
        <v>141059.27821917809</v>
      </c>
      <c r="W8" s="220">
        <f>[6]D!L34</f>
        <v>100239.54726027398</v>
      </c>
      <c r="X8" s="220">
        <f>[6]D!M34</f>
        <v>98195.555917808219</v>
      </c>
      <c r="Y8" s="220">
        <f>[6]D!N34</f>
        <v>99397.888219178087</v>
      </c>
      <c r="Z8" s="220">
        <f>[6]D!O34</f>
        <v>187277.15649315069</v>
      </c>
      <c r="AA8" s="220">
        <f>[6]D!P34</f>
        <v>466218.13863013696</v>
      </c>
      <c r="AB8" s="220">
        <f>[6]D!Q34</f>
        <v>798624.24380821921</v>
      </c>
      <c r="AC8" s="220">
        <f>[7]D!G36</f>
        <v>1116936.2889041095</v>
      </c>
      <c r="AD8" s="220">
        <f>[7]D!H36</f>
        <v>1127695.7573698629</v>
      </c>
      <c r="AE8" s="220">
        <f>[7]D!I36</f>
        <v>915536.00805479451</v>
      </c>
      <c r="AF8" s="220">
        <f>[7]D!J36</f>
        <v>664502.39054794516</v>
      </c>
      <c r="AG8" s="220">
        <f>[7]D!K36</f>
        <v>332064.45597260277</v>
      </c>
      <c r="AH8" s="220">
        <f>[7]D!L36</f>
        <v>145251.95054794519</v>
      </c>
      <c r="AI8" s="220">
        <f>[7]D!M36</f>
        <v>101486.93926027397</v>
      </c>
      <c r="AJ8" s="220">
        <f>[7]D!N36</f>
        <v>100553.69926027398</v>
      </c>
      <c r="AK8" s="220">
        <f>[7]D!O36</f>
        <v>104426.63246575341</v>
      </c>
      <c r="AL8" s="220">
        <f>[7]D!D36</f>
        <v>190984.96030136987</v>
      </c>
      <c r="AM8" s="220">
        <f>[7]D!E36</f>
        <v>477200.85136986303</v>
      </c>
      <c r="AN8" s="220">
        <f>[7]D!F36</f>
        <v>803904.48890410969</v>
      </c>
      <c r="AO8" s="220"/>
      <c r="AP8" s="220">
        <f t="shared" si="0"/>
        <v>6662856.3595342478</v>
      </c>
      <c r="AQ8" s="220">
        <f t="shared" si="1"/>
        <v>5776699.1958356155</v>
      </c>
      <c r="AR8" s="220">
        <f t="shared" si="2"/>
        <v>6080544.422958903</v>
      </c>
    </row>
    <row r="9" spans="1:44" ht="15.5">
      <c r="A9" s="2" t="s">
        <v>6</v>
      </c>
      <c r="B9" s="220">
        <f>[8]D!C35</f>
        <v>643290.30939726031</v>
      </c>
      <c r="C9" s="220">
        <f>[8]D!D35</f>
        <v>805387.14849315071</v>
      </c>
      <c r="D9" s="220">
        <f>[8]D!E35</f>
        <v>975285.86734246579</v>
      </c>
      <c r="E9" s="220">
        <f>[8]D!F35</f>
        <v>1156243.7367671232</v>
      </c>
      <c r="F9" s="220">
        <f>[8]D!G35</f>
        <v>1194717.3211780821</v>
      </c>
      <c r="G9" s="220">
        <f>[8]D!H35</f>
        <v>1132021.3746575343</v>
      </c>
      <c r="H9" s="220">
        <f>[8]D!I35</f>
        <v>970554.97054794524</v>
      </c>
      <c r="I9" s="220">
        <f>[8]D!J35</f>
        <v>749003.74312328757</v>
      </c>
      <c r="J9" s="220">
        <f>[8]D!K35</f>
        <v>624733.89999999991</v>
      </c>
      <c r="K9" s="220">
        <f>[8]D!L35</f>
        <v>572068.5246575342</v>
      </c>
      <c r="L9" s="220">
        <f>[8]D!M35</f>
        <v>560011.10465753428</v>
      </c>
      <c r="M9" s="220">
        <f>[8]D!N35</f>
        <v>628450.02095890418</v>
      </c>
      <c r="N9" s="220">
        <f>[6]D!C35</f>
        <v>605975.6462191781</v>
      </c>
      <c r="O9" s="220">
        <f>[6]D!D35</f>
        <v>775405.15438356157</v>
      </c>
      <c r="P9" s="220">
        <f>[6]D!E35</f>
        <v>921472.19928767113</v>
      </c>
      <c r="Q9" s="220">
        <f>[6]D!F35</f>
        <v>1108130.6385205479</v>
      </c>
      <c r="R9" s="220">
        <f>[6]D!G35</f>
        <v>1084132.491369863</v>
      </c>
      <c r="S9" s="220">
        <f>[6]D!H35</f>
        <v>1021134.1271780822</v>
      </c>
      <c r="T9" s="220">
        <f>[6]D!I35</f>
        <v>888393.88630136987</v>
      </c>
      <c r="U9" s="220">
        <f>[6]D!J35</f>
        <v>729617.93506849324</v>
      </c>
      <c r="V9" s="220">
        <f>[6]D!K35</f>
        <v>601413.89575342461</v>
      </c>
      <c r="W9" s="220">
        <f>[6]D!L35</f>
        <v>532459.8985205479</v>
      </c>
      <c r="X9" s="220">
        <f>[6]D!M35</f>
        <v>551097.05717808218</v>
      </c>
      <c r="Y9" s="220">
        <f>[6]D!N35</f>
        <v>593986.27575342462</v>
      </c>
      <c r="Z9" s="220">
        <f>[6]D!O35</f>
        <v>642083.74717808212</v>
      </c>
      <c r="AA9" s="220">
        <f>[6]D!P35</f>
        <v>830501.01726027403</v>
      </c>
      <c r="AB9" s="220">
        <f>[6]D!Q35</f>
        <v>986963.53506849322</v>
      </c>
      <c r="AC9" s="220">
        <f>[7]D!G37</f>
        <v>1166288.3741917808</v>
      </c>
      <c r="AD9" s="220">
        <f>[7]D!H37</f>
        <v>1157440.2611780823</v>
      </c>
      <c r="AE9" s="220">
        <f>[7]D!I37</f>
        <v>1072767.8752328767</v>
      </c>
      <c r="AF9" s="220">
        <f>[7]D!J37</f>
        <v>952608.9012328767</v>
      </c>
      <c r="AG9" s="220">
        <f>[7]D!K37</f>
        <v>764772.16816438362</v>
      </c>
      <c r="AH9" s="220">
        <f>[7]D!L37</f>
        <v>630324.20054794522</v>
      </c>
      <c r="AI9" s="220">
        <f>[7]D!M37</f>
        <v>523768.11523287673</v>
      </c>
      <c r="AJ9" s="220">
        <f>[7]D!N37</f>
        <v>581834.89712328766</v>
      </c>
      <c r="AK9" s="220">
        <f>[7]D!O37</f>
        <v>591953.76575342473</v>
      </c>
      <c r="AL9" s="220">
        <f>[7]D!D37</f>
        <v>634556.95747945202</v>
      </c>
      <c r="AM9" s="220">
        <f>[7]D!E37</f>
        <v>813943.26534246572</v>
      </c>
      <c r="AN9" s="220">
        <f>[7]D!F37</f>
        <v>983202.72230136977</v>
      </c>
      <c r="AO9" s="220"/>
      <c r="AP9" s="220">
        <f t="shared" si="0"/>
        <v>9890657.6964383572</v>
      </c>
      <c r="AQ9" s="220">
        <f t="shared" si="1"/>
        <v>9569914.5051506851</v>
      </c>
      <c r="AR9" s="220">
        <f t="shared" si="2"/>
        <v>9873461.5037808213</v>
      </c>
    </row>
    <row r="10" spans="1:44" ht="15.5">
      <c r="A10" s="2" t="s">
        <v>25</v>
      </c>
      <c r="B10" s="220">
        <f t="shared" ref="B10" si="3">SUM(B5:B9)</f>
        <v>3405748.9969315068</v>
      </c>
      <c r="C10" s="220">
        <f t="shared" ref="C10:E10" si="4">SUM(C5:C9)</f>
        <v>6248842.3378082179</v>
      </c>
      <c r="D10" s="220">
        <f t="shared" si="4"/>
        <v>9179298.7487123292</v>
      </c>
      <c r="E10" s="220">
        <f t="shared" si="4"/>
        <v>11769045.880328767</v>
      </c>
      <c r="F10" s="220">
        <f t="shared" ref="F10:Q10" si="5">SUM(F5:F9)</f>
        <v>12206782.015068494</v>
      </c>
      <c r="G10" s="220">
        <f t="shared" si="5"/>
        <v>10897699.330657534</v>
      </c>
      <c r="H10" s="220">
        <f t="shared" si="5"/>
        <v>8319996.3367123287</v>
      </c>
      <c r="I10" s="220">
        <f t="shared" si="5"/>
        <v>5094654.1527671237</v>
      </c>
      <c r="J10" s="220">
        <f t="shared" si="5"/>
        <v>3454353.9684931505</v>
      </c>
      <c r="K10" s="220">
        <f t="shared" si="5"/>
        <v>2957704.6527123284</v>
      </c>
      <c r="L10" s="220">
        <f t="shared" si="5"/>
        <v>2861456.2470684936</v>
      </c>
      <c r="M10" s="220">
        <f t="shared" si="5"/>
        <v>2953330.2689041095</v>
      </c>
      <c r="N10" s="220">
        <f t="shared" si="5"/>
        <v>3314257.956109589</v>
      </c>
      <c r="O10" s="220">
        <f t="shared" si="5"/>
        <v>5598034.2457534252</v>
      </c>
      <c r="P10" s="220">
        <f t="shared" si="5"/>
        <v>8284252.7315342464</v>
      </c>
      <c r="Q10" s="220">
        <f t="shared" si="5"/>
        <v>11093786.961150687</v>
      </c>
      <c r="R10" s="220">
        <f t="shared" ref="R10:AC10" si="6">SUM(R5:R9)</f>
        <v>11015722.55819178</v>
      </c>
      <c r="S10" s="220">
        <f t="shared" si="6"/>
        <v>9736425.823397262</v>
      </c>
      <c r="T10" s="220">
        <f t="shared" si="6"/>
        <v>7519109.9606849328</v>
      </c>
      <c r="U10" s="220">
        <f t="shared" si="6"/>
        <v>4921355.3608493153</v>
      </c>
      <c r="V10" s="220">
        <f t="shared" si="6"/>
        <v>3297466.7805479458</v>
      </c>
      <c r="W10" s="220">
        <f t="shared" si="6"/>
        <v>2791724.4113972606</v>
      </c>
      <c r="X10" s="220">
        <f t="shared" si="6"/>
        <v>2804971.7508219182</v>
      </c>
      <c r="Y10" s="220">
        <f t="shared" si="6"/>
        <v>2844401.8621917805</v>
      </c>
      <c r="Z10" s="220">
        <f t="shared" si="6"/>
        <v>3443946.4235068494</v>
      </c>
      <c r="AA10" s="220">
        <f t="shared" si="6"/>
        <v>5904852.5626027398</v>
      </c>
      <c r="AB10" s="220">
        <f t="shared" si="6"/>
        <v>8767886.5383835621</v>
      </c>
      <c r="AC10" s="220">
        <f t="shared" si="6"/>
        <v>11552119.821671234</v>
      </c>
      <c r="AD10" s="220">
        <f t="shared" ref="AD10:AN10" si="7">SUM(AD5:AD9)</f>
        <v>11564865.37128767</v>
      </c>
      <c r="AE10" s="220">
        <f t="shared" si="7"/>
        <v>10010542.311260274</v>
      </c>
      <c r="AF10" s="220">
        <f t="shared" si="7"/>
        <v>8015231.2675342467</v>
      </c>
      <c r="AG10" s="220">
        <f t="shared" si="7"/>
        <v>5208612.6663287673</v>
      </c>
      <c r="AH10" s="220">
        <f t="shared" si="7"/>
        <v>3455339.9678082191</v>
      </c>
      <c r="AI10" s="220">
        <f t="shared" si="7"/>
        <v>2874264.4947397262</v>
      </c>
      <c r="AJ10" s="220">
        <f t="shared" si="7"/>
        <v>2891777.1540547945</v>
      </c>
      <c r="AK10" s="220">
        <f t="shared" si="7"/>
        <v>2896920.7424657536</v>
      </c>
      <c r="AL10" s="220">
        <f t="shared" si="7"/>
        <v>3498121.1311506853</v>
      </c>
      <c r="AM10" s="220">
        <f t="shared" si="7"/>
        <v>5896715.8561643837</v>
      </c>
      <c r="AN10" s="220">
        <f t="shared" si="7"/>
        <v>8707067.0296986308</v>
      </c>
      <c r="AO10" s="220"/>
      <c r="AP10" s="220">
        <f t="shared" si="0"/>
        <v>77711567.786109596</v>
      </c>
      <c r="AQ10" s="220">
        <f t="shared" si="1"/>
        <v>74141650.99372603</v>
      </c>
      <c r="AR10" s="220">
        <f t="shared" si="2"/>
        <v>76571577.814164385</v>
      </c>
    </row>
    <row r="11" spans="1:44" ht="15.5">
      <c r="A11" s="2" t="s">
        <v>26</v>
      </c>
      <c r="B11" s="220">
        <f>[8]D!C$38</f>
        <v>1978922.4709999994</v>
      </c>
      <c r="C11" s="220">
        <f>[8]D!D$38</f>
        <v>2440066.3830000004</v>
      </c>
      <c r="D11" s="220">
        <f>[8]D!E$38</f>
        <v>2890888.8829999999</v>
      </c>
      <c r="E11" s="220">
        <f>[8]D!F$38</f>
        <v>3237858.0359999998</v>
      </c>
      <c r="F11" s="220">
        <f>[8]D!G$38</f>
        <v>2726486.4389999993</v>
      </c>
      <c r="G11" s="220">
        <f>[8]D!H$38</f>
        <v>2676638.2760000001</v>
      </c>
      <c r="H11" s="220">
        <f>[8]D!I$38</f>
        <v>1581482.3029999994</v>
      </c>
      <c r="I11" s="220">
        <f>[8]D!J$38</f>
        <v>1450962.8410000002</v>
      </c>
      <c r="J11" s="220">
        <f>[8]D!K$38</f>
        <v>1487478.8559999997</v>
      </c>
      <c r="K11" s="220">
        <f>[8]D!L$38</f>
        <v>1440975.9110000001</v>
      </c>
      <c r="L11" s="220">
        <f>[8]D!M$38</f>
        <v>1521973.7210000001</v>
      </c>
      <c r="M11" s="220">
        <f>[8]D!N$38</f>
        <v>1597565.3659999999</v>
      </c>
      <c r="N11" s="220">
        <f>[6]D!C38</f>
        <v>1700707.9800000002</v>
      </c>
      <c r="O11" s="220">
        <f>[6]D!D38</f>
        <v>2515863.3900000006</v>
      </c>
      <c r="P11" s="220">
        <f>[6]D!E38</f>
        <v>3031365.8200000003</v>
      </c>
      <c r="Q11" s="220">
        <f>[6]D!F38</f>
        <v>3103875.51</v>
      </c>
      <c r="R11" s="220">
        <f>[6]D!G38</f>
        <v>2504513.36</v>
      </c>
      <c r="S11" s="220">
        <f>[6]D!H38</f>
        <v>2461932.4300000006</v>
      </c>
      <c r="T11" s="220">
        <f>[6]D!I38</f>
        <v>1819535.53</v>
      </c>
      <c r="U11" s="220">
        <f>[6]D!J38</f>
        <v>1301664.3400000001</v>
      </c>
      <c r="V11" s="220">
        <f>[6]D!K38</f>
        <v>1428772.52</v>
      </c>
      <c r="W11" s="220">
        <f>[6]D!L38</f>
        <v>1442419.3399999999</v>
      </c>
      <c r="X11" s="220">
        <f>[6]D!M38</f>
        <v>1489045.5500000003</v>
      </c>
      <c r="Y11" s="220">
        <f>[6]D!N38</f>
        <v>1519428.3499999996</v>
      </c>
      <c r="Z11" s="220">
        <f>[6]D!O38</f>
        <v>1700151.17</v>
      </c>
      <c r="AA11" s="220">
        <f>[6]D!P38</f>
        <v>2512252.13</v>
      </c>
      <c r="AB11" s="220">
        <f>[6]D!Q38</f>
        <v>3083452.3</v>
      </c>
      <c r="AC11" s="220">
        <f>[7]D!G$40</f>
        <v>3511815.1499999994</v>
      </c>
      <c r="AD11" s="220">
        <f>[7]D!H$40</f>
        <v>3353357.6399999997</v>
      </c>
      <c r="AE11" s="220">
        <f>[7]D!I$40</f>
        <v>2958824.8600000003</v>
      </c>
      <c r="AF11" s="220">
        <f>[7]D!J$40</f>
        <v>1822004.0600000003</v>
      </c>
      <c r="AG11" s="220">
        <f>[7]D!K$40</f>
        <v>1408439.3899999997</v>
      </c>
      <c r="AH11" s="220">
        <f>[7]D!L$40</f>
        <v>1608214.4100000001</v>
      </c>
      <c r="AI11" s="220">
        <f>[7]D!M$40</f>
        <v>1648739.5500000003</v>
      </c>
      <c r="AJ11" s="220">
        <f>[7]D!N$40</f>
        <v>1639618.78</v>
      </c>
      <c r="AK11" s="220">
        <f>[7]D!O$40</f>
        <v>1579630.4100000001</v>
      </c>
      <c r="AL11" s="220">
        <f>[7]D!D$40</f>
        <v>1656449.6100000006</v>
      </c>
      <c r="AM11" s="220">
        <f>[7]D!E$40</f>
        <v>2268636.4800000004</v>
      </c>
      <c r="AN11" s="220">
        <f>[7]D!F$40</f>
        <v>3404902.4300000006</v>
      </c>
      <c r="AO11" s="220"/>
      <c r="AP11" s="220">
        <f t="shared" si="0"/>
        <v>24969358.938999999</v>
      </c>
      <c r="AQ11" s="220">
        <f t="shared" si="1"/>
        <v>24367042.530000001</v>
      </c>
      <c r="AR11" s="220">
        <f t="shared" si="2"/>
        <v>26860632.77</v>
      </c>
    </row>
    <row r="12" spans="1:44" ht="15.5">
      <c r="A12" s="2" t="s">
        <v>9</v>
      </c>
      <c r="B12" s="220">
        <f>[8]F!D$255+[8]F!D$270+[8]F!D$422</f>
        <v>963197.60099999991</v>
      </c>
      <c r="C12" s="220">
        <f>[8]F!E$255+[8]F!E$270+[8]F!E$422</f>
        <v>1278193.693</v>
      </c>
      <c r="D12" s="220">
        <f>[8]F!F$255+[8]F!F$270+[8]F!F$422</f>
        <v>1570295.693</v>
      </c>
      <c r="E12" s="220">
        <f>[8]F!G$255+[8]F!G$270+[8]F!G$422</f>
        <v>1841910.7259999998</v>
      </c>
      <c r="F12" s="220">
        <f>[8]F!H$255+[8]F!H$270+[8]F!H$422</f>
        <v>1484261.1789999998</v>
      </c>
      <c r="G12" s="220">
        <f>[8]F!I$255+[8]F!I$270+[8]F!I$422</f>
        <v>1386459.1259999999</v>
      </c>
      <c r="H12" s="220">
        <f>[8]F!J$255+[8]F!J$270+[8]F!J$422</f>
        <v>724830.23300000001</v>
      </c>
      <c r="I12" s="220">
        <f>[8]F!K$255+[8]F!K$270+[8]F!K$422</f>
        <v>658454.30099999998</v>
      </c>
      <c r="J12" s="220">
        <f>[8]F!L$255+[8]F!L$270+[8]F!L$422</f>
        <v>687409.80599999998</v>
      </c>
      <c r="K12" s="220">
        <f>[8]F!M$255+[8]F!M$270+[8]F!M$422</f>
        <v>629519.571</v>
      </c>
      <c r="L12" s="220">
        <f>[8]F!N$255+[8]F!N$270+[8]F!N$422</f>
        <v>687435.45100000012</v>
      </c>
      <c r="M12" s="220">
        <f>[8]F!O$255+[8]F!O$270+[8]F!O$422</f>
        <v>737447.89600000007</v>
      </c>
      <c r="N12" s="220">
        <f>[6]F!D255+[6]F!D270+[6]F!D422</f>
        <v>852974.58000000007</v>
      </c>
      <c r="O12" s="220">
        <f>[6]F!E255+[6]F!E270+[6]F!E422</f>
        <v>1544355.4399999997</v>
      </c>
      <c r="P12" s="220">
        <f>[6]F!F255+[6]F!F270+[6]F!F422</f>
        <v>1882543.65</v>
      </c>
      <c r="Q12" s="220">
        <f>[6]F!G255+[6]F!G270+[6]F!G422</f>
        <v>1782838.7299999997</v>
      </c>
      <c r="R12" s="220">
        <f>[6]F!H255+[6]F!H270+[6]F!H422</f>
        <v>1377960.36</v>
      </c>
      <c r="S12" s="220">
        <f>[6]F!I255+[6]F!I270+[6]F!I422</f>
        <v>1358932.96</v>
      </c>
      <c r="T12" s="220">
        <f>[6]F!J255+[6]F!J270+[6]F!J422</f>
        <v>992012.1100000001</v>
      </c>
      <c r="U12" s="220">
        <f>[6]F!K255+[6]F!K270+[6]F!K422</f>
        <v>557729.37999999989</v>
      </c>
      <c r="V12" s="220">
        <f>[6]F!L255+[6]F!L270+[6]F!L422</f>
        <v>729552.24000000011</v>
      </c>
      <c r="W12" s="220">
        <f>[6]F!M255+[6]F!M270+[6]F!M422</f>
        <v>678260.89</v>
      </c>
      <c r="X12" s="220">
        <f>[6]F!N255+[6]F!N270+[6]F!N422</f>
        <v>718461.58</v>
      </c>
      <c r="Y12" s="220">
        <f>[6]F!O255+[6]F!O270+[6]F!O422</f>
        <v>779509.4</v>
      </c>
      <c r="Z12" s="220">
        <f>[6]F!P255+[6]F!P270+[6]F!P422</f>
        <v>853660.02000000014</v>
      </c>
      <c r="AA12" s="220">
        <f>[6]F!Q255+[6]F!Q270+[6]F!Q422</f>
        <v>1528479.9699999997</v>
      </c>
      <c r="AB12" s="220">
        <f>[6]F!R255+[6]F!R270+[6]F!R422</f>
        <v>1887309.5699999998</v>
      </c>
      <c r="AC12" s="220">
        <f>[7]F!G$255+[7]F!G$270+[7]F!G$422</f>
        <v>2073200.93</v>
      </c>
      <c r="AD12" s="220">
        <f>[7]F!H$255+[7]F!H$270+[7]F!H$422</f>
        <v>2033817.2</v>
      </c>
      <c r="AE12" s="220">
        <f>[7]F!I$255+[7]F!I$270+[7]F!I$422</f>
        <v>1684304.0599999998</v>
      </c>
      <c r="AF12" s="220">
        <f>[7]F!J$255+[7]F!J$270+[7]F!J$422</f>
        <v>846951.99</v>
      </c>
      <c r="AG12" s="220">
        <f>[7]F!K$255+[7]F!K$270+[7]F!K$422</f>
        <v>562290.12</v>
      </c>
      <c r="AH12" s="220">
        <f>[7]F!L$255+[7]F!L$270+[7]F!L$422</f>
        <v>774335.09</v>
      </c>
      <c r="AI12" s="220">
        <f>[7]F!M$255+[7]F!M$270+[7]F!M$422</f>
        <v>800008.21000000008</v>
      </c>
      <c r="AJ12" s="220">
        <f>[7]F!N$255+[7]F!N$270+[7]F!N$422</f>
        <v>788812.01</v>
      </c>
      <c r="AK12" s="220">
        <f>[7]F!O$255+[7]F!O$270+[7]F!O$422</f>
        <v>807299.53</v>
      </c>
      <c r="AL12" s="220">
        <f>[7]F!D$255+[7]F!D$270+[7]F!D$422</f>
        <v>817011.29</v>
      </c>
      <c r="AM12" s="220">
        <f>[7]F!E$255+[7]F!E$270+[7]F!E$422</f>
        <v>1187623.1500000001</v>
      </c>
      <c r="AN12" s="220">
        <f>[7]F!F$255+[7]F!F$270+[7]F!F$422</f>
        <v>2090546.15</v>
      </c>
      <c r="AO12" s="220"/>
      <c r="AP12" s="220">
        <f t="shared" si="0"/>
        <v>13117601.959000001</v>
      </c>
      <c r="AQ12" s="220">
        <f t="shared" si="1"/>
        <v>13244707.210000001</v>
      </c>
      <c r="AR12" s="220">
        <f t="shared" si="2"/>
        <v>14466199.73</v>
      </c>
    </row>
    <row r="13" spans="1:44" ht="15.5">
      <c r="A13" s="2" t="s">
        <v>28</v>
      </c>
      <c r="B13" s="220">
        <f t="shared" ref="B13" si="8">B11-B12</f>
        <v>1015724.8699999995</v>
      </c>
      <c r="C13" s="220">
        <f t="shared" ref="C13:E13" si="9">C11-C12</f>
        <v>1161872.6900000004</v>
      </c>
      <c r="D13" s="220">
        <f t="shared" si="9"/>
        <v>1320593.19</v>
      </c>
      <c r="E13" s="220">
        <f t="shared" si="9"/>
        <v>1395947.31</v>
      </c>
      <c r="F13" s="220">
        <f t="shared" ref="F13:Q13" si="10">F11-F12</f>
        <v>1242225.2599999995</v>
      </c>
      <c r="G13" s="220">
        <f t="shared" si="10"/>
        <v>1290179.1500000001</v>
      </c>
      <c r="H13" s="220">
        <f t="shared" si="10"/>
        <v>856652.06999999937</v>
      </c>
      <c r="I13" s="220">
        <f t="shared" si="10"/>
        <v>792508.54000000027</v>
      </c>
      <c r="J13" s="220">
        <f t="shared" si="10"/>
        <v>800069.0499999997</v>
      </c>
      <c r="K13" s="220">
        <f t="shared" si="10"/>
        <v>811456.34000000008</v>
      </c>
      <c r="L13" s="220">
        <f t="shared" si="10"/>
        <v>834538.27</v>
      </c>
      <c r="M13" s="220">
        <f t="shared" si="10"/>
        <v>860117.46999999986</v>
      </c>
      <c r="N13" s="220">
        <f t="shared" si="10"/>
        <v>847733.40000000014</v>
      </c>
      <c r="O13" s="220">
        <f t="shared" si="10"/>
        <v>971507.95000000088</v>
      </c>
      <c r="P13" s="220">
        <f t="shared" si="10"/>
        <v>1148822.1700000004</v>
      </c>
      <c r="Q13" s="220">
        <f t="shared" si="10"/>
        <v>1321036.78</v>
      </c>
      <c r="R13" s="220">
        <f t="shared" ref="R13:AC13" si="11">R11-R12</f>
        <v>1126552.9999999998</v>
      </c>
      <c r="S13" s="220">
        <f t="shared" si="11"/>
        <v>1102999.4700000007</v>
      </c>
      <c r="T13" s="220">
        <f t="shared" si="11"/>
        <v>827523.41999999993</v>
      </c>
      <c r="U13" s="220">
        <f t="shared" si="11"/>
        <v>743934.9600000002</v>
      </c>
      <c r="V13" s="220">
        <f t="shared" si="11"/>
        <v>699220.27999999991</v>
      </c>
      <c r="W13" s="220">
        <f t="shared" si="11"/>
        <v>764158.44999999984</v>
      </c>
      <c r="X13" s="220">
        <f t="shared" si="11"/>
        <v>770583.97000000032</v>
      </c>
      <c r="Y13" s="220">
        <f t="shared" si="11"/>
        <v>739918.9499999996</v>
      </c>
      <c r="Z13" s="220">
        <f t="shared" si="11"/>
        <v>846491.14999999979</v>
      </c>
      <c r="AA13" s="220">
        <f t="shared" si="11"/>
        <v>983772.16000000015</v>
      </c>
      <c r="AB13" s="220">
        <f t="shared" si="11"/>
        <v>1196142.73</v>
      </c>
      <c r="AC13" s="220">
        <f t="shared" si="11"/>
        <v>1438614.2199999995</v>
      </c>
      <c r="AD13" s="220">
        <f t="shared" ref="AD13:AN13" si="12">AD11-AD12</f>
        <v>1319540.4399999997</v>
      </c>
      <c r="AE13" s="220">
        <f t="shared" si="12"/>
        <v>1274520.8000000005</v>
      </c>
      <c r="AF13" s="220">
        <f t="shared" si="12"/>
        <v>975052.0700000003</v>
      </c>
      <c r="AG13" s="220">
        <f t="shared" si="12"/>
        <v>846149.26999999967</v>
      </c>
      <c r="AH13" s="220">
        <f t="shared" si="12"/>
        <v>833879.32000000018</v>
      </c>
      <c r="AI13" s="220">
        <f t="shared" si="12"/>
        <v>848731.3400000002</v>
      </c>
      <c r="AJ13" s="220">
        <f t="shared" si="12"/>
        <v>850806.77</v>
      </c>
      <c r="AK13" s="220">
        <f t="shared" si="12"/>
        <v>772330.88000000012</v>
      </c>
      <c r="AL13" s="220">
        <f t="shared" si="12"/>
        <v>839438.32000000053</v>
      </c>
      <c r="AM13" s="220">
        <f t="shared" si="12"/>
        <v>1081013.3300000003</v>
      </c>
      <c r="AN13" s="220">
        <f t="shared" si="12"/>
        <v>1314356.2800000007</v>
      </c>
      <c r="AO13" s="220"/>
      <c r="AP13" s="220">
        <f t="shared" si="0"/>
        <v>11851756.98</v>
      </c>
      <c r="AQ13" s="220">
        <f t="shared" si="1"/>
        <v>11122335.32</v>
      </c>
      <c r="AR13" s="220">
        <f t="shared" si="2"/>
        <v>12394433.040000003</v>
      </c>
    </row>
    <row r="14" spans="1:44" ht="15.5">
      <c r="A14" s="2" t="s">
        <v>27</v>
      </c>
      <c r="B14" s="220">
        <f t="shared" ref="B14" si="13">B10+B13</f>
        <v>4421473.8669315064</v>
      </c>
      <c r="C14" s="220">
        <f t="shared" ref="C14:E14" si="14">C10+C13</f>
        <v>7410715.0278082183</v>
      </c>
      <c r="D14" s="220">
        <f t="shared" si="14"/>
        <v>10499891.938712329</v>
      </c>
      <c r="E14" s="220">
        <f t="shared" si="14"/>
        <v>13164993.190328768</v>
      </c>
      <c r="F14" s="220">
        <f t="shared" ref="F14:Q14" si="15">F10+F13</f>
        <v>13449007.275068494</v>
      </c>
      <c r="G14" s="220">
        <f t="shared" si="15"/>
        <v>12187878.480657535</v>
      </c>
      <c r="H14" s="220">
        <f t="shared" si="15"/>
        <v>9176648.4067123272</v>
      </c>
      <c r="I14" s="220">
        <f t="shared" si="15"/>
        <v>5887162.6927671237</v>
      </c>
      <c r="J14" s="220">
        <f t="shared" si="15"/>
        <v>4254423.0184931504</v>
      </c>
      <c r="K14" s="220">
        <f t="shared" si="15"/>
        <v>3769160.9927123282</v>
      </c>
      <c r="L14" s="220">
        <f t="shared" si="15"/>
        <v>3695994.5170684936</v>
      </c>
      <c r="M14" s="220">
        <f t="shared" si="15"/>
        <v>3813447.7389041092</v>
      </c>
      <c r="N14" s="220">
        <f t="shared" si="15"/>
        <v>4161991.3561095893</v>
      </c>
      <c r="O14" s="220">
        <f t="shared" si="15"/>
        <v>6569542.1957534263</v>
      </c>
      <c r="P14" s="220">
        <f t="shared" si="15"/>
        <v>9433074.9015342463</v>
      </c>
      <c r="Q14" s="220">
        <f t="shared" si="15"/>
        <v>12414823.741150687</v>
      </c>
      <c r="R14" s="220">
        <f t="shared" ref="R14:AC14" si="16">R10+R13</f>
        <v>12142275.55819178</v>
      </c>
      <c r="S14" s="220">
        <f t="shared" si="16"/>
        <v>10839425.293397263</v>
      </c>
      <c r="T14" s="220">
        <f t="shared" si="16"/>
        <v>8346633.3806849327</v>
      </c>
      <c r="U14" s="220">
        <f t="shared" si="16"/>
        <v>5665290.3208493153</v>
      </c>
      <c r="V14" s="220">
        <f t="shared" si="16"/>
        <v>3996687.0605479456</v>
      </c>
      <c r="W14" s="220">
        <f t="shared" si="16"/>
        <v>3555882.8613972603</v>
      </c>
      <c r="X14" s="220">
        <f t="shared" si="16"/>
        <v>3575555.7208219185</v>
      </c>
      <c r="Y14" s="220">
        <f t="shared" si="16"/>
        <v>3584320.8121917802</v>
      </c>
      <c r="Z14" s="220">
        <f t="shared" si="16"/>
        <v>4290437.5735068489</v>
      </c>
      <c r="AA14" s="220">
        <f t="shared" si="16"/>
        <v>6888624.7226027399</v>
      </c>
      <c r="AB14" s="220">
        <f t="shared" si="16"/>
        <v>9964029.2683835626</v>
      </c>
      <c r="AC14" s="220">
        <f t="shared" si="16"/>
        <v>12990734.041671233</v>
      </c>
      <c r="AD14" s="220">
        <f t="shared" ref="AD14:AN14" si="17">AD10+AD13</f>
        <v>12884405.811287669</v>
      </c>
      <c r="AE14" s="220">
        <f t="shared" si="17"/>
        <v>11285063.111260274</v>
      </c>
      <c r="AF14" s="220">
        <f t="shared" si="17"/>
        <v>8990283.337534247</v>
      </c>
      <c r="AG14" s="220">
        <f t="shared" si="17"/>
        <v>6054761.9363287669</v>
      </c>
      <c r="AH14" s="220">
        <f t="shared" si="17"/>
        <v>4289219.287808219</v>
      </c>
      <c r="AI14" s="220">
        <f t="shared" si="17"/>
        <v>3722995.8347397265</v>
      </c>
      <c r="AJ14" s="220">
        <f t="shared" si="17"/>
        <v>3742583.9240547945</v>
      </c>
      <c r="AK14" s="220">
        <f t="shared" si="17"/>
        <v>3669251.6224657539</v>
      </c>
      <c r="AL14" s="220">
        <f t="shared" si="17"/>
        <v>4337559.4511506855</v>
      </c>
      <c r="AM14" s="220">
        <f t="shared" si="17"/>
        <v>6977729.1861643838</v>
      </c>
      <c r="AN14" s="220">
        <f t="shared" si="17"/>
        <v>10021423.309698632</v>
      </c>
      <c r="AO14" s="220"/>
      <c r="AP14" s="220">
        <f t="shared" si="0"/>
        <v>89563324.766109586</v>
      </c>
      <c r="AQ14" s="220">
        <f t="shared" si="1"/>
        <v>85263986.313726038</v>
      </c>
      <c r="AR14" s="220">
        <f t="shared" si="2"/>
        <v>88966010.854164377</v>
      </c>
    </row>
    <row r="15" spans="1:44">
      <c r="B15" s="220"/>
      <c r="C15" s="220"/>
      <c r="D15" s="220"/>
      <c r="E15" s="220"/>
      <c r="F15" s="220"/>
      <c r="G15" s="220"/>
      <c r="H15" s="220"/>
      <c r="I15" s="220"/>
      <c r="J15" s="220"/>
      <c r="K15" s="220"/>
      <c r="L15" s="220"/>
      <c r="M15" s="220"/>
      <c r="N15" s="220"/>
      <c r="O15" s="220"/>
      <c r="P15" s="220"/>
      <c r="Q15" s="220"/>
      <c r="R15" s="220"/>
      <c r="S15" s="220"/>
      <c r="T15" s="220"/>
      <c r="U15" s="220"/>
      <c r="V15" s="220"/>
      <c r="W15" s="220"/>
      <c r="X15" s="220"/>
      <c r="Y15" s="220"/>
      <c r="Z15" s="220"/>
      <c r="AA15" s="220"/>
      <c r="AB15" s="220"/>
      <c r="AC15" s="220"/>
      <c r="AD15" s="220"/>
      <c r="AE15" s="220"/>
      <c r="AF15" s="220"/>
      <c r="AG15" s="220"/>
      <c r="AH15" s="220"/>
      <c r="AI15" s="220"/>
      <c r="AJ15" s="220"/>
      <c r="AK15" s="220"/>
      <c r="AL15" s="220"/>
      <c r="AM15" s="220"/>
      <c r="AN15" s="220"/>
      <c r="AO15" s="220"/>
      <c r="AP15" s="220"/>
      <c r="AQ15" s="220"/>
      <c r="AR15" s="220"/>
    </row>
    <row r="16" spans="1:44">
      <c r="AP16" s="221"/>
      <c r="AQ16" s="221"/>
      <c r="AR16" s="221"/>
    </row>
    <row r="18" spans="1:57" ht="15.5">
      <c r="B18" s="71">
        <f>B3</f>
        <v>2018</v>
      </c>
      <c r="C18" s="71">
        <f t="shared" ref="C18:Q18" si="18">C3</f>
        <v>2018</v>
      </c>
      <c r="D18" s="71">
        <f t="shared" si="18"/>
        <v>2018</v>
      </c>
      <c r="E18" s="71">
        <f t="shared" si="18"/>
        <v>2019</v>
      </c>
      <c r="F18" s="71">
        <f t="shared" si="18"/>
        <v>2019</v>
      </c>
      <c r="G18" s="71">
        <f t="shared" si="18"/>
        <v>2019</v>
      </c>
      <c r="H18" s="71">
        <f t="shared" si="18"/>
        <v>2019</v>
      </c>
      <c r="I18" s="71">
        <f t="shared" si="18"/>
        <v>2019</v>
      </c>
      <c r="J18" s="71">
        <f t="shared" si="18"/>
        <v>2019</v>
      </c>
      <c r="K18" s="71">
        <f t="shared" si="18"/>
        <v>2019</v>
      </c>
      <c r="L18" s="71">
        <f t="shared" si="18"/>
        <v>2019</v>
      </c>
      <c r="M18" s="71">
        <f t="shared" si="18"/>
        <v>2019</v>
      </c>
      <c r="N18" s="252">
        <f>[6]D!C4</f>
        <v>2019</v>
      </c>
      <c r="O18" s="71">
        <f t="shared" si="18"/>
        <v>2019</v>
      </c>
      <c r="P18" s="71">
        <f t="shared" si="18"/>
        <v>2019</v>
      </c>
      <c r="Q18" s="71">
        <f t="shared" si="18"/>
        <v>2020</v>
      </c>
      <c r="R18" s="71">
        <f t="shared" ref="R18:AB18" si="19">R3</f>
        <v>2020</v>
      </c>
      <c r="S18" s="71">
        <f t="shared" si="19"/>
        <v>2020</v>
      </c>
      <c r="T18" s="71">
        <f t="shared" si="19"/>
        <v>2020</v>
      </c>
      <c r="U18" s="71">
        <f t="shared" si="19"/>
        <v>2020</v>
      </c>
      <c r="V18" s="71">
        <f t="shared" si="19"/>
        <v>2020</v>
      </c>
      <c r="W18" s="71">
        <f t="shared" si="19"/>
        <v>2020</v>
      </c>
      <c r="X18" s="71">
        <f t="shared" si="19"/>
        <v>2020</v>
      </c>
      <c r="Y18" s="71">
        <f t="shared" si="19"/>
        <v>2020</v>
      </c>
      <c r="Z18" s="71">
        <f t="shared" si="19"/>
        <v>2020</v>
      </c>
      <c r="AA18" s="71">
        <f t="shared" si="19"/>
        <v>2020</v>
      </c>
      <c r="AB18" s="71">
        <f t="shared" si="19"/>
        <v>2020</v>
      </c>
      <c r="AC18" s="71">
        <f>[7]D!G$4</f>
        <v>2021</v>
      </c>
      <c r="AD18" s="71">
        <f>[7]D!H$4</f>
        <v>2021</v>
      </c>
      <c r="AE18" s="71">
        <f>[7]D!I$4</f>
        <v>2021</v>
      </c>
      <c r="AF18" s="71">
        <f>[7]D!J$4</f>
        <v>2021</v>
      </c>
      <c r="AG18" s="71">
        <f>[7]D!K$4</f>
        <v>2021</v>
      </c>
      <c r="AH18" s="71">
        <f>[7]D!L$4</f>
        <v>2021</v>
      </c>
      <c r="AI18" s="71">
        <f>[7]D!M$4</f>
        <v>2021</v>
      </c>
      <c r="AJ18" s="71">
        <f>[7]D!N$4</f>
        <v>2021</v>
      </c>
      <c r="AK18" s="71">
        <f>[7]D!O$4</f>
        <v>2021</v>
      </c>
      <c r="AL18" s="71">
        <f>[7]D!D$4</f>
        <v>2020</v>
      </c>
      <c r="AM18" s="71">
        <f>[7]D!E$4</f>
        <v>2020</v>
      </c>
      <c r="AN18" s="71">
        <f>[7]D!F$4</f>
        <v>2020</v>
      </c>
      <c r="AP18" s="254" t="s">
        <v>185</v>
      </c>
      <c r="AQ18" s="254" t="s">
        <v>186</v>
      </c>
      <c r="AR18" s="254" t="s">
        <v>186</v>
      </c>
      <c r="BE18" s="66"/>
    </row>
    <row r="19" spans="1:57" s="2" customFormat="1" ht="18.5">
      <c r="A19" s="2" t="s">
        <v>1</v>
      </c>
      <c r="B19" s="218" t="str">
        <f>B4</f>
        <v>October</v>
      </c>
      <c r="C19" s="218" t="str">
        <f t="shared" ref="C19:AP19" si="20">C4</f>
        <v>November</v>
      </c>
      <c r="D19" s="218" t="str">
        <f t="shared" si="20"/>
        <v>December</v>
      </c>
      <c r="E19" s="218" t="str">
        <f t="shared" si="20"/>
        <v>January</v>
      </c>
      <c r="F19" s="218" t="str">
        <f t="shared" si="20"/>
        <v>February</v>
      </c>
      <c r="G19" s="218" t="str">
        <f t="shared" si="20"/>
        <v>March</v>
      </c>
      <c r="H19" s="218" t="str">
        <f t="shared" si="20"/>
        <v>April</v>
      </c>
      <c r="I19" s="218" t="str">
        <f t="shared" si="20"/>
        <v>May</v>
      </c>
      <c r="J19" s="218" t="str">
        <f t="shared" si="20"/>
        <v>June</v>
      </c>
      <c r="K19" s="218" t="str">
        <f t="shared" si="20"/>
        <v>July</v>
      </c>
      <c r="L19" s="218" t="str">
        <f t="shared" si="20"/>
        <v>August</v>
      </c>
      <c r="M19" s="218" t="str">
        <f t="shared" si="20"/>
        <v>September</v>
      </c>
      <c r="N19" s="252" t="str">
        <f>[6]D!C5</f>
        <v>October</v>
      </c>
      <c r="O19" s="218" t="str">
        <f t="shared" si="20"/>
        <v>November</v>
      </c>
      <c r="P19" s="218" t="str">
        <f t="shared" si="20"/>
        <v>December</v>
      </c>
      <c r="Q19" s="218" t="str">
        <f t="shared" si="20"/>
        <v>January</v>
      </c>
      <c r="R19" s="218" t="str">
        <f t="shared" ref="R19:AB19" si="21">R4</f>
        <v>February</v>
      </c>
      <c r="S19" s="218" t="str">
        <f t="shared" si="21"/>
        <v>March</v>
      </c>
      <c r="T19" s="218" t="str">
        <f t="shared" si="21"/>
        <v>April</v>
      </c>
      <c r="U19" s="218" t="str">
        <f t="shared" si="21"/>
        <v>May</v>
      </c>
      <c r="V19" s="218" t="str">
        <f t="shared" si="21"/>
        <v>June</v>
      </c>
      <c r="W19" s="218" t="str">
        <f t="shared" si="21"/>
        <v>July</v>
      </c>
      <c r="X19" s="218" t="str">
        <f t="shared" si="21"/>
        <v>August</v>
      </c>
      <c r="Y19" s="218" t="str">
        <f t="shared" si="21"/>
        <v>September</v>
      </c>
      <c r="Z19" s="218" t="str">
        <f t="shared" si="21"/>
        <v>October</v>
      </c>
      <c r="AA19" s="218" t="str">
        <f t="shared" si="21"/>
        <v>November</v>
      </c>
      <c r="AB19" s="218" t="str">
        <f t="shared" si="21"/>
        <v>December</v>
      </c>
      <c r="AC19" s="294" t="str">
        <f>[7]D!G$5</f>
        <v>January</v>
      </c>
      <c r="AD19" s="294" t="str">
        <f>[7]D!H$5</f>
        <v>February</v>
      </c>
      <c r="AE19" s="294" t="str">
        <f>[7]D!I$5</f>
        <v>March</v>
      </c>
      <c r="AF19" s="294" t="str">
        <f>[7]D!J$5</f>
        <v>April</v>
      </c>
      <c r="AG19" s="294" t="str">
        <f>[7]D!K$5</f>
        <v>May</v>
      </c>
      <c r="AH19" s="294" t="str">
        <f>[7]D!L$5</f>
        <v>June</v>
      </c>
      <c r="AI19" s="294" t="str">
        <f>[7]D!M$5</f>
        <v>July</v>
      </c>
      <c r="AJ19" s="294" t="str">
        <f>[7]D!N$5</f>
        <v>August</v>
      </c>
      <c r="AK19" s="294" t="str">
        <f>[7]D!O$5</f>
        <v>September</v>
      </c>
      <c r="AL19" s="294" t="str">
        <f>[7]D!D$5</f>
        <v>October</v>
      </c>
      <c r="AM19" s="294" t="str">
        <f>[7]D!E$5</f>
        <v>November</v>
      </c>
      <c r="AN19" s="294" t="str">
        <f>[7]D!F$5</f>
        <v>December</v>
      </c>
      <c r="AO19" s="218"/>
      <c r="AP19" s="218" t="str">
        <f t="shared" si="20"/>
        <v>CY 2019 total</v>
      </c>
      <c r="AQ19" s="218" t="str">
        <f t="shared" ref="AQ19:AR19" si="22">AQ4</f>
        <v>CY 2020 Total</v>
      </c>
      <c r="AR19" s="218" t="str">
        <f t="shared" si="22"/>
        <v>CY 2021 Total</v>
      </c>
      <c r="AS19" s="219"/>
      <c r="AT19" s="219"/>
      <c r="AU19" s="71"/>
      <c r="AV19" s="71"/>
      <c r="AW19" s="71"/>
      <c r="AX19" s="71"/>
      <c r="AY19" s="71"/>
      <c r="AZ19" s="71"/>
      <c r="BA19" s="47"/>
      <c r="BB19" s="47"/>
      <c r="BC19" s="47"/>
      <c r="BD19" s="47"/>
      <c r="BE19" s="78"/>
    </row>
    <row r="20" spans="1:57" ht="15.5">
      <c r="A20" t="s">
        <v>2</v>
      </c>
      <c r="B20" s="222">
        <f>[8]D!C17</f>
        <v>120518</v>
      </c>
      <c r="C20" s="222">
        <f>[8]D!D17</f>
        <v>318873</v>
      </c>
      <c r="D20" s="222">
        <f>[8]D!E17</f>
        <v>501814</v>
      </c>
      <c r="E20" s="222">
        <f>[8]D!F17</f>
        <v>648588</v>
      </c>
      <c r="F20" s="222">
        <f>[8]D!G17</f>
        <v>688125</v>
      </c>
      <c r="G20" s="222">
        <f>[8]D!H17</f>
        <v>595590</v>
      </c>
      <c r="H20" s="222">
        <f>[8]D!I17</f>
        <v>440533</v>
      </c>
      <c r="I20" s="222">
        <f>[8]D!J17</f>
        <v>235062</v>
      </c>
      <c r="J20" s="222">
        <f>[8]D!K17</f>
        <v>129046</v>
      </c>
      <c r="K20" s="222">
        <f>[8]D!L17</f>
        <v>91814</v>
      </c>
      <c r="L20" s="222">
        <f>[8]D!M17</f>
        <v>85498</v>
      </c>
      <c r="M20" s="222">
        <f>[8]D!N17</f>
        <v>88346</v>
      </c>
      <c r="N20" s="222">
        <f>[6]D!C17</f>
        <v>121157</v>
      </c>
      <c r="O20" s="222">
        <f>[6]D!D17</f>
        <v>289124</v>
      </c>
      <c r="P20" s="222">
        <f>[6]D!E17</f>
        <v>478014</v>
      </c>
      <c r="Q20" s="222">
        <f>[6]D!F17</f>
        <v>675005</v>
      </c>
      <c r="R20" s="222">
        <f>[6]D!G17</f>
        <v>695640</v>
      </c>
      <c r="S20" s="222">
        <f>[6]D!H17</f>
        <v>595377</v>
      </c>
      <c r="T20" s="222">
        <f>[6]D!I17</f>
        <v>440088</v>
      </c>
      <c r="U20" s="222">
        <f>[6]D!J17</f>
        <v>242313</v>
      </c>
      <c r="V20" s="222">
        <f>[6]D!K17</f>
        <v>127060</v>
      </c>
      <c r="W20" s="222">
        <f>[6]D!L17</f>
        <v>86961</v>
      </c>
      <c r="X20" s="222">
        <f>[6]D!M17</f>
        <v>83913</v>
      </c>
      <c r="Y20" s="222">
        <f>[6]D!N17</f>
        <v>86816</v>
      </c>
      <c r="Z20" s="222">
        <f>[6]D!O17</f>
        <v>122429</v>
      </c>
      <c r="AA20" s="222">
        <f>[6]D!P17</f>
        <v>292554</v>
      </c>
      <c r="AB20" s="222">
        <f>[6]D!Q17</f>
        <v>483830</v>
      </c>
      <c r="AC20" s="222">
        <f>[7]D!G17</f>
        <v>693189</v>
      </c>
      <c r="AD20" s="222">
        <f>[7]D!H17</f>
        <v>705211</v>
      </c>
      <c r="AE20" s="222">
        <f>[7]D!I17</f>
        <v>588941</v>
      </c>
      <c r="AF20" s="222">
        <f>[7]D!J17</f>
        <v>455229</v>
      </c>
      <c r="AG20" s="222">
        <f>[7]D!K17</f>
        <v>255006</v>
      </c>
      <c r="AH20" s="222">
        <f>[7]D!L17</f>
        <v>131517</v>
      </c>
      <c r="AI20" s="222">
        <f>[7]D!M17</f>
        <v>88127</v>
      </c>
      <c r="AJ20" s="222">
        <f>[7]D!N17</f>
        <v>83422</v>
      </c>
      <c r="AK20" s="222">
        <f>[7]D!O17</f>
        <v>86711</v>
      </c>
      <c r="AL20" s="222">
        <f>[7]D!D17</f>
        <v>125799</v>
      </c>
      <c r="AM20" s="222">
        <f>[7]D!E17</f>
        <v>298335</v>
      </c>
      <c r="AN20" s="222">
        <f>[7]D!F17</f>
        <v>491858</v>
      </c>
      <c r="AO20" s="222"/>
      <c r="AP20" s="222">
        <f t="shared" ref="AP20:AP29" si="23">SUM(E20:P20)</f>
        <v>3890897</v>
      </c>
      <c r="AQ20" s="222">
        <f t="shared" ref="AQ20:AQ29" si="24">SUM(Q20:AB20)</f>
        <v>3931986</v>
      </c>
      <c r="AR20" s="222">
        <f>SUM(AC20:AN20)</f>
        <v>4003345</v>
      </c>
      <c r="AT20" s="219"/>
      <c r="AW20" s="223"/>
      <c r="AX20" s="223"/>
      <c r="AY20" s="223"/>
      <c r="AZ20" s="223"/>
      <c r="BA20" s="47"/>
      <c r="BB20" s="47"/>
      <c r="BC20" s="47"/>
      <c r="BD20" s="47"/>
      <c r="BE20" s="78"/>
    </row>
    <row r="21" spans="1:57" ht="15.5">
      <c r="A21" t="s">
        <v>3</v>
      </c>
      <c r="B21" s="222">
        <f>[8]D!C18</f>
        <v>9190</v>
      </c>
      <c r="C21" s="222">
        <f>[8]D!D18</f>
        <v>36622</v>
      </c>
      <c r="D21" s="222">
        <f>[8]D!E18</f>
        <v>78086</v>
      </c>
      <c r="E21" s="222">
        <f>[8]D!F18</f>
        <v>124169</v>
      </c>
      <c r="F21" s="222">
        <f>[8]D!G18</f>
        <v>132361</v>
      </c>
      <c r="G21" s="222">
        <f>[8]D!H18</f>
        <v>110930</v>
      </c>
      <c r="H21" s="222">
        <f>[8]D!I18</f>
        <v>70068</v>
      </c>
      <c r="I21" s="222">
        <f>[8]D!J18</f>
        <v>24864</v>
      </c>
      <c r="J21" s="222">
        <f>[8]D!K18</f>
        <v>7939</v>
      </c>
      <c r="K21" s="222">
        <f>[8]D!L18</f>
        <v>3801</v>
      </c>
      <c r="L21" s="222">
        <f>[8]D!M18</f>
        <v>3270</v>
      </c>
      <c r="M21" s="222">
        <f>[8]D!N18</f>
        <v>3945</v>
      </c>
      <c r="N21" s="222">
        <f>[6]D!C18</f>
        <v>9666</v>
      </c>
      <c r="O21" s="222">
        <f>[6]D!D18</f>
        <v>40600</v>
      </c>
      <c r="P21" s="222">
        <f>[6]D!E18</f>
        <v>82987</v>
      </c>
      <c r="Q21" s="222">
        <f>[6]D!F18</f>
        <v>131097</v>
      </c>
      <c r="R21" s="222">
        <f>[6]D!G18</f>
        <v>132473</v>
      </c>
      <c r="S21" s="222">
        <f>[6]D!H18</f>
        <v>106478</v>
      </c>
      <c r="T21" s="222">
        <f>[6]D!I18</f>
        <v>69218</v>
      </c>
      <c r="U21" s="222">
        <f>[6]D!J18</f>
        <v>26415</v>
      </c>
      <c r="V21" s="222">
        <f>[6]D!K18</f>
        <v>7772</v>
      </c>
      <c r="W21" s="222">
        <f>[6]D!L18</f>
        <v>3693</v>
      </c>
      <c r="X21" s="222">
        <f>[6]D!M18</f>
        <v>3268</v>
      </c>
      <c r="Y21" s="222">
        <f>[6]D!N18</f>
        <v>3270</v>
      </c>
      <c r="Z21" s="222">
        <f>[6]D!O18</f>
        <v>9762</v>
      </c>
      <c r="AA21" s="222">
        <f>[6]D!P18</f>
        <v>41233</v>
      </c>
      <c r="AB21" s="222">
        <f>[6]D!Q18</f>
        <v>83997</v>
      </c>
      <c r="AC21" s="222">
        <f>[7]D!G18</f>
        <v>131597</v>
      </c>
      <c r="AD21" s="222">
        <f>[7]D!H18</f>
        <v>133294</v>
      </c>
      <c r="AE21" s="222">
        <f>[7]D!I18</f>
        <v>104194</v>
      </c>
      <c r="AF21" s="222">
        <f>[7]D!J18</f>
        <v>71000</v>
      </c>
      <c r="AG21" s="222">
        <f>[7]D!K18</f>
        <v>27878</v>
      </c>
      <c r="AH21" s="222">
        <f>[7]D!L18</f>
        <v>7339</v>
      </c>
      <c r="AI21" s="222">
        <f>[7]D!M18</f>
        <v>3816</v>
      </c>
      <c r="AJ21" s="222">
        <f>[7]D!N18</f>
        <v>3747</v>
      </c>
      <c r="AK21" s="222">
        <f>[7]D!O18</f>
        <v>3227</v>
      </c>
      <c r="AL21" s="222">
        <f>[7]D!D18</f>
        <v>10046</v>
      </c>
      <c r="AM21" s="222">
        <f>[7]D!E18</f>
        <v>42960</v>
      </c>
      <c r="AN21" s="222">
        <f>[7]D!F18</f>
        <v>86667</v>
      </c>
      <c r="AO21" s="222"/>
      <c r="AP21" s="222">
        <f t="shared" si="23"/>
        <v>614600</v>
      </c>
      <c r="AQ21" s="222">
        <f t="shared" si="24"/>
        <v>618676</v>
      </c>
      <c r="AR21" s="222">
        <f t="shared" ref="AR21:AR29" si="25">SUM(AC21:AN21)</f>
        <v>625765</v>
      </c>
      <c r="AT21" s="219"/>
      <c r="AW21" s="223"/>
      <c r="AX21" s="223"/>
      <c r="AY21" s="223"/>
      <c r="AZ21" s="223"/>
      <c r="BA21" s="47"/>
      <c r="BB21" s="47"/>
      <c r="BC21" s="47"/>
      <c r="BD21" s="47"/>
      <c r="BE21" s="78"/>
    </row>
    <row r="22" spans="1:57" ht="15.5">
      <c r="A22" t="s">
        <v>4</v>
      </c>
      <c r="B22" s="222">
        <f>[8]D!C19</f>
        <v>9815</v>
      </c>
      <c r="C22" s="222">
        <f>[8]D!D19</f>
        <v>13190</v>
      </c>
      <c r="D22" s="222">
        <f>[8]D!E19</f>
        <v>17658</v>
      </c>
      <c r="E22" s="222">
        <f>[8]D!F19</f>
        <v>22342</v>
      </c>
      <c r="F22" s="222">
        <f>[8]D!G19</f>
        <v>24510</v>
      </c>
      <c r="G22" s="222">
        <f>[8]D!H19</f>
        <v>22609</v>
      </c>
      <c r="H22" s="222">
        <f>[8]D!I19</f>
        <v>18720</v>
      </c>
      <c r="I22" s="222">
        <f>[8]D!J19</f>
        <v>13342</v>
      </c>
      <c r="J22" s="222">
        <f>[8]D!K19</f>
        <v>10188</v>
      </c>
      <c r="K22" s="222">
        <f>[8]D!L19</f>
        <v>9134</v>
      </c>
      <c r="L22" s="222">
        <f>[8]D!M19</f>
        <v>8658</v>
      </c>
      <c r="M22" s="222">
        <f>[8]D!N19</f>
        <v>9886</v>
      </c>
      <c r="N22" s="222">
        <f>[6]D!C19</f>
        <v>11080</v>
      </c>
      <c r="O22" s="222">
        <f>[6]D!D19</f>
        <v>15437</v>
      </c>
      <c r="P22" s="222">
        <f>[6]D!E19</f>
        <v>20839</v>
      </c>
      <c r="Q22" s="222">
        <f>[6]D!F19</f>
        <v>25809</v>
      </c>
      <c r="R22" s="222">
        <f>[6]D!G19</f>
        <v>27001</v>
      </c>
      <c r="S22" s="222">
        <f>[6]D!H19</f>
        <v>23989</v>
      </c>
      <c r="T22" s="222">
        <f>[6]D!I19</f>
        <v>20264</v>
      </c>
      <c r="U22" s="222">
        <f>[6]D!J19</f>
        <v>14436</v>
      </c>
      <c r="V22" s="222">
        <f>[6]D!K19</f>
        <v>11023</v>
      </c>
      <c r="W22" s="222">
        <f>[6]D!L19</f>
        <v>9399</v>
      </c>
      <c r="X22" s="222">
        <f>[6]D!M19</f>
        <v>9389</v>
      </c>
      <c r="Y22" s="222">
        <f>[6]D!N19</f>
        <v>10159</v>
      </c>
      <c r="Z22" s="222">
        <f>[6]D!O19</f>
        <v>11100</v>
      </c>
      <c r="AA22" s="222">
        <f>[6]D!P19</f>
        <v>15408</v>
      </c>
      <c r="AB22" s="222">
        <f>[6]D!Q19</f>
        <v>20878</v>
      </c>
      <c r="AC22" s="222">
        <f>[7]D!G19</f>
        <v>27333</v>
      </c>
      <c r="AD22" s="222">
        <f>[7]D!H19</f>
        <v>28789</v>
      </c>
      <c r="AE22" s="222">
        <f>[7]D!I19</f>
        <v>24365</v>
      </c>
      <c r="AF22" s="222">
        <f>[7]D!J19</f>
        <v>21313</v>
      </c>
      <c r="AG22" s="222">
        <f>[7]D!K19</f>
        <v>14612</v>
      </c>
      <c r="AH22" s="222">
        <f>[7]D!L19</f>
        <v>10863</v>
      </c>
      <c r="AI22" s="222">
        <f>[7]D!M19</f>
        <v>7922</v>
      </c>
      <c r="AJ22" s="222">
        <f>[7]D!N19</f>
        <v>9190</v>
      </c>
      <c r="AK22" s="222">
        <f>[7]D!O19</f>
        <v>10035</v>
      </c>
      <c r="AL22" s="222">
        <f>[7]D!D19</f>
        <v>10914</v>
      </c>
      <c r="AM22" s="222">
        <f>[7]D!E19</f>
        <v>15540</v>
      </c>
      <c r="AN22" s="222">
        <f>[7]D!F19</f>
        <v>21665</v>
      </c>
      <c r="AO22" s="222"/>
      <c r="AP22" s="222">
        <f t="shared" si="23"/>
        <v>186745</v>
      </c>
      <c r="AQ22" s="222">
        <f t="shared" si="24"/>
        <v>198855</v>
      </c>
      <c r="AR22" s="222">
        <f t="shared" si="25"/>
        <v>202541</v>
      </c>
      <c r="AT22" s="219"/>
      <c r="AW22" s="223"/>
      <c r="AX22" s="223"/>
      <c r="AY22" s="223"/>
      <c r="AZ22" s="223"/>
      <c r="BA22" s="47"/>
      <c r="BB22" s="47"/>
      <c r="BC22" s="47"/>
      <c r="BD22" s="47"/>
      <c r="BE22" s="78"/>
    </row>
    <row r="23" spans="1:57" ht="15.5">
      <c r="A23" t="s">
        <v>5</v>
      </c>
      <c r="B23" s="222">
        <f>[8]D!C20</f>
        <v>16909</v>
      </c>
      <c r="C23" s="222">
        <f>[8]D!D20</f>
        <v>51067</v>
      </c>
      <c r="D23" s="222">
        <f>[8]D!E20</f>
        <v>95473</v>
      </c>
      <c r="E23" s="222">
        <f>[8]D!F20</f>
        <v>142875</v>
      </c>
      <c r="F23" s="222">
        <f>[8]D!G20</f>
        <v>148401</v>
      </c>
      <c r="G23" s="222">
        <f>[8]D!H20</f>
        <v>125185</v>
      </c>
      <c r="H23" s="222">
        <f>[8]D!I20</f>
        <v>84050</v>
      </c>
      <c r="I23" s="222">
        <f>[8]D!J20</f>
        <v>35575</v>
      </c>
      <c r="J23" s="222">
        <f>[8]D!K20</f>
        <v>12526</v>
      </c>
      <c r="K23" s="222">
        <f>[8]D!L20</f>
        <v>6980</v>
      </c>
      <c r="L23" s="222">
        <f>[8]D!M20</f>
        <v>5818</v>
      </c>
      <c r="M23" s="222">
        <f>[8]D!N20</f>
        <v>8095</v>
      </c>
      <c r="N23" s="222">
        <f>[6]D!C20</f>
        <v>16626</v>
      </c>
      <c r="O23" s="222">
        <f>[6]D!D20</f>
        <v>51976</v>
      </c>
      <c r="P23" s="222">
        <f>[6]D!E20</f>
        <v>93797</v>
      </c>
      <c r="Q23" s="222">
        <f>[6]D!F20</f>
        <v>136611</v>
      </c>
      <c r="R23" s="222">
        <f>[6]D!G20</f>
        <v>137902</v>
      </c>
      <c r="S23" s="222">
        <f>[6]D!H20</f>
        <v>113365</v>
      </c>
      <c r="T23" s="222">
        <f>[6]D!I20</f>
        <v>76751</v>
      </c>
      <c r="U23" s="222">
        <f>[6]D!J20</f>
        <v>34044</v>
      </c>
      <c r="V23" s="222">
        <f>[6]D!K20</f>
        <v>11564</v>
      </c>
      <c r="W23" s="222">
        <f>[6]D!L20</f>
        <v>5804</v>
      </c>
      <c r="X23" s="222">
        <f>[6]D!M20</f>
        <v>5229</v>
      </c>
      <c r="Y23" s="222">
        <f>[6]D!N20</f>
        <v>5638</v>
      </c>
      <c r="Z23" s="222">
        <f>[6]D!O20</f>
        <v>16718</v>
      </c>
      <c r="AA23" s="222">
        <f>[6]D!P20</f>
        <v>52164</v>
      </c>
      <c r="AB23" s="222">
        <f>[6]D!Q20</f>
        <v>94125</v>
      </c>
      <c r="AC23" s="222">
        <f>[7]D!G20</f>
        <v>144506</v>
      </c>
      <c r="AD23" s="222">
        <f>[7]D!H20</f>
        <v>146807</v>
      </c>
      <c r="AE23" s="222">
        <f>[7]D!I20</f>
        <v>116900</v>
      </c>
      <c r="AF23" s="222">
        <f>[7]D!J20</f>
        <v>82832</v>
      </c>
      <c r="AG23" s="222">
        <f>[7]D!K20</f>
        <v>36908</v>
      </c>
      <c r="AH23" s="222">
        <f>[7]D!L20</f>
        <v>11614</v>
      </c>
      <c r="AI23" s="222">
        <f>[7]D!M20</f>
        <v>5403</v>
      </c>
      <c r="AJ23" s="222">
        <f>[7]D!N20</f>
        <v>5275</v>
      </c>
      <c r="AK23" s="222">
        <f>[7]D!O20</f>
        <v>6197</v>
      </c>
      <c r="AL23" s="222">
        <f>[7]D!D20</f>
        <v>17661</v>
      </c>
      <c r="AM23" s="222">
        <f>[7]D!E20</f>
        <v>57126</v>
      </c>
      <c r="AN23" s="222">
        <f>[7]D!F20</f>
        <v>101572</v>
      </c>
      <c r="AO23" s="222"/>
      <c r="AP23" s="222">
        <f t="shared" si="23"/>
        <v>731904</v>
      </c>
      <c r="AQ23" s="222">
        <f t="shared" si="24"/>
        <v>689915</v>
      </c>
      <c r="AR23" s="222">
        <f t="shared" si="25"/>
        <v>732801</v>
      </c>
      <c r="AT23" s="219"/>
      <c r="AW23" s="223"/>
      <c r="AX23" s="223"/>
      <c r="AY23" s="223"/>
      <c r="AZ23" s="223"/>
      <c r="BA23" s="47"/>
      <c r="BB23" s="47"/>
      <c r="BC23" s="47"/>
      <c r="BD23" s="47"/>
      <c r="BE23" s="78"/>
    </row>
    <row r="24" spans="1:57" ht="15.5">
      <c r="A24" t="s">
        <v>6</v>
      </c>
      <c r="B24" s="222">
        <f>[8]D!C21</f>
        <v>87642</v>
      </c>
      <c r="C24" s="222">
        <f>[8]D!D21</f>
        <v>111387</v>
      </c>
      <c r="D24" s="222">
        <f>[8]D!E21</f>
        <v>136446</v>
      </c>
      <c r="E24" s="222">
        <f>[8]D!F21</f>
        <v>163453</v>
      </c>
      <c r="F24" s="222">
        <f>[8]D!G21</f>
        <v>170671</v>
      </c>
      <c r="G24" s="222">
        <f>[8]D!H21</f>
        <v>160357</v>
      </c>
      <c r="H24" s="222">
        <f>[8]D!I21</f>
        <v>136474</v>
      </c>
      <c r="I24" s="222">
        <f>[8]D!J21</f>
        <v>104211</v>
      </c>
      <c r="J24" s="222">
        <f>[8]D!K21</f>
        <v>85726</v>
      </c>
      <c r="K24" s="222">
        <f>[8]D!L21</f>
        <v>77394</v>
      </c>
      <c r="L24" s="222">
        <f>[8]D!M21</f>
        <v>75324</v>
      </c>
      <c r="M24" s="222">
        <f>[8]D!N21</f>
        <v>85981</v>
      </c>
      <c r="N24" s="222">
        <f>[6]D!C21</f>
        <v>92234</v>
      </c>
      <c r="O24" s="222">
        <f>[6]D!D21</f>
        <v>121353</v>
      </c>
      <c r="P24" s="222">
        <f>[6]D!E21</f>
        <v>145820</v>
      </c>
      <c r="Q24" s="222">
        <f>[6]D!F21</f>
        <v>177539</v>
      </c>
      <c r="R24" s="222">
        <f>[6]D!G21</f>
        <v>178314</v>
      </c>
      <c r="S24" s="222">
        <f>[6]D!H21</f>
        <v>166268</v>
      </c>
      <c r="T24" s="222">
        <f>[6]D!I21</f>
        <v>143563</v>
      </c>
      <c r="U24" s="222">
        <f>[6]D!J21</f>
        <v>112293</v>
      </c>
      <c r="V24" s="222">
        <f>[6]D!K21</f>
        <v>91074</v>
      </c>
      <c r="W24" s="222">
        <f>[6]D!L21</f>
        <v>79101</v>
      </c>
      <c r="X24" s="222">
        <f>[6]D!M21</f>
        <v>78408</v>
      </c>
      <c r="Y24" s="222">
        <f>[6]D!N21</f>
        <v>85668</v>
      </c>
      <c r="Z24" s="222">
        <f>[6]D!O21</f>
        <v>93062</v>
      </c>
      <c r="AA24" s="222">
        <f>[6]D!P21</f>
        <v>122131</v>
      </c>
      <c r="AB24" s="222">
        <f>[6]D!Q21</f>
        <v>146660</v>
      </c>
      <c r="AC24" s="222">
        <f>[7]D!G21</f>
        <v>187150</v>
      </c>
      <c r="AD24" s="222">
        <f>[7]D!H21</f>
        <v>186764</v>
      </c>
      <c r="AE24" s="222">
        <f>[7]D!I21</f>
        <v>171175</v>
      </c>
      <c r="AF24" s="222">
        <f>[7]D!J21</f>
        <v>151038</v>
      </c>
      <c r="AG24" s="222">
        <f>[7]D!K21</f>
        <v>118570</v>
      </c>
      <c r="AH24" s="222">
        <f>[7]D!L21</f>
        <v>96080</v>
      </c>
      <c r="AI24" s="222">
        <f>[7]D!M21</f>
        <v>77521</v>
      </c>
      <c r="AJ24" s="222">
        <f>[7]D!N21</f>
        <v>87384</v>
      </c>
      <c r="AK24" s="222">
        <f>[7]D!O21</f>
        <v>89390</v>
      </c>
      <c r="AL24" s="222">
        <f>[7]D!D21</f>
        <v>96591</v>
      </c>
      <c r="AM24" s="222">
        <f>[7]D!E21</f>
        <v>127548</v>
      </c>
      <c r="AN24" s="222">
        <f>[7]D!F21</f>
        <v>155960</v>
      </c>
      <c r="AO24" s="222"/>
      <c r="AP24" s="222">
        <f t="shared" si="23"/>
        <v>1418998</v>
      </c>
      <c r="AQ24" s="222">
        <f t="shared" si="24"/>
        <v>1474081</v>
      </c>
      <c r="AR24" s="222">
        <f t="shared" si="25"/>
        <v>1545171</v>
      </c>
      <c r="AT24" s="219"/>
      <c r="AW24" s="223"/>
      <c r="AX24" s="223"/>
      <c r="AY24" s="223"/>
      <c r="AZ24" s="223"/>
      <c r="BA24" s="47"/>
      <c r="BB24" s="47"/>
      <c r="BC24" s="47"/>
      <c r="BD24" s="47"/>
      <c r="BE24" s="78"/>
    </row>
    <row r="25" spans="1:57">
      <c r="A25" t="s">
        <v>7</v>
      </c>
      <c r="B25" s="222">
        <f t="shared" ref="B25" si="26">SUM(B20:B24)</f>
        <v>244074</v>
      </c>
      <c r="C25" s="222">
        <f t="shared" ref="C25:P25" si="27">SUM(C20:C24)</f>
        <v>531139</v>
      </c>
      <c r="D25" s="222">
        <f t="shared" si="27"/>
        <v>829477</v>
      </c>
      <c r="E25" s="222">
        <f t="shared" si="27"/>
        <v>1101427</v>
      </c>
      <c r="F25" s="222">
        <f t="shared" si="27"/>
        <v>1164068</v>
      </c>
      <c r="G25" s="222">
        <f t="shared" si="27"/>
        <v>1014671</v>
      </c>
      <c r="H25" s="222">
        <f t="shared" si="27"/>
        <v>749845</v>
      </c>
      <c r="I25" s="222">
        <f t="shared" si="27"/>
        <v>413054</v>
      </c>
      <c r="J25" s="222">
        <f t="shared" si="27"/>
        <v>245425</v>
      </c>
      <c r="K25" s="222">
        <f t="shared" si="27"/>
        <v>189123</v>
      </c>
      <c r="L25" s="222">
        <f t="shared" si="27"/>
        <v>178568</v>
      </c>
      <c r="M25" s="222">
        <f t="shared" si="27"/>
        <v>196253</v>
      </c>
      <c r="N25" s="222">
        <f t="shared" si="27"/>
        <v>250763</v>
      </c>
      <c r="O25" s="222">
        <f t="shared" si="27"/>
        <v>518490</v>
      </c>
      <c r="P25" s="222">
        <f t="shared" si="27"/>
        <v>821457</v>
      </c>
      <c r="Q25" s="222">
        <f t="shared" ref="Q25:R25" si="28">SUM(Q20:Q24)</f>
        <v>1146061</v>
      </c>
      <c r="R25" s="222">
        <f t="shared" si="28"/>
        <v>1171330</v>
      </c>
      <c r="S25" s="222">
        <f t="shared" ref="S25:AC25" si="29">SUM(S20:S24)</f>
        <v>1005477</v>
      </c>
      <c r="T25" s="222">
        <f t="shared" si="29"/>
        <v>749884</v>
      </c>
      <c r="U25" s="222">
        <f t="shared" si="29"/>
        <v>429501</v>
      </c>
      <c r="V25" s="222">
        <f t="shared" si="29"/>
        <v>248493</v>
      </c>
      <c r="W25" s="222">
        <f t="shared" si="29"/>
        <v>184958</v>
      </c>
      <c r="X25" s="222">
        <f t="shared" si="29"/>
        <v>180207</v>
      </c>
      <c r="Y25" s="222">
        <f t="shared" si="29"/>
        <v>191551</v>
      </c>
      <c r="Z25" s="222">
        <f t="shared" si="29"/>
        <v>253071</v>
      </c>
      <c r="AA25" s="222">
        <f t="shared" si="29"/>
        <v>523490</v>
      </c>
      <c r="AB25" s="222">
        <f t="shared" si="29"/>
        <v>829490</v>
      </c>
      <c r="AC25" s="222">
        <f t="shared" si="29"/>
        <v>1183775</v>
      </c>
      <c r="AD25" s="222">
        <f t="shared" ref="AD25:AN25" si="30">SUM(AD20:AD24)</f>
        <v>1200865</v>
      </c>
      <c r="AE25" s="222">
        <f t="shared" si="30"/>
        <v>1005575</v>
      </c>
      <c r="AF25" s="222">
        <f t="shared" si="30"/>
        <v>781412</v>
      </c>
      <c r="AG25" s="222">
        <f t="shared" si="30"/>
        <v>452974</v>
      </c>
      <c r="AH25" s="222">
        <f t="shared" si="30"/>
        <v>257413</v>
      </c>
      <c r="AI25" s="222">
        <f t="shared" si="30"/>
        <v>182789</v>
      </c>
      <c r="AJ25" s="222">
        <f t="shared" si="30"/>
        <v>189018</v>
      </c>
      <c r="AK25" s="222">
        <f t="shared" si="30"/>
        <v>195560</v>
      </c>
      <c r="AL25" s="222">
        <f t="shared" si="30"/>
        <v>261011</v>
      </c>
      <c r="AM25" s="222">
        <f t="shared" si="30"/>
        <v>541509</v>
      </c>
      <c r="AN25" s="222">
        <f t="shared" si="30"/>
        <v>857722</v>
      </c>
      <c r="AO25" s="222"/>
      <c r="AP25" s="222">
        <f t="shared" si="23"/>
        <v>6843144</v>
      </c>
      <c r="AQ25" s="222">
        <f t="shared" si="24"/>
        <v>6913513</v>
      </c>
      <c r="AR25" s="222">
        <f t="shared" si="25"/>
        <v>7109623</v>
      </c>
      <c r="BA25" s="225"/>
      <c r="BB25" s="225"/>
      <c r="BC25" s="225"/>
      <c r="BD25" s="225"/>
      <c r="BE25" s="229"/>
    </row>
    <row r="26" spans="1:57" ht="15.5">
      <c r="A26" t="s">
        <v>8</v>
      </c>
      <c r="B26" s="222">
        <f>[8]D!C23</f>
        <v>476924</v>
      </c>
      <c r="C26" s="222">
        <f>[8]D!D23</f>
        <v>561831</v>
      </c>
      <c r="D26" s="222">
        <f>[8]D!E23</f>
        <v>622645</v>
      </c>
      <c r="E26" s="222">
        <f>[8]D!F23</f>
        <v>690420</v>
      </c>
      <c r="F26" s="222">
        <f>[8]D!G23</f>
        <v>581872</v>
      </c>
      <c r="G26" s="222">
        <f>[8]D!H23</f>
        <v>581569</v>
      </c>
      <c r="H26" s="222">
        <f>[8]D!I23</f>
        <v>406794</v>
      </c>
      <c r="I26" s="222">
        <f>[8]D!J23</f>
        <v>380665</v>
      </c>
      <c r="J26" s="222">
        <f>[8]D!K23</f>
        <v>398603</v>
      </c>
      <c r="K26" s="222">
        <f>[8]D!L23</f>
        <v>379282</v>
      </c>
      <c r="L26" s="222">
        <f>[8]D!M23</f>
        <v>404222</v>
      </c>
      <c r="M26" s="222">
        <f>[8]D!N23</f>
        <v>426467</v>
      </c>
      <c r="N26" s="222">
        <f>[6]D!C23</f>
        <v>510113</v>
      </c>
      <c r="O26" s="222">
        <f>[6]D!D23</f>
        <v>684692</v>
      </c>
      <c r="P26" s="222">
        <f>[6]D!E23</f>
        <v>754364</v>
      </c>
      <c r="Q26" s="222">
        <f>[6]D!F23</f>
        <v>754724</v>
      </c>
      <c r="R26" s="222">
        <f>[6]D!G23</f>
        <v>609943</v>
      </c>
      <c r="S26" s="222">
        <f>[6]D!H23</f>
        <v>612894</v>
      </c>
      <c r="T26" s="222">
        <f>[6]D!I23</f>
        <v>548714</v>
      </c>
      <c r="U26" s="222">
        <f>[6]D!J23</f>
        <v>378130</v>
      </c>
      <c r="V26" s="222">
        <f>[6]D!K23</f>
        <v>432003</v>
      </c>
      <c r="W26" s="222">
        <f>[6]D!L23</f>
        <v>429007</v>
      </c>
      <c r="X26" s="222">
        <f>[6]D!M23</f>
        <v>444910</v>
      </c>
      <c r="Y26" s="222">
        <f>[6]D!N23</f>
        <v>459197</v>
      </c>
      <c r="Z26" s="222">
        <f>[6]D!O23</f>
        <v>510805</v>
      </c>
      <c r="AA26" s="222">
        <f>[6]D!P23</f>
        <v>684279</v>
      </c>
      <c r="AB26" s="222">
        <f>[6]D!Q23</f>
        <v>756810</v>
      </c>
      <c r="AC26" s="222">
        <f>[7]D!G29</f>
        <v>774990</v>
      </c>
      <c r="AD26" s="222">
        <f>[7]D!H29</f>
        <v>716045</v>
      </c>
      <c r="AE26" s="222">
        <f>[7]D!I29</f>
        <v>651653</v>
      </c>
      <c r="AF26" s="222">
        <f>[7]D!J29</f>
        <v>470251</v>
      </c>
      <c r="AG26" s="222">
        <f>[7]D!K29</f>
        <v>361805</v>
      </c>
      <c r="AH26" s="222">
        <f>[7]D!L29</f>
        <v>427391</v>
      </c>
      <c r="AI26" s="222">
        <f>[7]D!M29</f>
        <v>434369</v>
      </c>
      <c r="AJ26" s="222">
        <f>[7]D!N29</f>
        <v>430210</v>
      </c>
      <c r="AK26" s="222">
        <f>[7]D!O29</f>
        <v>418538</v>
      </c>
      <c r="AL26" s="222">
        <f>[7]D!D29</f>
        <v>497889</v>
      </c>
      <c r="AM26" s="222">
        <f>[7]D!E29</f>
        <v>554633</v>
      </c>
      <c r="AN26" s="222">
        <f>[7]D!F29</f>
        <v>756049</v>
      </c>
      <c r="AO26" s="222"/>
      <c r="AP26" s="222">
        <f t="shared" si="23"/>
        <v>6199063</v>
      </c>
      <c r="AQ26" s="222">
        <f t="shared" si="24"/>
        <v>6621416</v>
      </c>
      <c r="AR26" s="222">
        <f t="shared" si="25"/>
        <v>6493823</v>
      </c>
      <c r="AT26" s="219"/>
      <c r="AW26" s="223"/>
      <c r="AX26" s="223"/>
      <c r="AY26" s="223"/>
      <c r="AZ26" s="223"/>
      <c r="BA26" s="225"/>
      <c r="BB26" s="225"/>
      <c r="BC26" s="225"/>
      <c r="BD26" s="225"/>
      <c r="BE26" s="229"/>
    </row>
    <row r="27" spans="1:57">
      <c r="A27" t="s">
        <v>9</v>
      </c>
      <c r="B27" s="222">
        <f>[8]F!D$247+[8]F!D$262+[8]F!D$412</f>
        <v>248124</v>
      </c>
      <c r="C27" s="222">
        <f>[8]F!E$247+[8]F!E$262+[8]F!E$412</f>
        <v>315351</v>
      </c>
      <c r="D27" s="222">
        <f>[8]F!F$247+[8]F!F$262+[8]F!F$412</f>
        <v>347396</v>
      </c>
      <c r="E27" s="222">
        <f>[8]F!G$247+[8]F!G$262+[8]F!G$412</f>
        <v>401100</v>
      </c>
      <c r="F27" s="222">
        <f>[8]F!H$247+[8]F!H$262+[8]F!H$412</f>
        <v>325915</v>
      </c>
      <c r="G27" s="222">
        <f>[8]F!I$247+[8]F!I$262+[8]F!I$412</f>
        <v>309344</v>
      </c>
      <c r="H27" s="222">
        <f>[8]F!J$247+[8]F!J$262+[8]F!J$412</f>
        <v>198314</v>
      </c>
      <c r="I27" s="222">
        <f>[8]F!K$247+[8]F!K$262+[8]F!K$412</f>
        <v>188237</v>
      </c>
      <c r="J27" s="222">
        <f>[8]F!L$247+[8]F!L$262+[8]F!L$412</f>
        <v>201971</v>
      </c>
      <c r="K27" s="222">
        <f>[8]F!M$247+[8]F!M$262+[8]F!M$412</f>
        <v>181150</v>
      </c>
      <c r="L27" s="222">
        <f>[8]F!N$247+[8]F!N$262+[8]F!N$412</f>
        <v>200365</v>
      </c>
      <c r="M27" s="222">
        <f>[8]F!O$247+[8]F!O$262+[8]F!O$412</f>
        <v>216402</v>
      </c>
      <c r="N27" s="222">
        <f>[6]F!D247+[6]F!D262+[6]F!D412</f>
        <v>281181</v>
      </c>
      <c r="O27" s="222">
        <f>[6]F!E247+[6]F!E262+[6]F!E412</f>
        <v>445826</v>
      </c>
      <c r="P27" s="222">
        <f>[6]F!F247+[6]F!F262+[6]F!F412</f>
        <v>480525</v>
      </c>
      <c r="Q27" s="222">
        <f>[6]F!G247+[6]F!G262+[6]F!G412</f>
        <v>444539</v>
      </c>
      <c r="R27" s="222">
        <f>[6]F!H247+[6]F!H262+[6]F!H412</f>
        <v>345279</v>
      </c>
      <c r="S27" s="222">
        <f>[6]F!I247+[6]F!I262+[6]F!I412</f>
        <v>348604</v>
      </c>
      <c r="T27" s="222">
        <f>[6]F!J247+[6]F!J262+[6]F!J412</f>
        <v>324973</v>
      </c>
      <c r="U27" s="222">
        <f>[6]F!K247+[6]F!K262+[6]F!K412</f>
        <v>174330</v>
      </c>
      <c r="V27" s="222">
        <f>[6]F!L247+[6]F!L262+[6]F!L412</f>
        <v>241778</v>
      </c>
      <c r="W27" s="222">
        <f>[6]F!M247+[6]F!M262+[6]F!M412</f>
        <v>221735</v>
      </c>
      <c r="X27" s="222">
        <f>[6]F!N247+[6]F!N262+[6]F!N412</f>
        <v>235637</v>
      </c>
      <c r="Y27" s="222">
        <f>[6]F!O247+[6]F!O262+[6]F!O412</f>
        <v>257720</v>
      </c>
      <c r="Z27" s="222">
        <f>[6]F!P247+[6]F!P262+[6]F!P412</f>
        <v>281181</v>
      </c>
      <c r="AA27" s="222">
        <f>[6]F!Q247+[6]F!Q262+[6]F!Q412</f>
        <v>445826</v>
      </c>
      <c r="AB27" s="222">
        <f>[6]F!R247+[6]F!R262+[6]F!R412</f>
        <v>480525</v>
      </c>
      <c r="AC27" s="222">
        <f>[7]D!G30</f>
        <v>474430</v>
      </c>
      <c r="AD27" s="222">
        <f>[7]D!H30</f>
        <v>449292</v>
      </c>
      <c r="AE27" s="222">
        <f>[7]D!I30</f>
        <v>384187</v>
      </c>
      <c r="AF27" s="222">
        <f>[7]D!J30</f>
        <v>236883</v>
      </c>
      <c r="AG27" s="222">
        <f>[7]D!K30</f>
        <v>155845</v>
      </c>
      <c r="AH27" s="222">
        <f>[7]D!L30</f>
        <v>225716</v>
      </c>
      <c r="AI27" s="222">
        <f>[7]D!M30</f>
        <v>231535</v>
      </c>
      <c r="AJ27" s="222">
        <f>[7]D!N30</f>
        <v>227242</v>
      </c>
      <c r="AK27" s="222">
        <f>[7]D!O30</f>
        <v>233671</v>
      </c>
      <c r="AL27" s="222">
        <f>[7]D!D30</f>
        <v>270473</v>
      </c>
      <c r="AM27" s="222">
        <f>[7]D!E30</f>
        <v>311694</v>
      </c>
      <c r="AN27" s="222">
        <f>[7]D!F30</f>
        <v>480960</v>
      </c>
      <c r="AO27" s="222"/>
      <c r="AP27" s="222">
        <f t="shared" si="23"/>
        <v>3430330</v>
      </c>
      <c r="AQ27" s="222">
        <f t="shared" si="24"/>
        <v>3802127</v>
      </c>
      <c r="AR27" s="222">
        <f t="shared" si="25"/>
        <v>3681928</v>
      </c>
      <c r="BA27" s="47"/>
      <c r="BB27" s="47"/>
      <c r="BC27" s="47"/>
      <c r="BD27" s="47"/>
      <c r="BE27" s="78"/>
    </row>
    <row r="28" spans="1:57">
      <c r="A28" t="s">
        <v>22</v>
      </c>
      <c r="B28" s="222">
        <f t="shared" ref="B28" si="31">B26-B27</f>
        <v>228800</v>
      </c>
      <c r="C28" s="222">
        <f t="shared" ref="C28:P28" si="32">C26-C27</f>
        <v>246480</v>
      </c>
      <c r="D28" s="222">
        <f t="shared" si="32"/>
        <v>275249</v>
      </c>
      <c r="E28" s="222">
        <f t="shared" si="32"/>
        <v>289320</v>
      </c>
      <c r="F28" s="222">
        <f t="shared" si="32"/>
        <v>255957</v>
      </c>
      <c r="G28" s="222">
        <f t="shared" si="32"/>
        <v>272225</v>
      </c>
      <c r="H28" s="222">
        <f t="shared" si="32"/>
        <v>208480</v>
      </c>
      <c r="I28" s="222">
        <f t="shared" si="32"/>
        <v>192428</v>
      </c>
      <c r="J28" s="222">
        <f t="shared" si="32"/>
        <v>196632</v>
      </c>
      <c r="K28" s="222">
        <f t="shared" si="32"/>
        <v>198132</v>
      </c>
      <c r="L28" s="222">
        <f t="shared" si="32"/>
        <v>203857</v>
      </c>
      <c r="M28" s="222">
        <f t="shared" si="32"/>
        <v>210065</v>
      </c>
      <c r="N28" s="222">
        <f>N26-N27</f>
        <v>228932</v>
      </c>
      <c r="O28" s="222">
        <f t="shared" si="32"/>
        <v>238866</v>
      </c>
      <c r="P28" s="222">
        <f t="shared" si="32"/>
        <v>273839</v>
      </c>
      <c r="Q28" s="222">
        <f t="shared" ref="Q28:R28" si="33">Q26-Q27</f>
        <v>310185</v>
      </c>
      <c r="R28" s="222">
        <f t="shared" si="33"/>
        <v>264664</v>
      </c>
      <c r="S28" s="222">
        <f t="shared" ref="S28:AB28" si="34">S26-S27</f>
        <v>264290</v>
      </c>
      <c r="T28" s="222">
        <f t="shared" si="34"/>
        <v>223741</v>
      </c>
      <c r="U28" s="222">
        <f t="shared" si="34"/>
        <v>203800</v>
      </c>
      <c r="V28" s="222">
        <f t="shared" si="34"/>
        <v>190225</v>
      </c>
      <c r="W28" s="222">
        <f t="shared" si="34"/>
        <v>207272</v>
      </c>
      <c r="X28" s="222">
        <f t="shared" si="34"/>
        <v>209273</v>
      </c>
      <c r="Y28" s="222">
        <f t="shared" si="34"/>
        <v>201477</v>
      </c>
      <c r="Z28" s="222">
        <f t="shared" si="34"/>
        <v>229624</v>
      </c>
      <c r="AA28" s="222">
        <f t="shared" si="34"/>
        <v>238453</v>
      </c>
      <c r="AB28" s="222">
        <f t="shared" si="34"/>
        <v>276285</v>
      </c>
      <c r="AC28" s="222">
        <f>AC26-AC27</f>
        <v>300560</v>
      </c>
      <c r="AD28" s="222">
        <f>AD26-AD27</f>
        <v>266753</v>
      </c>
      <c r="AE28" s="222">
        <f t="shared" ref="AE28:AN28" si="35">AE26-AE27</f>
        <v>267466</v>
      </c>
      <c r="AF28" s="222">
        <f t="shared" si="35"/>
        <v>233368</v>
      </c>
      <c r="AG28" s="222">
        <f t="shared" si="35"/>
        <v>205960</v>
      </c>
      <c r="AH28" s="222">
        <f t="shared" si="35"/>
        <v>201675</v>
      </c>
      <c r="AI28" s="222">
        <f t="shared" si="35"/>
        <v>202834</v>
      </c>
      <c r="AJ28" s="222">
        <f t="shared" si="35"/>
        <v>202968</v>
      </c>
      <c r="AK28" s="222">
        <f t="shared" si="35"/>
        <v>184867</v>
      </c>
      <c r="AL28" s="222">
        <f t="shared" si="35"/>
        <v>227416</v>
      </c>
      <c r="AM28" s="222">
        <f t="shared" si="35"/>
        <v>242939</v>
      </c>
      <c r="AN28" s="222">
        <f t="shared" si="35"/>
        <v>275089</v>
      </c>
      <c r="AO28" s="222"/>
      <c r="AP28" s="222">
        <f t="shared" si="23"/>
        <v>2768733</v>
      </c>
      <c r="AQ28" s="222">
        <f t="shared" si="24"/>
        <v>2819289</v>
      </c>
      <c r="AR28" s="222">
        <f t="shared" si="25"/>
        <v>2811895</v>
      </c>
    </row>
    <row r="29" spans="1:57">
      <c r="A29" t="s">
        <v>23</v>
      </c>
      <c r="B29" s="222">
        <f t="shared" ref="B29" si="36">B25+B28</f>
        <v>472874</v>
      </c>
      <c r="C29" s="222">
        <f t="shared" ref="C29:P29" si="37">C25+C28</f>
        <v>777619</v>
      </c>
      <c r="D29" s="222">
        <f t="shared" si="37"/>
        <v>1104726</v>
      </c>
      <c r="E29" s="222">
        <f t="shared" si="37"/>
        <v>1390747</v>
      </c>
      <c r="F29" s="222">
        <f t="shared" si="37"/>
        <v>1420025</v>
      </c>
      <c r="G29" s="222">
        <f t="shared" si="37"/>
        <v>1286896</v>
      </c>
      <c r="H29" s="222">
        <f t="shared" si="37"/>
        <v>958325</v>
      </c>
      <c r="I29" s="222">
        <f t="shared" si="37"/>
        <v>605482</v>
      </c>
      <c r="J29" s="222">
        <f t="shared" si="37"/>
        <v>442057</v>
      </c>
      <c r="K29" s="222">
        <f t="shared" si="37"/>
        <v>387255</v>
      </c>
      <c r="L29" s="222">
        <f t="shared" si="37"/>
        <v>382425</v>
      </c>
      <c r="M29" s="222">
        <f t="shared" si="37"/>
        <v>406318</v>
      </c>
      <c r="N29" s="222">
        <f t="shared" si="37"/>
        <v>479695</v>
      </c>
      <c r="O29" s="222">
        <f t="shared" si="37"/>
        <v>757356</v>
      </c>
      <c r="P29" s="222">
        <f t="shared" si="37"/>
        <v>1095296</v>
      </c>
      <c r="Q29" s="222">
        <f t="shared" ref="Q29:R29" si="38">Q25+Q28</f>
        <v>1456246</v>
      </c>
      <c r="R29" s="222">
        <f t="shared" si="38"/>
        <v>1435994</v>
      </c>
      <c r="S29" s="222">
        <f t="shared" ref="S29:AC29" si="39">S25+S28</f>
        <v>1269767</v>
      </c>
      <c r="T29" s="222">
        <f t="shared" si="39"/>
        <v>973625</v>
      </c>
      <c r="U29" s="222">
        <f t="shared" si="39"/>
        <v>633301</v>
      </c>
      <c r="V29" s="222">
        <f t="shared" si="39"/>
        <v>438718</v>
      </c>
      <c r="W29" s="222">
        <f t="shared" si="39"/>
        <v>392230</v>
      </c>
      <c r="X29" s="222">
        <f t="shared" si="39"/>
        <v>389480</v>
      </c>
      <c r="Y29" s="222">
        <f t="shared" si="39"/>
        <v>393028</v>
      </c>
      <c r="Z29" s="222">
        <f t="shared" si="39"/>
        <v>482695</v>
      </c>
      <c r="AA29" s="222">
        <f t="shared" si="39"/>
        <v>761943</v>
      </c>
      <c r="AB29" s="222">
        <f t="shared" si="39"/>
        <v>1105775</v>
      </c>
      <c r="AC29" s="222">
        <f t="shared" si="39"/>
        <v>1484335</v>
      </c>
      <c r="AD29" s="222">
        <f t="shared" ref="AD29:AN29" si="40">AD25+AD28</f>
        <v>1467618</v>
      </c>
      <c r="AE29" s="222">
        <f t="shared" si="40"/>
        <v>1273041</v>
      </c>
      <c r="AF29" s="222">
        <f t="shared" si="40"/>
        <v>1014780</v>
      </c>
      <c r="AG29" s="222">
        <f t="shared" si="40"/>
        <v>658934</v>
      </c>
      <c r="AH29" s="222">
        <f t="shared" si="40"/>
        <v>459088</v>
      </c>
      <c r="AI29" s="222">
        <f t="shared" si="40"/>
        <v>385623</v>
      </c>
      <c r="AJ29" s="222">
        <f t="shared" si="40"/>
        <v>391986</v>
      </c>
      <c r="AK29" s="222">
        <f t="shared" si="40"/>
        <v>380427</v>
      </c>
      <c r="AL29" s="222">
        <f t="shared" si="40"/>
        <v>488427</v>
      </c>
      <c r="AM29" s="222">
        <f t="shared" si="40"/>
        <v>784448</v>
      </c>
      <c r="AN29" s="222">
        <f t="shared" si="40"/>
        <v>1132811</v>
      </c>
      <c r="AO29" s="222"/>
      <c r="AP29" s="222">
        <f t="shared" si="23"/>
        <v>9611877</v>
      </c>
      <c r="AQ29" s="222">
        <f t="shared" si="24"/>
        <v>9732802</v>
      </c>
      <c r="AR29" s="222">
        <f t="shared" si="25"/>
        <v>9921518</v>
      </c>
    </row>
    <row r="30" spans="1:57">
      <c r="AK30" s="223"/>
      <c r="AP30" s="223"/>
      <c r="AQ30" s="223"/>
      <c r="AR30" s="223"/>
      <c r="BA30" s="230"/>
      <c r="BB30" s="230"/>
      <c r="BC30" s="230"/>
      <c r="BD30" s="230"/>
    </row>
    <row r="31" spans="1:57">
      <c r="N31" s="71">
        <f>N18</f>
        <v>2019</v>
      </c>
    </row>
    <row r="32" spans="1:57">
      <c r="A32" t="s">
        <v>67</v>
      </c>
      <c r="N32" s="71" t="str">
        <f>N19</f>
        <v>October</v>
      </c>
      <c r="AP32" s="254" t="s">
        <v>184</v>
      </c>
      <c r="AQ32" s="254" t="s">
        <v>184</v>
      </c>
      <c r="AR32" s="254" t="s">
        <v>184</v>
      </c>
    </row>
    <row r="33" spans="1:44">
      <c r="A33" t="s">
        <v>2</v>
      </c>
      <c r="B33" s="224">
        <f>[8]D!C7</f>
        <v>45831</v>
      </c>
      <c r="C33" s="224">
        <f>[8]D!D7</f>
        <v>46471</v>
      </c>
      <c r="D33" s="224">
        <f>[8]D!E7</f>
        <v>46838</v>
      </c>
      <c r="E33" s="224">
        <f>[8]D!F7</f>
        <v>46977</v>
      </c>
      <c r="F33" s="224">
        <f>[8]D!G7</f>
        <v>47038</v>
      </c>
      <c r="G33" s="224">
        <f>[8]D!H7</f>
        <v>47078</v>
      </c>
      <c r="H33" s="224">
        <f>[8]D!I7</f>
        <v>47071</v>
      </c>
      <c r="I33" s="224">
        <f>[8]D!J7</f>
        <v>46919</v>
      </c>
      <c r="J33" s="224">
        <f>[8]D!K7</f>
        <v>46567</v>
      </c>
      <c r="K33" s="224">
        <f>[8]D!L7</f>
        <v>46175</v>
      </c>
      <c r="L33" s="224">
        <f>[8]D!M7</f>
        <v>46053</v>
      </c>
      <c r="M33" s="224">
        <f>[8]D!N7</f>
        <v>46109</v>
      </c>
      <c r="N33" s="224">
        <f>[6]D!C7</f>
        <v>46469</v>
      </c>
      <c r="O33" s="224">
        <f>[6]D!D7</f>
        <v>47037</v>
      </c>
      <c r="P33" s="224">
        <f>[6]D!E7</f>
        <v>47365</v>
      </c>
      <c r="Q33" s="224">
        <f>[6]D!F7</f>
        <v>47508</v>
      </c>
      <c r="R33" s="224">
        <f>[6]D!G7</f>
        <v>47557</v>
      </c>
      <c r="S33" s="224">
        <f>[6]D!H7</f>
        <v>47610</v>
      </c>
      <c r="T33" s="224">
        <f>[6]D!I7</f>
        <v>47614</v>
      </c>
      <c r="U33" s="224">
        <f>[6]D!J7</f>
        <v>47493</v>
      </c>
      <c r="V33" s="224">
        <f>[6]D!K7</f>
        <v>47164</v>
      </c>
      <c r="W33" s="224">
        <f>[6]D!L7</f>
        <v>46806</v>
      </c>
      <c r="X33" s="224">
        <f>[6]D!M7</f>
        <v>46717</v>
      </c>
      <c r="Y33" s="224">
        <f>[6]D!N7</f>
        <v>46767</v>
      </c>
      <c r="Z33" s="224">
        <f>[6]D!O7</f>
        <v>47090</v>
      </c>
      <c r="AA33" s="224">
        <f>[6]D!P7</f>
        <v>47658</v>
      </c>
      <c r="AB33" s="224">
        <f>[6]D!Q7</f>
        <v>47985</v>
      </c>
      <c r="AC33" s="224">
        <f>[7]D!G7</f>
        <v>48293</v>
      </c>
      <c r="AD33" s="224">
        <f>[7]D!H7</f>
        <v>48343</v>
      </c>
      <c r="AE33" s="224">
        <f>[7]D!I7</f>
        <v>48399</v>
      </c>
      <c r="AF33" s="224">
        <f>[7]D!J7</f>
        <v>48407</v>
      </c>
      <c r="AG33" s="224">
        <f>[7]D!K7</f>
        <v>48278</v>
      </c>
      <c r="AH33" s="224">
        <f>[7]D!L7</f>
        <v>48004</v>
      </c>
      <c r="AI33" s="224">
        <f>[7]D!M7</f>
        <v>47687</v>
      </c>
      <c r="AJ33" s="224">
        <f>[7]D!N7</f>
        <v>47600</v>
      </c>
      <c r="AK33" s="224">
        <f>[7]D!O7</f>
        <v>47647</v>
      </c>
      <c r="AL33" s="224">
        <f>[7]D!D7</f>
        <v>47381</v>
      </c>
      <c r="AM33" s="224">
        <f>[7]D!E7</f>
        <v>47864</v>
      </c>
      <c r="AN33" s="224">
        <f>[7]D!F7</f>
        <v>48156</v>
      </c>
      <c r="AO33" s="224"/>
      <c r="AP33" s="222">
        <f t="shared" ref="AP33:AP42" si="41">AVERAGE(E33:P33)</f>
        <v>46738.166666666664</v>
      </c>
      <c r="AQ33" s="222">
        <f t="shared" ref="AQ33:AQ42" si="42">AVERAGE(Q33:AB33)</f>
        <v>47330.75</v>
      </c>
      <c r="AR33" s="222">
        <f>AVERAGE(AC33:AN33)</f>
        <v>48004.916666666664</v>
      </c>
    </row>
    <row r="34" spans="1:44">
      <c r="A34" t="s">
        <v>3</v>
      </c>
      <c r="B34" s="224">
        <f>[8]D!C8</f>
        <v>3927</v>
      </c>
      <c r="C34" s="224">
        <f>[8]D!D8</f>
        <v>4052</v>
      </c>
      <c r="D34" s="224">
        <f>[8]D!E8</f>
        <v>4099</v>
      </c>
      <c r="E34" s="224">
        <f>[8]D!F8</f>
        <v>4124</v>
      </c>
      <c r="F34" s="224">
        <f>[8]D!G8</f>
        <v>4132</v>
      </c>
      <c r="G34" s="224">
        <f>[8]D!H8</f>
        <v>4133</v>
      </c>
      <c r="H34" s="224">
        <f>[8]D!I8</f>
        <v>4133</v>
      </c>
      <c r="I34" s="224">
        <f>[8]D!J8</f>
        <v>4095</v>
      </c>
      <c r="J34" s="224">
        <f>[8]D!K8</f>
        <v>4016</v>
      </c>
      <c r="K34" s="224">
        <f>[8]D!L8</f>
        <v>3968</v>
      </c>
      <c r="L34" s="224">
        <f>[8]D!M8</f>
        <v>3950</v>
      </c>
      <c r="M34" s="224">
        <f>[8]D!N8</f>
        <v>3954</v>
      </c>
      <c r="N34" s="224">
        <f>[6]D!C8</f>
        <v>3925</v>
      </c>
      <c r="O34" s="224">
        <f>[6]D!D8</f>
        <v>4054</v>
      </c>
      <c r="P34" s="224">
        <f>[6]D!E8</f>
        <v>4101</v>
      </c>
      <c r="Q34" s="224">
        <f>[6]D!F8</f>
        <v>4132</v>
      </c>
      <c r="R34" s="224">
        <f>[6]D!G8</f>
        <v>4141</v>
      </c>
      <c r="S34" s="224">
        <f>[6]D!H8</f>
        <v>4143</v>
      </c>
      <c r="T34" s="224">
        <f>[6]D!I8</f>
        <v>4146</v>
      </c>
      <c r="U34" s="224">
        <f>[6]D!J8</f>
        <v>4112</v>
      </c>
      <c r="V34" s="224">
        <f>[6]D!K8</f>
        <v>4033</v>
      </c>
      <c r="W34" s="224">
        <f>[6]D!L8</f>
        <v>3985</v>
      </c>
      <c r="X34" s="224">
        <f>[6]D!M8</f>
        <v>3967</v>
      </c>
      <c r="Y34" s="224">
        <f>[6]D!N8</f>
        <v>3973</v>
      </c>
      <c r="Z34" s="224">
        <f>[6]D!O8</f>
        <v>4016</v>
      </c>
      <c r="AA34" s="224">
        <f>[6]D!P8</f>
        <v>4144</v>
      </c>
      <c r="AB34" s="224">
        <f>[6]D!Q8</f>
        <v>4190</v>
      </c>
      <c r="AC34" s="224">
        <f>[7]D!G8</f>
        <v>4099</v>
      </c>
      <c r="AD34" s="224">
        <f>[7]D!H8</f>
        <v>4111</v>
      </c>
      <c r="AE34" s="224">
        <f>[7]D!I8</f>
        <v>4112</v>
      </c>
      <c r="AF34" s="224">
        <f>[7]D!J8</f>
        <v>4113</v>
      </c>
      <c r="AG34" s="224">
        <f>[7]D!K8</f>
        <v>4083</v>
      </c>
      <c r="AH34" s="224">
        <f>[7]D!L8</f>
        <v>4012</v>
      </c>
      <c r="AI34" s="224">
        <f>[7]D!M8</f>
        <v>3962</v>
      </c>
      <c r="AJ34" s="224">
        <f>[7]D!N8</f>
        <v>3943</v>
      </c>
      <c r="AK34" s="224">
        <f>[7]D!O8</f>
        <v>3893</v>
      </c>
      <c r="AL34" s="224">
        <f>[7]D!D8</f>
        <v>3899</v>
      </c>
      <c r="AM34" s="224">
        <f>[7]D!E8</f>
        <v>4016</v>
      </c>
      <c r="AN34" s="224">
        <f>[7]D!F8</f>
        <v>4066</v>
      </c>
      <c r="AO34" s="224"/>
      <c r="AP34" s="222">
        <f t="shared" si="41"/>
        <v>4048.75</v>
      </c>
      <c r="AQ34" s="222">
        <f t="shared" si="42"/>
        <v>4081.8333333333335</v>
      </c>
      <c r="AR34" s="222">
        <f t="shared" ref="AR34:AR42" si="43">AVERAGE(AC34:AN34)</f>
        <v>4025.75</v>
      </c>
    </row>
    <row r="35" spans="1:44">
      <c r="A35" t="s">
        <v>4</v>
      </c>
      <c r="B35" s="224">
        <f>[8]D!C9</f>
        <v>883</v>
      </c>
      <c r="C35" s="224">
        <f>[8]D!D9</f>
        <v>887</v>
      </c>
      <c r="D35" s="224">
        <f>[8]D!E9</f>
        <v>891</v>
      </c>
      <c r="E35" s="224">
        <f>[8]D!F9</f>
        <v>892</v>
      </c>
      <c r="F35" s="224">
        <f>[8]D!G9</f>
        <v>892</v>
      </c>
      <c r="G35" s="224">
        <f>[8]D!H9</f>
        <v>893</v>
      </c>
      <c r="H35" s="224">
        <f>[8]D!I9</f>
        <v>894</v>
      </c>
      <c r="I35" s="224">
        <f>[8]D!J9</f>
        <v>894</v>
      </c>
      <c r="J35" s="224">
        <f>[8]D!K9</f>
        <v>889</v>
      </c>
      <c r="K35" s="224">
        <f>[8]D!L9</f>
        <v>888</v>
      </c>
      <c r="L35" s="224">
        <f>[8]D!M9</f>
        <v>885</v>
      </c>
      <c r="M35" s="224">
        <f>[8]D!N9</f>
        <v>879</v>
      </c>
      <c r="N35" s="224">
        <f>[6]D!C9</f>
        <v>983</v>
      </c>
      <c r="O35" s="224">
        <f>[6]D!D9</f>
        <v>988</v>
      </c>
      <c r="P35" s="224">
        <f>[6]D!E9</f>
        <v>991</v>
      </c>
      <c r="Q35" s="224">
        <f>[6]D!F9</f>
        <v>992</v>
      </c>
      <c r="R35" s="224">
        <f>[6]D!G9</f>
        <v>992</v>
      </c>
      <c r="S35" s="224">
        <f>[6]D!H9</f>
        <v>990</v>
      </c>
      <c r="T35" s="224">
        <f>[6]D!I9</f>
        <v>989</v>
      </c>
      <c r="U35" s="224">
        <f>[6]D!J9</f>
        <v>990</v>
      </c>
      <c r="V35" s="224">
        <f>[6]D!K9</f>
        <v>987</v>
      </c>
      <c r="W35" s="224">
        <f>[6]D!L9</f>
        <v>985</v>
      </c>
      <c r="X35" s="224">
        <f>[6]D!M9</f>
        <v>984</v>
      </c>
      <c r="Y35" s="224">
        <f>[6]D!N9</f>
        <v>982</v>
      </c>
      <c r="Z35" s="224">
        <f>[6]D!O9</f>
        <v>985</v>
      </c>
      <c r="AA35" s="224">
        <f>[6]D!P9</f>
        <v>990</v>
      </c>
      <c r="AB35" s="224">
        <f>[6]D!Q9</f>
        <v>993</v>
      </c>
      <c r="AC35" s="224">
        <f>[7]D!G9</f>
        <v>1032</v>
      </c>
      <c r="AD35" s="224">
        <f>[7]D!H9</f>
        <v>1034</v>
      </c>
      <c r="AE35" s="224">
        <f>[7]D!I9</f>
        <v>1032</v>
      </c>
      <c r="AF35" s="224">
        <f>[7]D!J9</f>
        <v>1032</v>
      </c>
      <c r="AG35" s="224">
        <f>[7]D!K9</f>
        <v>1028</v>
      </c>
      <c r="AH35" s="224">
        <f>[7]D!L9</f>
        <v>1022</v>
      </c>
      <c r="AI35" s="224">
        <f>[7]D!M9</f>
        <v>1018</v>
      </c>
      <c r="AJ35" s="224">
        <f>[7]D!N9</f>
        <v>1018</v>
      </c>
      <c r="AK35" s="224">
        <f>[7]D!O9</f>
        <v>1067</v>
      </c>
      <c r="AL35" s="224">
        <f>[7]D!D9</f>
        <v>1021</v>
      </c>
      <c r="AM35" s="224">
        <f>[7]D!E9</f>
        <v>1029</v>
      </c>
      <c r="AN35" s="224">
        <f>[7]D!F9</f>
        <v>1032</v>
      </c>
      <c r="AO35" s="224"/>
      <c r="AP35" s="222">
        <f t="shared" si="41"/>
        <v>914</v>
      </c>
      <c r="AQ35" s="222">
        <f t="shared" si="42"/>
        <v>988.25</v>
      </c>
      <c r="AR35" s="222">
        <f t="shared" si="43"/>
        <v>1030.4166666666667</v>
      </c>
    </row>
    <row r="36" spans="1:44">
      <c r="A36" t="s">
        <v>5</v>
      </c>
      <c r="B36" s="224">
        <f>[8]D!C10</f>
        <v>500</v>
      </c>
      <c r="C36" s="224">
        <f>[8]D!D10</f>
        <v>504</v>
      </c>
      <c r="D36" s="224">
        <f>[8]D!E10</f>
        <v>509</v>
      </c>
      <c r="E36" s="224">
        <f>[8]D!F10</f>
        <v>513</v>
      </c>
      <c r="F36" s="224">
        <f>[8]D!G10</f>
        <v>513</v>
      </c>
      <c r="G36" s="224">
        <f>[8]D!H10</f>
        <v>513</v>
      </c>
      <c r="H36" s="224">
        <f>[8]D!I10</f>
        <v>513</v>
      </c>
      <c r="I36" s="224">
        <f>[8]D!J10</f>
        <v>514</v>
      </c>
      <c r="J36" s="224">
        <f>[8]D!K10</f>
        <v>512</v>
      </c>
      <c r="K36" s="224">
        <f>[8]D!L10</f>
        <v>513</v>
      </c>
      <c r="L36" s="224">
        <f>[8]D!M10</f>
        <v>512</v>
      </c>
      <c r="M36" s="224">
        <f>[8]D!N10</f>
        <v>509</v>
      </c>
      <c r="N36" s="224">
        <f>[6]D!C10</f>
        <v>476</v>
      </c>
      <c r="O36" s="224">
        <f>[6]D!D10</f>
        <v>478</v>
      </c>
      <c r="P36" s="224">
        <f>[6]D!E10</f>
        <v>481</v>
      </c>
      <c r="Q36" s="224">
        <f>[6]D!F10</f>
        <v>482</v>
      </c>
      <c r="R36" s="224">
        <f>[6]D!G10</f>
        <v>483</v>
      </c>
      <c r="S36" s="224">
        <f>[6]D!H10</f>
        <v>484</v>
      </c>
      <c r="T36" s="224">
        <f>[6]D!I10</f>
        <v>484</v>
      </c>
      <c r="U36" s="224">
        <f>[6]D!J10</f>
        <v>487</v>
      </c>
      <c r="V36" s="224">
        <f>[6]D!K10</f>
        <v>483</v>
      </c>
      <c r="W36" s="224">
        <f>[6]D!L10</f>
        <v>482</v>
      </c>
      <c r="X36" s="224">
        <f>[6]D!M10</f>
        <v>484</v>
      </c>
      <c r="Y36" s="224">
        <f>[6]D!N10</f>
        <v>483</v>
      </c>
      <c r="Z36" s="224">
        <f>[6]D!O10</f>
        <v>483</v>
      </c>
      <c r="AA36" s="224">
        <f>[6]D!P10</f>
        <v>484</v>
      </c>
      <c r="AB36" s="224">
        <f>[6]D!Q10</f>
        <v>487</v>
      </c>
      <c r="AC36" s="224">
        <f>[7]D!G10</f>
        <v>507</v>
      </c>
      <c r="AD36" s="224">
        <f>[7]D!H10</f>
        <v>508</v>
      </c>
      <c r="AE36" s="224">
        <f>[7]D!I10</f>
        <v>506</v>
      </c>
      <c r="AF36" s="224">
        <f>[7]D!J10</f>
        <v>501</v>
      </c>
      <c r="AG36" s="224">
        <f>[7]D!K10</f>
        <v>504</v>
      </c>
      <c r="AH36" s="224">
        <f>[7]D!L10</f>
        <v>501</v>
      </c>
      <c r="AI36" s="224">
        <f>[7]D!M10</f>
        <v>497</v>
      </c>
      <c r="AJ36" s="224">
        <f>[7]D!N10</f>
        <v>497</v>
      </c>
      <c r="AK36" s="224">
        <f>[7]D!O10</f>
        <v>490</v>
      </c>
      <c r="AL36" s="224">
        <f>[7]D!D10</f>
        <v>498</v>
      </c>
      <c r="AM36" s="224">
        <f>[7]D!E10</f>
        <v>502</v>
      </c>
      <c r="AN36" s="224">
        <f>[7]D!F10</f>
        <v>507</v>
      </c>
      <c r="AO36" s="224"/>
      <c r="AP36" s="222">
        <f t="shared" si="41"/>
        <v>503.91666666666669</v>
      </c>
      <c r="AQ36" s="222">
        <f t="shared" si="42"/>
        <v>483.83333333333331</v>
      </c>
      <c r="AR36" s="222">
        <f t="shared" si="43"/>
        <v>501.5</v>
      </c>
    </row>
    <row r="37" spans="1:44">
      <c r="A37" t="s">
        <v>6</v>
      </c>
      <c r="B37" s="224">
        <f>[8]D!C11</f>
        <v>515</v>
      </c>
      <c r="C37" s="224">
        <f>[8]D!D11</f>
        <v>517</v>
      </c>
      <c r="D37" s="224">
        <f>[8]D!E11</f>
        <v>518</v>
      </c>
      <c r="E37" s="224">
        <f>[8]D!F11</f>
        <v>519</v>
      </c>
      <c r="F37" s="224">
        <f>[8]D!G11</f>
        <v>521</v>
      </c>
      <c r="G37" s="224">
        <f>[8]D!H11</f>
        <v>522</v>
      </c>
      <c r="H37" s="224">
        <f>[8]D!I11</f>
        <v>521</v>
      </c>
      <c r="I37" s="224">
        <f>[8]D!J11</f>
        <v>524</v>
      </c>
      <c r="J37" s="224">
        <f>[8]D!K11</f>
        <v>520</v>
      </c>
      <c r="K37" s="224">
        <f>[8]D!L11</f>
        <v>522</v>
      </c>
      <c r="L37" s="224">
        <f>[8]D!M11</f>
        <v>522</v>
      </c>
      <c r="M37" s="224">
        <f>[8]D!N11</f>
        <v>522</v>
      </c>
      <c r="N37" s="224">
        <f>[6]D!C11</f>
        <v>534</v>
      </c>
      <c r="O37" s="224">
        <f>[6]D!D11</f>
        <v>536</v>
      </c>
      <c r="P37" s="224">
        <f>[6]D!E11</f>
        <v>537</v>
      </c>
      <c r="Q37" s="224">
        <f>[6]D!F11</f>
        <v>538</v>
      </c>
      <c r="R37" s="224">
        <f>[6]D!G11</f>
        <v>539</v>
      </c>
      <c r="S37" s="224">
        <f>[6]D!H11</f>
        <v>540</v>
      </c>
      <c r="T37" s="224">
        <f>[6]D!I11</f>
        <v>540</v>
      </c>
      <c r="U37" s="224">
        <f>[6]D!J11</f>
        <v>543</v>
      </c>
      <c r="V37" s="224">
        <f>[6]D!K11</f>
        <v>539</v>
      </c>
      <c r="W37" s="224">
        <f>[6]D!L11</f>
        <v>538</v>
      </c>
      <c r="X37" s="224">
        <f>[6]D!M11</f>
        <v>540</v>
      </c>
      <c r="Y37" s="224">
        <f>[6]D!N11</f>
        <v>539</v>
      </c>
      <c r="Z37" s="224">
        <f>[6]D!O11</f>
        <v>540</v>
      </c>
      <c r="AA37" s="224">
        <f>[6]D!P11</f>
        <v>542</v>
      </c>
      <c r="AB37" s="224">
        <f>[6]D!Q11</f>
        <v>543</v>
      </c>
      <c r="AC37" s="224">
        <f>[7]D!G11</f>
        <v>554</v>
      </c>
      <c r="AD37" s="224">
        <f>[7]D!H11</f>
        <v>555</v>
      </c>
      <c r="AE37" s="224">
        <f>[7]D!I11</f>
        <v>555</v>
      </c>
      <c r="AF37" s="224">
        <f>[7]D!J11</f>
        <v>556</v>
      </c>
      <c r="AG37" s="224">
        <f>[7]D!K11</f>
        <v>558</v>
      </c>
      <c r="AH37" s="224">
        <f>[7]D!L11</f>
        <v>555</v>
      </c>
      <c r="AI37" s="224">
        <f>[7]D!M11</f>
        <v>555</v>
      </c>
      <c r="AJ37" s="224">
        <f>[7]D!N11</f>
        <v>557</v>
      </c>
      <c r="AK37" s="224">
        <f>[7]D!O11</f>
        <v>562</v>
      </c>
      <c r="AL37" s="224">
        <f>[7]D!D11</f>
        <v>547</v>
      </c>
      <c r="AM37" s="224">
        <f>[7]D!E11</f>
        <v>548</v>
      </c>
      <c r="AN37" s="224">
        <f>[7]D!F11</f>
        <v>552</v>
      </c>
      <c r="AO37" s="224"/>
      <c r="AP37" s="222">
        <f t="shared" si="41"/>
        <v>525</v>
      </c>
      <c r="AQ37" s="222">
        <f t="shared" si="42"/>
        <v>540.08333333333337</v>
      </c>
      <c r="AR37" s="222">
        <f t="shared" si="43"/>
        <v>554.5</v>
      </c>
    </row>
    <row r="38" spans="1:44">
      <c r="A38" t="s">
        <v>7</v>
      </c>
      <c r="B38" s="224">
        <f t="shared" ref="B38" si="44">SUM(B33:B37)</f>
        <v>51656</v>
      </c>
      <c r="C38" s="224">
        <f t="shared" ref="C38:N38" si="45">SUM(C33:C37)</f>
        <v>52431</v>
      </c>
      <c r="D38" s="224">
        <f t="shared" si="45"/>
        <v>52855</v>
      </c>
      <c r="E38" s="224">
        <f t="shared" si="45"/>
        <v>53025</v>
      </c>
      <c r="F38" s="224">
        <f t="shared" si="45"/>
        <v>53096</v>
      </c>
      <c r="G38" s="224">
        <f t="shared" si="45"/>
        <v>53139</v>
      </c>
      <c r="H38" s="224">
        <f t="shared" si="45"/>
        <v>53132</v>
      </c>
      <c r="I38" s="224">
        <f t="shared" si="45"/>
        <v>52946</v>
      </c>
      <c r="J38" s="224">
        <f t="shared" si="45"/>
        <v>52504</v>
      </c>
      <c r="K38" s="224">
        <f t="shared" si="45"/>
        <v>52066</v>
      </c>
      <c r="L38" s="224">
        <f t="shared" si="45"/>
        <v>51922</v>
      </c>
      <c r="M38" s="224">
        <f t="shared" si="45"/>
        <v>51973</v>
      </c>
      <c r="N38" s="224">
        <f t="shared" si="45"/>
        <v>52387</v>
      </c>
      <c r="O38" s="224">
        <f t="shared" ref="O38:Q38" si="46">SUM(O33:O37)</f>
        <v>53093</v>
      </c>
      <c r="P38" s="224">
        <f t="shared" si="46"/>
        <v>53475</v>
      </c>
      <c r="Q38" s="224">
        <f t="shared" si="46"/>
        <v>53652</v>
      </c>
      <c r="R38" s="224">
        <f t="shared" ref="R38:AC38" si="47">SUM(R33:R37)</f>
        <v>53712</v>
      </c>
      <c r="S38" s="224">
        <f t="shared" si="47"/>
        <v>53767</v>
      </c>
      <c r="T38" s="224">
        <f t="shared" si="47"/>
        <v>53773</v>
      </c>
      <c r="U38" s="224">
        <f t="shared" si="47"/>
        <v>53625</v>
      </c>
      <c r="V38" s="224">
        <f t="shared" si="47"/>
        <v>53206</v>
      </c>
      <c r="W38" s="224">
        <f t="shared" si="47"/>
        <v>52796</v>
      </c>
      <c r="X38" s="224">
        <f t="shared" si="47"/>
        <v>52692</v>
      </c>
      <c r="Y38" s="224">
        <f t="shared" si="47"/>
        <v>52744</v>
      </c>
      <c r="Z38" s="224">
        <f t="shared" si="47"/>
        <v>53114</v>
      </c>
      <c r="AA38" s="224">
        <f t="shared" si="47"/>
        <v>53818</v>
      </c>
      <c r="AB38" s="224">
        <f t="shared" si="47"/>
        <v>54198</v>
      </c>
      <c r="AC38" s="224">
        <f t="shared" si="47"/>
        <v>54485</v>
      </c>
      <c r="AD38" s="224">
        <f t="shared" ref="AD38:AN38" si="48">SUM(AD33:AD37)</f>
        <v>54551</v>
      </c>
      <c r="AE38" s="224">
        <f t="shared" si="48"/>
        <v>54604</v>
      </c>
      <c r="AF38" s="224">
        <f t="shared" si="48"/>
        <v>54609</v>
      </c>
      <c r="AG38" s="224">
        <f t="shared" si="48"/>
        <v>54451</v>
      </c>
      <c r="AH38" s="224">
        <f t="shared" si="48"/>
        <v>54094</v>
      </c>
      <c r="AI38" s="224">
        <f t="shared" si="48"/>
        <v>53719</v>
      </c>
      <c r="AJ38" s="224">
        <f t="shared" si="48"/>
        <v>53615</v>
      </c>
      <c r="AK38" s="224">
        <f t="shared" si="48"/>
        <v>53659</v>
      </c>
      <c r="AL38" s="224">
        <f t="shared" si="48"/>
        <v>53346</v>
      </c>
      <c r="AM38" s="224">
        <f t="shared" si="48"/>
        <v>53959</v>
      </c>
      <c r="AN38" s="224">
        <f t="shared" si="48"/>
        <v>54313</v>
      </c>
      <c r="AO38" s="224"/>
      <c r="AP38" s="222">
        <f t="shared" si="41"/>
        <v>52729.833333333336</v>
      </c>
      <c r="AQ38" s="222">
        <f t="shared" si="42"/>
        <v>53424.75</v>
      </c>
      <c r="AR38" s="222">
        <f t="shared" si="43"/>
        <v>54117.083333333336</v>
      </c>
    </row>
    <row r="39" spans="1:44">
      <c r="A39" t="s">
        <v>8</v>
      </c>
      <c r="B39" s="224">
        <f>[8]D!C$12</f>
        <v>46</v>
      </c>
      <c r="C39" s="224">
        <f>[8]D!D$12</f>
        <v>44</v>
      </c>
      <c r="D39" s="224">
        <f>[8]D!E$12</f>
        <v>44</v>
      </c>
      <c r="E39" s="224">
        <f>[8]D!F$12</f>
        <v>43</v>
      </c>
      <c r="F39" s="224">
        <f>[8]D!G$12</f>
        <v>43</v>
      </c>
      <c r="G39" s="224">
        <f>[8]D!H$12</f>
        <v>43</v>
      </c>
      <c r="H39" s="224">
        <f>[8]D!I$12</f>
        <v>46</v>
      </c>
      <c r="I39" s="224">
        <f>[8]D!J$12</f>
        <v>47</v>
      </c>
      <c r="J39" s="224">
        <f>[8]D!K$12</f>
        <v>46</v>
      </c>
      <c r="K39" s="224">
        <f>[8]D!L$12</f>
        <v>46</v>
      </c>
      <c r="L39" s="224">
        <f>[8]D!M$12</f>
        <v>46</v>
      </c>
      <c r="M39" s="224">
        <f>[8]D!N$12</f>
        <v>46</v>
      </c>
      <c r="N39" s="224">
        <f>[6]D!C12</f>
        <v>46</v>
      </c>
      <c r="O39" s="224">
        <f>[6]D!D12</f>
        <v>45</v>
      </c>
      <c r="P39" s="224">
        <f>[6]D!E12</f>
        <v>44</v>
      </c>
      <c r="Q39" s="224">
        <f>[6]D!F12</f>
        <v>43</v>
      </c>
      <c r="R39" s="224">
        <f>[6]D!G12</f>
        <v>43</v>
      </c>
      <c r="S39" s="224">
        <f>[6]D!H12</f>
        <v>43</v>
      </c>
      <c r="T39" s="224">
        <f>[6]D!I12</f>
        <v>45</v>
      </c>
      <c r="U39" s="224">
        <f>[6]D!J12</f>
        <v>46</v>
      </c>
      <c r="V39" s="224">
        <f>[6]D!K12</f>
        <v>46</v>
      </c>
      <c r="W39" s="224">
        <f>[6]D!L12</f>
        <v>46</v>
      </c>
      <c r="X39" s="224">
        <f>[6]D!M12</f>
        <v>46</v>
      </c>
      <c r="Y39" s="224">
        <f>[6]D!N12</f>
        <v>46</v>
      </c>
      <c r="Z39" s="224">
        <f>[6]D!O12</f>
        <v>46</v>
      </c>
      <c r="AA39" s="224">
        <f>[6]D!P12</f>
        <v>45</v>
      </c>
      <c r="AB39" s="224">
        <f>[6]D!Q12</f>
        <v>44</v>
      </c>
      <c r="AC39" s="224">
        <f>[7]D!G12</f>
        <v>43</v>
      </c>
      <c r="AD39" s="224">
        <f>[7]D!H12</f>
        <v>43</v>
      </c>
      <c r="AE39" s="224">
        <f>[7]D!I12</f>
        <v>43</v>
      </c>
      <c r="AF39" s="224">
        <f>[7]D!J12</f>
        <v>45</v>
      </c>
      <c r="AG39" s="224">
        <f>[7]D!K12</f>
        <v>46</v>
      </c>
      <c r="AH39" s="224">
        <f>[7]D!L12</f>
        <v>46</v>
      </c>
      <c r="AI39" s="224">
        <f>[7]D!M12</f>
        <v>46</v>
      </c>
      <c r="AJ39" s="224">
        <f>[7]D!N12</f>
        <v>46</v>
      </c>
      <c r="AK39" s="224">
        <f>[7]D!O12</f>
        <v>46</v>
      </c>
      <c r="AL39" s="224">
        <f>[7]D!D12</f>
        <v>46</v>
      </c>
      <c r="AM39" s="224">
        <f>[7]D!E12</f>
        <v>45</v>
      </c>
      <c r="AN39" s="224">
        <f>[7]D!F12</f>
        <v>44</v>
      </c>
      <c r="AO39" s="224"/>
      <c r="AP39" s="222">
        <f t="shared" si="41"/>
        <v>45.083333333333336</v>
      </c>
      <c r="AQ39" s="222">
        <f t="shared" si="42"/>
        <v>44.916666666666664</v>
      </c>
      <c r="AR39" s="222">
        <f t="shared" si="43"/>
        <v>44.916666666666664</v>
      </c>
    </row>
    <row r="40" spans="1:44">
      <c r="A40" t="s">
        <v>9</v>
      </c>
      <c r="B40" s="71">
        <v>3</v>
      </c>
      <c r="C40" s="71">
        <v>3</v>
      </c>
      <c r="D40" s="71">
        <v>3</v>
      </c>
      <c r="E40" s="71">
        <v>3</v>
      </c>
      <c r="F40" s="71">
        <v>3</v>
      </c>
      <c r="G40" s="71">
        <v>3</v>
      </c>
      <c r="H40" s="71">
        <v>3</v>
      </c>
      <c r="I40" s="71">
        <v>3</v>
      </c>
      <c r="J40" s="71">
        <v>3</v>
      </c>
      <c r="K40" s="71">
        <v>3</v>
      </c>
      <c r="L40" s="71">
        <v>3</v>
      </c>
      <c r="M40" s="71">
        <v>3</v>
      </c>
      <c r="N40" s="71">
        <v>3</v>
      </c>
      <c r="O40" s="71">
        <v>3</v>
      </c>
      <c r="P40" s="71">
        <v>3</v>
      </c>
      <c r="Q40" s="71">
        <v>3</v>
      </c>
      <c r="R40" s="71">
        <v>3</v>
      </c>
      <c r="S40" s="71">
        <v>3</v>
      </c>
      <c r="T40" s="71">
        <v>3</v>
      </c>
      <c r="U40" s="71">
        <v>3</v>
      </c>
      <c r="V40" s="71">
        <v>3</v>
      </c>
      <c r="W40" s="71">
        <v>3</v>
      </c>
      <c r="X40" s="71">
        <v>3</v>
      </c>
      <c r="Y40" s="71">
        <v>3</v>
      </c>
      <c r="Z40" s="71">
        <v>3</v>
      </c>
      <c r="AA40" s="71">
        <v>3</v>
      </c>
      <c r="AB40" s="71">
        <v>3</v>
      </c>
      <c r="AC40" s="71">
        <v>3</v>
      </c>
      <c r="AD40" s="71">
        <v>3</v>
      </c>
      <c r="AE40" s="71">
        <v>3</v>
      </c>
      <c r="AF40" s="71">
        <v>3</v>
      </c>
      <c r="AG40" s="71">
        <v>3</v>
      </c>
      <c r="AH40" s="71">
        <v>3</v>
      </c>
      <c r="AI40" s="71">
        <v>3</v>
      </c>
      <c r="AJ40" s="71">
        <v>3</v>
      </c>
      <c r="AK40" s="71">
        <v>3</v>
      </c>
      <c r="AL40" s="71">
        <v>3</v>
      </c>
      <c r="AM40" s="71">
        <v>3</v>
      </c>
      <c r="AN40" s="71">
        <v>3</v>
      </c>
      <c r="AP40" s="222">
        <f t="shared" si="41"/>
        <v>3</v>
      </c>
      <c r="AQ40" s="222">
        <f t="shared" si="42"/>
        <v>3</v>
      </c>
      <c r="AR40" s="222">
        <f t="shared" si="43"/>
        <v>3</v>
      </c>
    </row>
    <row r="41" spans="1:44">
      <c r="A41" t="s">
        <v>22</v>
      </c>
      <c r="B41" s="224">
        <f>B39-B40</f>
        <v>43</v>
      </c>
      <c r="C41" s="224">
        <f t="shared" ref="C41:Q41" si="49">C39-C40</f>
        <v>41</v>
      </c>
      <c r="D41" s="224">
        <f t="shared" si="49"/>
        <v>41</v>
      </c>
      <c r="E41" s="224">
        <f t="shared" si="49"/>
        <v>40</v>
      </c>
      <c r="F41" s="224">
        <f t="shared" si="49"/>
        <v>40</v>
      </c>
      <c r="G41" s="224">
        <f t="shared" si="49"/>
        <v>40</v>
      </c>
      <c r="H41" s="224">
        <f t="shared" si="49"/>
        <v>43</v>
      </c>
      <c r="I41" s="224">
        <f t="shared" si="49"/>
        <v>44</v>
      </c>
      <c r="J41" s="224">
        <f t="shared" si="49"/>
        <v>43</v>
      </c>
      <c r="K41" s="224">
        <f t="shared" si="49"/>
        <v>43</v>
      </c>
      <c r="L41" s="224">
        <f t="shared" si="49"/>
        <v>43</v>
      </c>
      <c r="M41" s="224">
        <f t="shared" si="49"/>
        <v>43</v>
      </c>
      <c r="N41" s="224">
        <f t="shared" si="49"/>
        <v>43</v>
      </c>
      <c r="O41" s="224">
        <f t="shared" si="49"/>
        <v>42</v>
      </c>
      <c r="P41" s="224">
        <f t="shared" si="49"/>
        <v>41</v>
      </c>
      <c r="Q41" s="224">
        <f t="shared" si="49"/>
        <v>40</v>
      </c>
      <c r="R41" s="224">
        <f t="shared" ref="R41:AC41" si="50">R39-R40</f>
        <v>40</v>
      </c>
      <c r="S41" s="224">
        <f t="shared" si="50"/>
        <v>40</v>
      </c>
      <c r="T41" s="224">
        <f t="shared" si="50"/>
        <v>42</v>
      </c>
      <c r="U41" s="224">
        <f t="shared" si="50"/>
        <v>43</v>
      </c>
      <c r="V41" s="224">
        <f t="shared" si="50"/>
        <v>43</v>
      </c>
      <c r="W41" s="224">
        <f t="shared" si="50"/>
        <v>43</v>
      </c>
      <c r="X41" s="224">
        <f t="shared" si="50"/>
        <v>43</v>
      </c>
      <c r="Y41" s="224">
        <f t="shared" si="50"/>
        <v>43</v>
      </c>
      <c r="Z41" s="224">
        <f t="shared" si="50"/>
        <v>43</v>
      </c>
      <c r="AA41" s="224">
        <f t="shared" si="50"/>
        <v>42</v>
      </c>
      <c r="AB41" s="224">
        <f t="shared" si="50"/>
        <v>41</v>
      </c>
      <c r="AC41" s="224">
        <f t="shared" si="50"/>
        <v>40</v>
      </c>
      <c r="AD41" s="224">
        <f t="shared" ref="AD41:AN41" si="51">AD39-AD40</f>
        <v>40</v>
      </c>
      <c r="AE41" s="224">
        <f t="shared" si="51"/>
        <v>40</v>
      </c>
      <c r="AF41" s="224">
        <f t="shared" si="51"/>
        <v>42</v>
      </c>
      <c r="AG41" s="224">
        <f t="shared" si="51"/>
        <v>43</v>
      </c>
      <c r="AH41" s="224">
        <f t="shared" si="51"/>
        <v>43</v>
      </c>
      <c r="AI41" s="224">
        <f t="shared" si="51"/>
        <v>43</v>
      </c>
      <c r="AJ41" s="224">
        <f t="shared" si="51"/>
        <v>43</v>
      </c>
      <c r="AK41" s="224">
        <f t="shared" si="51"/>
        <v>43</v>
      </c>
      <c r="AL41" s="224">
        <f t="shared" si="51"/>
        <v>43</v>
      </c>
      <c r="AM41" s="224">
        <f t="shared" si="51"/>
        <v>42</v>
      </c>
      <c r="AN41" s="224">
        <f t="shared" si="51"/>
        <v>41</v>
      </c>
      <c r="AO41" s="224"/>
      <c r="AP41" s="222">
        <f t="shared" si="41"/>
        <v>42.083333333333336</v>
      </c>
      <c r="AQ41" s="222">
        <f t="shared" si="42"/>
        <v>41.916666666666664</v>
      </c>
      <c r="AR41" s="222">
        <f t="shared" si="43"/>
        <v>41.916666666666664</v>
      </c>
    </row>
    <row r="42" spans="1:44">
      <c r="A42" t="s">
        <v>102</v>
      </c>
      <c r="B42" s="224">
        <f>B41+B38</f>
        <v>51699</v>
      </c>
      <c r="C42" s="224">
        <f t="shared" ref="C42:Q42" si="52">C41+C38</f>
        <v>52472</v>
      </c>
      <c r="D42" s="224">
        <f t="shared" si="52"/>
        <v>52896</v>
      </c>
      <c r="E42" s="224">
        <f t="shared" si="52"/>
        <v>53065</v>
      </c>
      <c r="F42" s="224">
        <f t="shared" si="52"/>
        <v>53136</v>
      </c>
      <c r="G42" s="224">
        <f t="shared" si="52"/>
        <v>53179</v>
      </c>
      <c r="H42" s="224">
        <f t="shared" si="52"/>
        <v>53175</v>
      </c>
      <c r="I42" s="224">
        <f t="shared" si="52"/>
        <v>52990</v>
      </c>
      <c r="J42" s="224">
        <f t="shared" si="52"/>
        <v>52547</v>
      </c>
      <c r="K42" s="224">
        <f t="shared" si="52"/>
        <v>52109</v>
      </c>
      <c r="L42" s="224">
        <f t="shared" si="52"/>
        <v>51965</v>
      </c>
      <c r="M42" s="224">
        <f t="shared" si="52"/>
        <v>52016</v>
      </c>
      <c r="N42" s="224">
        <f t="shared" si="52"/>
        <v>52430</v>
      </c>
      <c r="O42" s="224">
        <f t="shared" si="52"/>
        <v>53135</v>
      </c>
      <c r="P42" s="224">
        <f t="shared" si="52"/>
        <v>53516</v>
      </c>
      <c r="Q42" s="224">
        <f t="shared" si="52"/>
        <v>53692</v>
      </c>
      <c r="R42" s="224">
        <f t="shared" ref="R42:AC42" si="53">R41+R38</f>
        <v>53752</v>
      </c>
      <c r="S42" s="224">
        <f t="shared" si="53"/>
        <v>53807</v>
      </c>
      <c r="T42" s="224">
        <f t="shared" si="53"/>
        <v>53815</v>
      </c>
      <c r="U42" s="224">
        <f t="shared" si="53"/>
        <v>53668</v>
      </c>
      <c r="V42" s="224">
        <f t="shared" si="53"/>
        <v>53249</v>
      </c>
      <c r="W42" s="224">
        <f t="shared" si="53"/>
        <v>52839</v>
      </c>
      <c r="X42" s="224">
        <f t="shared" si="53"/>
        <v>52735</v>
      </c>
      <c r="Y42" s="224">
        <f t="shared" si="53"/>
        <v>52787</v>
      </c>
      <c r="Z42" s="224">
        <f t="shared" si="53"/>
        <v>53157</v>
      </c>
      <c r="AA42" s="224">
        <f t="shared" si="53"/>
        <v>53860</v>
      </c>
      <c r="AB42" s="224">
        <f t="shared" si="53"/>
        <v>54239</v>
      </c>
      <c r="AC42" s="224">
        <f t="shared" si="53"/>
        <v>54525</v>
      </c>
      <c r="AD42" s="224">
        <f t="shared" ref="AD42:AN42" si="54">AD41+AD38</f>
        <v>54591</v>
      </c>
      <c r="AE42" s="224">
        <f t="shared" si="54"/>
        <v>54644</v>
      </c>
      <c r="AF42" s="224">
        <f t="shared" si="54"/>
        <v>54651</v>
      </c>
      <c r="AG42" s="224">
        <f t="shared" si="54"/>
        <v>54494</v>
      </c>
      <c r="AH42" s="224">
        <f t="shared" si="54"/>
        <v>54137</v>
      </c>
      <c r="AI42" s="224">
        <f t="shared" si="54"/>
        <v>53762</v>
      </c>
      <c r="AJ42" s="224">
        <f t="shared" si="54"/>
        <v>53658</v>
      </c>
      <c r="AK42" s="224">
        <f t="shared" si="54"/>
        <v>53702</v>
      </c>
      <c r="AL42" s="224">
        <f t="shared" si="54"/>
        <v>53389</v>
      </c>
      <c r="AM42" s="224">
        <f t="shared" si="54"/>
        <v>54001</v>
      </c>
      <c r="AN42" s="224">
        <f t="shared" si="54"/>
        <v>54354</v>
      </c>
      <c r="AO42" s="224"/>
      <c r="AP42" s="222">
        <f t="shared" si="41"/>
        <v>52771.916666666664</v>
      </c>
      <c r="AQ42" s="222">
        <f t="shared" si="42"/>
        <v>53466.666666666664</v>
      </c>
      <c r="AR42" s="222">
        <f t="shared" si="43"/>
        <v>54159</v>
      </c>
    </row>
    <row r="45" spans="1:44">
      <c r="A45" t="s">
        <v>103</v>
      </c>
    </row>
    <row r="46" spans="1:44" ht="15.5">
      <c r="A46" t="s">
        <v>105</v>
      </c>
      <c r="B46" s="218"/>
      <c r="C46" s="218"/>
      <c r="D46" s="218"/>
      <c r="E46" s="218"/>
      <c r="F46" s="218"/>
      <c r="G46" s="218"/>
      <c r="H46" s="218"/>
      <c r="I46" s="218"/>
      <c r="J46" s="218"/>
      <c r="K46" s="218"/>
      <c r="L46" s="218"/>
      <c r="M46" s="218"/>
      <c r="N46" s="218"/>
      <c r="O46" s="218"/>
      <c r="P46" s="218"/>
      <c r="Q46" s="218"/>
      <c r="R46" s="218"/>
      <c r="S46" s="218"/>
      <c r="T46" s="218"/>
      <c r="U46" s="218"/>
      <c r="V46" s="218"/>
      <c r="W46" s="218"/>
      <c r="X46" s="218"/>
      <c r="Y46" s="218"/>
      <c r="Z46" s="218"/>
      <c r="AA46" s="218"/>
      <c r="AB46" s="218"/>
      <c r="AC46" s="218"/>
      <c r="AD46" s="218"/>
      <c r="AE46" s="218"/>
      <c r="AF46" s="218"/>
      <c r="AG46" s="218"/>
      <c r="AH46" s="218"/>
      <c r="AI46" s="218"/>
      <c r="AJ46" s="218"/>
      <c r="AK46" s="218"/>
      <c r="AL46" s="218"/>
      <c r="AM46" s="218"/>
      <c r="AN46" s="218"/>
      <c r="AO46" s="218"/>
      <c r="AP46" s="218"/>
      <c r="AQ46" s="218"/>
      <c r="AR46" s="218"/>
    </row>
    <row r="47" spans="1:44">
      <c r="A47" s="71" t="s">
        <v>104</v>
      </c>
    </row>
    <row r="48" spans="1:44" ht="15.5">
      <c r="A48" s="2" t="s">
        <v>191</v>
      </c>
    </row>
    <row r="49" spans="1:44" ht="15.5">
      <c r="A49" s="2"/>
    </row>
    <row r="50" spans="1:44" ht="15.5">
      <c r="A50" s="2"/>
    </row>
    <row r="51" spans="1:44" ht="15.5">
      <c r="A51" s="2"/>
    </row>
    <row r="52" spans="1:44" ht="15.5">
      <c r="A52" s="2"/>
    </row>
    <row r="53" spans="1:44" ht="15.5">
      <c r="A53" s="2"/>
    </row>
    <row r="54" spans="1:44" ht="15.5">
      <c r="A54" s="2"/>
    </row>
    <row r="55" spans="1:44" ht="15.5">
      <c r="A55" s="2"/>
    </row>
    <row r="56" spans="1:44" ht="15.5">
      <c r="A56" s="2"/>
      <c r="B56" s="220"/>
      <c r="C56" s="220"/>
      <c r="D56" s="220"/>
      <c r="E56" s="220"/>
      <c r="F56" s="220"/>
      <c r="G56" s="220"/>
      <c r="H56" s="220"/>
      <c r="I56" s="220"/>
      <c r="J56" s="220"/>
      <c r="K56" s="220"/>
      <c r="L56" s="220"/>
      <c r="M56" s="220"/>
      <c r="N56" s="220"/>
      <c r="O56" s="220"/>
      <c r="P56" s="220"/>
      <c r="Q56" s="220"/>
      <c r="R56" s="220"/>
      <c r="S56" s="220"/>
      <c r="T56" s="220"/>
      <c r="U56" s="220"/>
      <c r="V56" s="220"/>
      <c r="W56" s="220"/>
      <c r="X56" s="220"/>
      <c r="Y56" s="220"/>
      <c r="Z56" s="220"/>
      <c r="AA56" s="220"/>
      <c r="AB56" s="220"/>
      <c r="AC56" s="220"/>
      <c r="AD56" s="220"/>
      <c r="AE56" s="220"/>
      <c r="AF56" s="220"/>
      <c r="AG56" s="220"/>
      <c r="AH56" s="220"/>
      <c r="AI56" s="220"/>
      <c r="AJ56" s="220"/>
      <c r="AK56" s="220"/>
      <c r="AL56" s="220"/>
      <c r="AM56" s="220"/>
      <c r="AN56" s="220"/>
      <c r="AO56" s="220"/>
      <c r="AP56" s="220"/>
      <c r="AQ56" s="220"/>
      <c r="AR56" s="220"/>
    </row>
    <row r="57" spans="1:44" ht="15.5">
      <c r="A57" s="2"/>
      <c r="B57" s="220"/>
      <c r="C57" s="220"/>
      <c r="D57" s="220"/>
      <c r="E57" s="220"/>
      <c r="F57" s="220"/>
      <c r="G57" s="220"/>
      <c r="H57" s="220"/>
      <c r="I57" s="220"/>
      <c r="J57" s="220"/>
      <c r="K57" s="220"/>
      <c r="L57" s="220"/>
      <c r="M57" s="220"/>
      <c r="N57" s="220"/>
      <c r="O57" s="220"/>
      <c r="P57" s="220"/>
      <c r="Q57" s="220"/>
      <c r="R57" s="220"/>
      <c r="S57" s="220"/>
      <c r="T57" s="220"/>
      <c r="U57" s="220"/>
      <c r="V57" s="220"/>
      <c r="W57" s="220"/>
      <c r="X57" s="220"/>
      <c r="Y57" s="220"/>
      <c r="Z57" s="220"/>
      <c r="AA57" s="220"/>
      <c r="AB57" s="220"/>
      <c r="AC57" s="220"/>
      <c r="AD57" s="220"/>
      <c r="AE57" s="220"/>
      <c r="AF57" s="220"/>
      <c r="AG57" s="220"/>
      <c r="AH57" s="220"/>
      <c r="AI57" s="220"/>
      <c r="AJ57" s="220"/>
      <c r="AK57" s="220"/>
      <c r="AL57" s="220"/>
      <c r="AM57" s="220"/>
      <c r="AN57" s="220"/>
      <c r="AO57" s="220"/>
      <c r="AP57" s="220"/>
      <c r="AQ57" s="220"/>
      <c r="AR57" s="220"/>
    </row>
    <row r="62" spans="1:44" ht="15.5">
      <c r="A62" s="2"/>
    </row>
    <row r="63" spans="1:44">
      <c r="B63" s="224"/>
      <c r="C63" s="224"/>
      <c r="D63" s="224"/>
      <c r="E63" s="224"/>
      <c r="F63" s="224"/>
      <c r="G63" s="224"/>
      <c r="H63" s="224"/>
      <c r="I63" s="224"/>
      <c r="J63" s="224"/>
      <c r="K63" s="224"/>
      <c r="L63" s="224"/>
      <c r="M63" s="224"/>
      <c r="N63" s="224"/>
      <c r="O63" s="224"/>
      <c r="P63" s="224"/>
      <c r="Q63" s="224"/>
      <c r="R63" s="224"/>
      <c r="S63" s="224"/>
      <c r="T63" s="224"/>
      <c r="U63" s="224"/>
      <c r="V63" s="224"/>
      <c r="W63" s="224"/>
      <c r="X63" s="224"/>
      <c r="Y63" s="224"/>
      <c r="Z63" s="224"/>
      <c r="AA63" s="224"/>
      <c r="AB63" s="224"/>
      <c r="AC63" s="224"/>
      <c r="AD63" s="224"/>
      <c r="AE63" s="224"/>
      <c r="AF63" s="224"/>
      <c r="AG63" s="224"/>
      <c r="AH63" s="224"/>
      <c r="AI63" s="224"/>
      <c r="AJ63" s="224"/>
      <c r="AK63" s="224"/>
      <c r="AL63" s="224"/>
      <c r="AM63" s="224"/>
      <c r="AN63" s="224"/>
      <c r="AO63" s="224"/>
      <c r="AP63" s="224"/>
      <c r="AQ63" s="224"/>
      <c r="AR63" s="224"/>
    </row>
    <row r="64" spans="1:44">
      <c r="B64" s="224"/>
      <c r="C64" s="224"/>
      <c r="D64" s="224"/>
      <c r="E64" s="224"/>
      <c r="F64" s="224"/>
      <c r="G64" s="224"/>
      <c r="H64" s="224"/>
      <c r="I64" s="224"/>
      <c r="J64" s="224"/>
      <c r="K64" s="224"/>
      <c r="L64" s="224"/>
      <c r="M64" s="224"/>
      <c r="N64" s="224"/>
      <c r="O64" s="224"/>
      <c r="P64" s="224"/>
      <c r="Q64" s="224"/>
      <c r="R64" s="224"/>
      <c r="S64" s="224"/>
      <c r="T64" s="224"/>
      <c r="U64" s="224"/>
      <c r="V64" s="224"/>
      <c r="W64" s="224"/>
      <c r="X64" s="224"/>
      <c r="Y64" s="224"/>
      <c r="Z64" s="224"/>
      <c r="AA64" s="224"/>
      <c r="AB64" s="224"/>
      <c r="AC64" s="224"/>
      <c r="AD64" s="224"/>
      <c r="AE64" s="224"/>
      <c r="AF64" s="224"/>
      <c r="AG64" s="224"/>
      <c r="AH64" s="224"/>
      <c r="AI64" s="224"/>
      <c r="AJ64" s="224"/>
      <c r="AK64" s="224"/>
      <c r="AL64" s="224"/>
      <c r="AM64" s="224"/>
      <c r="AN64" s="224"/>
      <c r="AO64" s="224"/>
      <c r="AP64" s="224"/>
      <c r="AQ64" s="224"/>
      <c r="AR64" s="224"/>
    </row>
    <row r="65" spans="2:44">
      <c r="B65" s="224"/>
      <c r="C65" s="224"/>
      <c r="D65" s="224"/>
      <c r="E65" s="224"/>
      <c r="F65" s="224"/>
      <c r="G65" s="224"/>
      <c r="H65" s="224"/>
      <c r="I65" s="224"/>
      <c r="J65" s="224"/>
      <c r="K65" s="224"/>
      <c r="L65" s="224"/>
      <c r="M65" s="224"/>
      <c r="N65" s="224"/>
      <c r="O65" s="224"/>
      <c r="P65" s="224"/>
      <c r="Q65" s="224"/>
      <c r="R65" s="224"/>
      <c r="S65" s="224"/>
      <c r="T65" s="224"/>
      <c r="U65" s="224"/>
      <c r="V65" s="224"/>
      <c r="W65" s="224"/>
      <c r="X65" s="224"/>
      <c r="Y65" s="224"/>
      <c r="Z65" s="224"/>
      <c r="AA65" s="224"/>
      <c r="AB65" s="224"/>
      <c r="AC65" s="224"/>
      <c r="AD65" s="224"/>
      <c r="AE65" s="224"/>
      <c r="AF65" s="224"/>
      <c r="AG65" s="224"/>
      <c r="AH65" s="224"/>
      <c r="AI65" s="224"/>
      <c r="AJ65" s="224"/>
      <c r="AK65" s="224"/>
      <c r="AL65" s="224"/>
      <c r="AM65" s="224"/>
      <c r="AN65" s="224"/>
      <c r="AO65" s="224"/>
      <c r="AP65" s="224"/>
      <c r="AQ65" s="224"/>
      <c r="AR65" s="224"/>
    </row>
    <row r="66" spans="2:44">
      <c r="B66" s="224"/>
      <c r="C66" s="224"/>
      <c r="D66" s="224"/>
      <c r="E66" s="224"/>
      <c r="F66" s="224"/>
      <c r="G66" s="224"/>
      <c r="H66" s="224"/>
      <c r="I66" s="224"/>
      <c r="J66" s="224"/>
      <c r="K66" s="224"/>
      <c r="L66" s="224"/>
      <c r="M66" s="224"/>
      <c r="N66" s="224"/>
      <c r="O66" s="224"/>
      <c r="P66" s="224"/>
      <c r="Q66" s="224"/>
      <c r="R66" s="224"/>
      <c r="S66" s="224"/>
      <c r="T66" s="224"/>
      <c r="U66" s="224"/>
      <c r="V66" s="224"/>
      <c r="W66" s="224"/>
      <c r="X66" s="224"/>
      <c r="Y66" s="224"/>
      <c r="Z66" s="224"/>
      <c r="AA66" s="224"/>
      <c r="AB66" s="224"/>
      <c r="AC66" s="224"/>
      <c r="AD66" s="224"/>
      <c r="AE66" s="224"/>
      <c r="AF66" s="224"/>
      <c r="AG66" s="224"/>
      <c r="AH66" s="224"/>
      <c r="AI66" s="224"/>
      <c r="AJ66" s="224"/>
      <c r="AK66" s="224"/>
      <c r="AL66" s="224"/>
      <c r="AM66" s="224"/>
      <c r="AN66" s="224"/>
      <c r="AO66" s="224"/>
      <c r="AP66" s="224"/>
      <c r="AQ66" s="224"/>
      <c r="AR66" s="224"/>
    </row>
    <row r="67" spans="2:44">
      <c r="B67" s="224"/>
      <c r="C67" s="224"/>
      <c r="D67" s="224"/>
      <c r="E67" s="224"/>
      <c r="F67" s="224"/>
      <c r="G67" s="224"/>
      <c r="H67" s="224"/>
      <c r="I67" s="224"/>
      <c r="J67" s="224"/>
      <c r="K67" s="224"/>
      <c r="L67" s="224"/>
      <c r="M67" s="224"/>
      <c r="N67" s="224"/>
      <c r="O67" s="224"/>
      <c r="P67" s="224"/>
      <c r="Q67" s="224"/>
      <c r="R67" s="224"/>
      <c r="S67" s="224"/>
      <c r="T67" s="224"/>
      <c r="U67" s="224"/>
      <c r="V67" s="224"/>
      <c r="W67" s="224"/>
      <c r="X67" s="224"/>
      <c r="Y67" s="224"/>
      <c r="Z67" s="224"/>
      <c r="AA67" s="224"/>
      <c r="AB67" s="224"/>
      <c r="AC67" s="224"/>
      <c r="AD67" s="224"/>
      <c r="AE67" s="224"/>
      <c r="AF67" s="224"/>
      <c r="AG67" s="224"/>
      <c r="AH67" s="224"/>
      <c r="AI67" s="224"/>
      <c r="AJ67" s="224"/>
      <c r="AK67" s="224"/>
      <c r="AL67" s="224"/>
      <c r="AM67" s="224"/>
      <c r="AN67" s="224"/>
      <c r="AO67" s="224"/>
      <c r="AP67" s="224"/>
      <c r="AQ67" s="224"/>
      <c r="AR67" s="224"/>
    </row>
    <row r="68" spans="2:44">
      <c r="B68" s="224"/>
      <c r="C68" s="224"/>
      <c r="D68" s="224"/>
      <c r="E68" s="224"/>
      <c r="F68" s="224"/>
      <c r="G68" s="224"/>
      <c r="H68" s="224"/>
      <c r="I68" s="224"/>
      <c r="J68" s="224"/>
      <c r="K68" s="224"/>
      <c r="L68" s="224"/>
      <c r="M68" s="224"/>
      <c r="N68" s="224"/>
      <c r="O68" s="224"/>
      <c r="P68" s="224"/>
      <c r="Q68" s="224"/>
      <c r="R68" s="224"/>
      <c r="S68" s="224"/>
      <c r="T68" s="224"/>
      <c r="U68" s="224"/>
      <c r="V68" s="224"/>
      <c r="W68" s="224"/>
      <c r="X68" s="224"/>
      <c r="Y68" s="224"/>
      <c r="Z68" s="224"/>
      <c r="AA68" s="224"/>
      <c r="AB68" s="224"/>
      <c r="AC68" s="224"/>
      <c r="AD68" s="224"/>
      <c r="AE68" s="224"/>
      <c r="AF68" s="224"/>
      <c r="AG68" s="224"/>
      <c r="AH68" s="224"/>
      <c r="AI68" s="224"/>
      <c r="AJ68" s="224"/>
      <c r="AK68" s="224"/>
      <c r="AL68" s="224"/>
      <c r="AM68" s="224"/>
      <c r="AN68" s="224"/>
      <c r="AO68" s="224"/>
      <c r="AP68" s="224"/>
      <c r="AQ68" s="224"/>
      <c r="AR68" s="224"/>
    </row>
    <row r="69" spans="2:44">
      <c r="B69" s="224"/>
      <c r="C69" s="224"/>
      <c r="D69" s="224"/>
      <c r="E69" s="224"/>
      <c r="F69" s="224"/>
      <c r="G69" s="224"/>
      <c r="H69" s="224"/>
      <c r="I69" s="224"/>
      <c r="J69" s="224"/>
      <c r="K69" s="224"/>
      <c r="L69" s="224"/>
      <c r="M69" s="224"/>
      <c r="N69" s="224"/>
      <c r="O69" s="224"/>
      <c r="P69" s="224"/>
      <c r="Q69" s="224"/>
      <c r="R69" s="224"/>
      <c r="S69" s="224"/>
      <c r="T69" s="224"/>
      <c r="U69" s="224"/>
      <c r="V69" s="224"/>
      <c r="W69" s="224"/>
      <c r="X69" s="224"/>
      <c r="Y69" s="224"/>
      <c r="Z69" s="224"/>
      <c r="AA69" s="224"/>
      <c r="AB69" s="224"/>
      <c r="AC69" s="224"/>
      <c r="AD69" s="224"/>
      <c r="AE69" s="224"/>
      <c r="AF69" s="224"/>
      <c r="AG69" s="224"/>
      <c r="AH69" s="224"/>
      <c r="AI69" s="224"/>
      <c r="AJ69" s="224"/>
      <c r="AK69" s="224"/>
      <c r="AL69" s="224"/>
      <c r="AM69" s="224"/>
      <c r="AN69" s="224"/>
      <c r="AO69" s="224"/>
      <c r="AP69" s="224"/>
      <c r="AQ69" s="224"/>
      <c r="AR69" s="224"/>
    </row>
    <row r="70" spans="2:44">
      <c r="B70" s="224"/>
      <c r="C70" s="224"/>
      <c r="D70" s="224"/>
      <c r="E70" s="224"/>
      <c r="F70" s="224"/>
      <c r="G70" s="224"/>
      <c r="H70" s="224"/>
      <c r="I70" s="224"/>
      <c r="J70" s="224"/>
      <c r="K70" s="224"/>
      <c r="L70" s="224"/>
      <c r="M70" s="224"/>
      <c r="N70" s="224"/>
      <c r="O70" s="224"/>
      <c r="P70" s="224"/>
      <c r="Q70" s="224"/>
      <c r="R70" s="224"/>
      <c r="S70" s="224"/>
      <c r="T70" s="224"/>
      <c r="U70" s="224"/>
      <c r="V70" s="224"/>
      <c r="W70" s="224"/>
      <c r="X70" s="224"/>
      <c r="Y70" s="224"/>
      <c r="Z70" s="224"/>
      <c r="AA70" s="224"/>
      <c r="AB70" s="224"/>
      <c r="AC70" s="224"/>
      <c r="AD70" s="224"/>
      <c r="AE70" s="224"/>
      <c r="AF70" s="224"/>
      <c r="AG70" s="224"/>
      <c r="AH70" s="224"/>
      <c r="AI70" s="224"/>
      <c r="AJ70" s="224"/>
      <c r="AK70" s="224"/>
      <c r="AL70" s="224"/>
      <c r="AM70" s="224"/>
      <c r="AN70" s="224"/>
      <c r="AO70" s="224"/>
      <c r="AP70" s="224"/>
      <c r="AQ70" s="224"/>
      <c r="AR70" s="224"/>
    </row>
    <row r="71" spans="2:44">
      <c r="B71" s="224"/>
      <c r="C71" s="224"/>
      <c r="D71" s="224"/>
      <c r="E71" s="224"/>
      <c r="F71" s="224"/>
      <c r="G71" s="224"/>
      <c r="H71" s="224"/>
      <c r="I71" s="224"/>
      <c r="J71" s="224"/>
      <c r="K71" s="224"/>
      <c r="L71" s="224"/>
      <c r="M71" s="224"/>
      <c r="N71" s="224"/>
      <c r="O71" s="224"/>
      <c r="P71" s="224"/>
      <c r="Q71" s="224"/>
      <c r="R71" s="224"/>
      <c r="S71" s="224"/>
      <c r="T71" s="224"/>
      <c r="U71" s="224"/>
      <c r="V71" s="224"/>
      <c r="W71" s="224"/>
      <c r="X71" s="224"/>
      <c r="Y71" s="224"/>
      <c r="Z71" s="224"/>
      <c r="AA71" s="224"/>
      <c r="AB71" s="224"/>
      <c r="AC71" s="224"/>
      <c r="AD71" s="224"/>
      <c r="AE71" s="224"/>
      <c r="AF71" s="224"/>
      <c r="AG71" s="224"/>
      <c r="AH71" s="224"/>
      <c r="AI71" s="224"/>
      <c r="AJ71" s="224"/>
      <c r="AK71" s="224"/>
      <c r="AL71" s="224"/>
      <c r="AM71" s="224"/>
      <c r="AN71" s="224"/>
      <c r="AO71" s="224"/>
      <c r="AP71" s="224"/>
      <c r="AQ71" s="224"/>
      <c r="AR71" s="224"/>
    </row>
    <row r="72" spans="2:44">
      <c r="B72" s="224"/>
      <c r="C72" s="224"/>
      <c r="D72" s="224"/>
      <c r="E72" s="224"/>
      <c r="F72" s="224"/>
      <c r="G72" s="224"/>
      <c r="H72" s="224"/>
      <c r="I72" s="224"/>
      <c r="J72" s="224"/>
      <c r="K72" s="224"/>
      <c r="L72" s="224"/>
      <c r="M72" s="224"/>
      <c r="N72" s="224"/>
      <c r="O72" s="224"/>
      <c r="P72" s="224"/>
      <c r="Q72" s="224"/>
      <c r="R72" s="224"/>
      <c r="S72" s="224"/>
      <c r="T72" s="224"/>
      <c r="U72" s="224"/>
      <c r="V72" s="224"/>
      <c r="W72" s="224"/>
      <c r="X72" s="224"/>
      <c r="Y72" s="224"/>
      <c r="Z72" s="224"/>
      <c r="AA72" s="224"/>
      <c r="AB72" s="224"/>
      <c r="AC72" s="224"/>
      <c r="AD72" s="224"/>
      <c r="AE72" s="224"/>
      <c r="AF72" s="224"/>
      <c r="AG72" s="224"/>
      <c r="AH72" s="224"/>
      <c r="AI72" s="224"/>
      <c r="AJ72" s="224"/>
      <c r="AK72" s="224"/>
      <c r="AL72" s="224"/>
      <c r="AM72" s="224"/>
      <c r="AN72" s="224"/>
      <c r="AO72" s="224"/>
      <c r="AP72" s="224"/>
      <c r="AQ72" s="224"/>
      <c r="AR72" s="224"/>
    </row>
    <row r="76" spans="2:44">
      <c r="B76" s="224"/>
      <c r="C76" s="224"/>
      <c r="D76" s="224"/>
      <c r="E76" s="224"/>
      <c r="F76" s="224"/>
      <c r="G76" s="224"/>
      <c r="H76" s="224"/>
      <c r="I76" s="224"/>
      <c r="J76" s="224"/>
      <c r="K76" s="224"/>
      <c r="L76" s="224"/>
      <c r="M76" s="224"/>
      <c r="N76" s="224"/>
      <c r="O76" s="224"/>
      <c r="P76" s="224"/>
      <c r="Q76" s="224"/>
      <c r="R76" s="224"/>
      <c r="S76" s="224"/>
      <c r="T76" s="224"/>
      <c r="U76" s="224"/>
      <c r="V76" s="224"/>
      <c r="W76" s="224"/>
      <c r="X76" s="224"/>
      <c r="Y76" s="224"/>
      <c r="Z76" s="224"/>
      <c r="AA76" s="224"/>
      <c r="AB76" s="224"/>
      <c r="AC76" s="224"/>
      <c r="AD76" s="224"/>
      <c r="AE76" s="224"/>
      <c r="AF76" s="224"/>
      <c r="AG76" s="224"/>
      <c r="AH76" s="224"/>
      <c r="AI76" s="224"/>
      <c r="AJ76" s="224"/>
      <c r="AK76" s="224"/>
      <c r="AL76" s="224"/>
      <c r="AM76" s="224"/>
      <c r="AN76" s="224"/>
      <c r="AO76" s="224"/>
      <c r="AP76" s="224"/>
      <c r="AQ76" s="224"/>
      <c r="AR76" s="224"/>
    </row>
    <row r="77" spans="2:44">
      <c r="B77" s="224"/>
      <c r="C77" s="224"/>
      <c r="D77" s="224"/>
      <c r="E77" s="224"/>
      <c r="F77" s="224"/>
      <c r="G77" s="224"/>
      <c r="H77" s="224"/>
      <c r="I77" s="224"/>
      <c r="J77" s="224"/>
      <c r="K77" s="224"/>
      <c r="L77" s="224"/>
      <c r="M77" s="224"/>
      <c r="N77" s="224"/>
      <c r="O77" s="224"/>
      <c r="P77" s="224"/>
      <c r="Q77" s="224"/>
      <c r="R77" s="224"/>
      <c r="S77" s="224"/>
      <c r="T77" s="224"/>
      <c r="U77" s="224"/>
      <c r="V77" s="224"/>
      <c r="W77" s="224"/>
      <c r="X77" s="224"/>
      <c r="Y77" s="224"/>
      <c r="Z77" s="224"/>
      <c r="AA77" s="224"/>
      <c r="AB77" s="224"/>
      <c r="AC77" s="224"/>
      <c r="AD77" s="224"/>
      <c r="AE77" s="224"/>
      <c r="AF77" s="224"/>
      <c r="AG77" s="224"/>
      <c r="AH77" s="224"/>
      <c r="AI77" s="224"/>
      <c r="AJ77" s="224"/>
      <c r="AK77" s="224"/>
      <c r="AL77" s="224"/>
      <c r="AM77" s="224"/>
      <c r="AN77" s="224"/>
      <c r="AO77" s="224"/>
      <c r="AP77" s="224"/>
      <c r="AQ77" s="224"/>
      <c r="AR77" s="224"/>
    </row>
    <row r="78" spans="2:44">
      <c r="B78" s="224"/>
      <c r="C78" s="224"/>
      <c r="D78" s="224"/>
      <c r="E78" s="224"/>
      <c r="F78" s="224"/>
      <c r="G78" s="224"/>
      <c r="H78" s="224"/>
      <c r="I78" s="224"/>
      <c r="J78" s="224"/>
      <c r="K78" s="224"/>
      <c r="L78" s="224"/>
      <c r="M78" s="224"/>
      <c r="N78" s="224"/>
      <c r="O78" s="224"/>
      <c r="P78" s="224"/>
      <c r="Q78" s="224"/>
      <c r="R78" s="224"/>
      <c r="S78" s="224"/>
      <c r="T78" s="224"/>
      <c r="U78" s="224"/>
      <c r="V78" s="224"/>
      <c r="W78" s="224"/>
      <c r="X78" s="224"/>
      <c r="Y78" s="224"/>
      <c r="Z78" s="224"/>
      <c r="AA78" s="224"/>
      <c r="AB78" s="224"/>
      <c r="AC78" s="224"/>
      <c r="AD78" s="224"/>
      <c r="AE78" s="224"/>
      <c r="AF78" s="224"/>
      <c r="AG78" s="224"/>
      <c r="AH78" s="224"/>
      <c r="AI78" s="224"/>
      <c r="AJ78" s="224"/>
      <c r="AK78" s="224"/>
      <c r="AL78" s="224"/>
      <c r="AM78" s="224"/>
      <c r="AN78" s="224"/>
      <c r="AO78" s="224"/>
      <c r="AP78" s="224"/>
      <c r="AQ78" s="224"/>
      <c r="AR78" s="224"/>
    </row>
    <row r="79" spans="2:44">
      <c r="B79" s="224"/>
      <c r="C79" s="224"/>
      <c r="D79" s="224"/>
      <c r="E79" s="224"/>
      <c r="F79" s="224"/>
      <c r="G79" s="224"/>
      <c r="H79" s="224"/>
      <c r="I79" s="224"/>
      <c r="J79" s="224"/>
      <c r="K79" s="224"/>
      <c r="L79" s="224"/>
      <c r="M79" s="224"/>
      <c r="N79" s="224"/>
      <c r="O79" s="224"/>
      <c r="P79" s="224"/>
      <c r="Q79" s="224"/>
      <c r="R79" s="224"/>
      <c r="S79" s="224"/>
      <c r="T79" s="224"/>
      <c r="U79" s="224"/>
      <c r="V79" s="224"/>
      <c r="W79" s="224"/>
      <c r="X79" s="224"/>
      <c r="Y79" s="224"/>
      <c r="Z79" s="224"/>
      <c r="AA79" s="224"/>
      <c r="AB79" s="224"/>
      <c r="AC79" s="224"/>
      <c r="AD79" s="224"/>
      <c r="AE79" s="224"/>
      <c r="AF79" s="224"/>
      <c r="AG79" s="224"/>
      <c r="AH79" s="224"/>
      <c r="AI79" s="224"/>
      <c r="AJ79" s="224"/>
      <c r="AK79" s="224"/>
      <c r="AL79" s="224"/>
      <c r="AM79" s="224"/>
      <c r="AN79" s="224"/>
      <c r="AO79" s="224"/>
      <c r="AP79" s="224"/>
      <c r="AQ79" s="224"/>
      <c r="AR79" s="224"/>
    </row>
    <row r="80" spans="2:44">
      <c r="B80" s="224"/>
      <c r="C80" s="224"/>
      <c r="D80" s="224"/>
      <c r="E80" s="224"/>
      <c r="F80" s="224"/>
      <c r="G80" s="224"/>
      <c r="H80" s="224"/>
      <c r="I80" s="224"/>
      <c r="J80" s="224"/>
      <c r="K80" s="224"/>
      <c r="L80" s="224"/>
      <c r="M80" s="224"/>
      <c r="N80" s="224"/>
      <c r="O80" s="224"/>
      <c r="P80" s="224"/>
      <c r="Q80" s="224"/>
      <c r="R80" s="224"/>
      <c r="S80" s="224"/>
      <c r="T80" s="224"/>
      <c r="U80" s="224"/>
      <c r="V80" s="224"/>
      <c r="W80" s="224"/>
      <c r="X80" s="224"/>
      <c r="Y80" s="224"/>
      <c r="Z80" s="224"/>
      <c r="AA80" s="224"/>
      <c r="AB80" s="224"/>
      <c r="AC80" s="224"/>
      <c r="AD80" s="224"/>
      <c r="AE80" s="224"/>
      <c r="AF80" s="224"/>
      <c r="AG80" s="224"/>
      <c r="AH80" s="224"/>
      <c r="AI80" s="224"/>
      <c r="AJ80" s="224"/>
      <c r="AK80" s="224"/>
      <c r="AL80" s="224"/>
      <c r="AM80" s="224"/>
      <c r="AN80" s="224"/>
      <c r="AO80" s="224"/>
      <c r="AP80" s="224"/>
      <c r="AQ80" s="224"/>
      <c r="AR80" s="224"/>
    </row>
    <row r="81" spans="2:44">
      <c r="B81" s="224"/>
      <c r="C81" s="224"/>
      <c r="D81" s="224"/>
      <c r="E81" s="224"/>
      <c r="F81" s="224"/>
      <c r="G81" s="224"/>
      <c r="H81" s="224"/>
      <c r="I81" s="224"/>
      <c r="J81" s="224"/>
      <c r="K81" s="224"/>
      <c r="L81" s="224"/>
      <c r="M81" s="224"/>
      <c r="N81" s="224"/>
      <c r="O81" s="224"/>
      <c r="P81" s="224"/>
      <c r="Q81" s="224"/>
      <c r="R81" s="224"/>
      <c r="S81" s="224"/>
      <c r="T81" s="224"/>
      <c r="U81" s="224"/>
      <c r="V81" s="224"/>
      <c r="W81" s="224"/>
      <c r="X81" s="224"/>
      <c r="Y81" s="224"/>
      <c r="Z81" s="224"/>
      <c r="AA81" s="224"/>
      <c r="AB81" s="224"/>
      <c r="AC81" s="224"/>
      <c r="AD81" s="224"/>
      <c r="AE81" s="224"/>
      <c r="AF81" s="224"/>
      <c r="AG81" s="224"/>
      <c r="AH81" s="224"/>
      <c r="AI81" s="224"/>
      <c r="AJ81" s="224"/>
      <c r="AK81" s="224"/>
      <c r="AL81" s="224"/>
      <c r="AM81" s="224"/>
      <c r="AN81" s="224"/>
      <c r="AO81" s="224"/>
      <c r="AP81" s="224"/>
      <c r="AQ81" s="224"/>
      <c r="AR81" s="224"/>
    </row>
    <row r="82" spans="2:44">
      <c r="B82" s="224"/>
      <c r="C82" s="224"/>
      <c r="D82" s="224"/>
      <c r="E82" s="224"/>
      <c r="F82" s="224"/>
      <c r="G82" s="224"/>
      <c r="H82" s="224"/>
      <c r="I82" s="224"/>
      <c r="J82" s="224"/>
      <c r="K82" s="224"/>
      <c r="L82" s="224"/>
      <c r="M82" s="224"/>
      <c r="N82" s="224"/>
      <c r="O82" s="224"/>
      <c r="P82" s="224"/>
      <c r="Q82" s="224"/>
      <c r="R82" s="224"/>
      <c r="S82" s="224"/>
      <c r="T82" s="224"/>
      <c r="U82" s="224"/>
      <c r="V82" s="224"/>
      <c r="W82" s="224"/>
      <c r="X82" s="224"/>
      <c r="Y82" s="224"/>
      <c r="Z82" s="224"/>
      <c r="AA82" s="224"/>
      <c r="AB82" s="224"/>
      <c r="AC82" s="224"/>
      <c r="AD82" s="224"/>
      <c r="AE82" s="224"/>
      <c r="AF82" s="224"/>
      <c r="AG82" s="224"/>
      <c r="AH82" s="224"/>
      <c r="AI82" s="224"/>
      <c r="AJ82" s="224"/>
      <c r="AK82" s="224"/>
      <c r="AL82" s="224"/>
      <c r="AM82" s="224"/>
      <c r="AN82" s="224"/>
      <c r="AO82" s="224"/>
      <c r="AP82" s="224"/>
      <c r="AQ82" s="224"/>
      <c r="AR82" s="224"/>
    </row>
    <row r="83" spans="2:44">
      <c r="AP83" s="224"/>
      <c r="AQ83" s="224"/>
      <c r="AR83" s="224"/>
    </row>
    <row r="84" spans="2:44">
      <c r="B84" s="224"/>
      <c r="C84" s="224"/>
      <c r="D84" s="224"/>
      <c r="E84" s="224"/>
      <c r="F84" s="224"/>
      <c r="G84" s="224"/>
      <c r="H84" s="224"/>
      <c r="I84" s="224"/>
      <c r="J84" s="224"/>
      <c r="K84" s="224"/>
      <c r="L84" s="224"/>
      <c r="M84" s="224"/>
      <c r="N84" s="224"/>
      <c r="O84" s="224"/>
      <c r="P84" s="224"/>
      <c r="Q84" s="224"/>
      <c r="R84" s="224"/>
      <c r="S84" s="224"/>
      <c r="T84" s="224"/>
      <c r="U84" s="224"/>
      <c r="V84" s="224"/>
      <c r="W84" s="224"/>
      <c r="X84" s="224"/>
      <c r="Y84" s="224"/>
      <c r="Z84" s="224"/>
      <c r="AA84" s="224"/>
      <c r="AB84" s="224"/>
      <c r="AC84" s="224"/>
      <c r="AD84" s="224"/>
      <c r="AE84" s="224"/>
      <c r="AF84" s="224"/>
      <c r="AG84" s="224"/>
      <c r="AH84" s="224"/>
      <c r="AI84" s="224"/>
      <c r="AJ84" s="224"/>
      <c r="AK84" s="224"/>
      <c r="AL84" s="224"/>
      <c r="AM84" s="224"/>
      <c r="AN84" s="224"/>
      <c r="AO84" s="224"/>
      <c r="AP84" s="224"/>
      <c r="AQ84" s="224"/>
      <c r="AR84" s="224"/>
    </row>
    <row r="85" spans="2:44">
      <c r="B85" s="224"/>
      <c r="C85" s="224"/>
      <c r="D85" s="224"/>
      <c r="E85" s="224"/>
      <c r="F85" s="224"/>
      <c r="G85" s="224"/>
      <c r="H85" s="224"/>
      <c r="I85" s="224"/>
      <c r="J85" s="224"/>
      <c r="K85" s="224"/>
      <c r="L85" s="224"/>
      <c r="M85" s="224"/>
      <c r="N85" s="224"/>
      <c r="O85" s="224"/>
      <c r="P85" s="224"/>
      <c r="Q85" s="224"/>
      <c r="R85" s="224"/>
      <c r="S85" s="224"/>
      <c r="T85" s="224"/>
      <c r="U85" s="224"/>
      <c r="V85" s="224"/>
      <c r="W85" s="224"/>
      <c r="X85" s="224"/>
      <c r="Y85" s="224"/>
      <c r="Z85" s="224"/>
      <c r="AA85" s="224"/>
      <c r="AB85" s="224"/>
      <c r="AC85" s="224"/>
      <c r="AD85" s="224"/>
      <c r="AE85" s="224"/>
      <c r="AF85" s="224"/>
      <c r="AG85" s="224"/>
      <c r="AH85" s="224"/>
      <c r="AI85" s="224"/>
      <c r="AJ85" s="224"/>
      <c r="AK85" s="224"/>
      <c r="AL85" s="224"/>
      <c r="AM85" s="224"/>
      <c r="AN85" s="224"/>
      <c r="AO85" s="224"/>
      <c r="AP85" s="224"/>
      <c r="AQ85" s="224"/>
      <c r="AR85" s="224"/>
    </row>
  </sheetData>
  <pageMargins left="0.7" right="0.7" top="0.75" bottom="0.75" header="0.3" footer="0.3"/>
  <pageSetup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8"/>
  <dimension ref="A1:I40"/>
  <sheetViews>
    <sheetView topLeftCell="A22" zoomScale="71" zoomScaleNormal="100" workbookViewId="0">
      <selection activeCell="I37" sqref="I37"/>
    </sheetView>
  </sheetViews>
  <sheetFormatPr defaultRowHeight="21"/>
  <cols>
    <col min="1" max="1" width="8.7265625" style="100"/>
    <col min="2" max="2" width="26.453125" style="100" customWidth="1"/>
    <col min="3" max="3" width="23.90625" style="100" customWidth="1"/>
    <col min="4" max="4" width="16.36328125" style="100" customWidth="1"/>
    <col min="5" max="5" width="37" style="100" customWidth="1"/>
    <col min="6" max="6" width="16.54296875" style="100" bestFit="1" customWidth="1"/>
    <col min="7" max="7" width="18.90625" style="100" bestFit="1" customWidth="1"/>
    <col min="8" max="8" width="16.54296875" style="100" bestFit="1" customWidth="1"/>
    <col min="9" max="9" width="18.1796875" style="100" bestFit="1" customWidth="1"/>
    <col min="10" max="16384" width="8.7265625" style="100"/>
  </cols>
  <sheetData>
    <row r="1" spans="1:9">
      <c r="A1" s="112" t="s">
        <v>137</v>
      </c>
      <c r="B1" s="113"/>
      <c r="C1" s="113"/>
      <c r="D1" s="113"/>
      <c r="E1" s="113"/>
      <c r="F1" s="113"/>
      <c r="G1" s="113"/>
      <c r="H1" s="113"/>
      <c r="I1" s="113"/>
    </row>
    <row r="2" spans="1:9">
      <c r="A2" s="114"/>
      <c r="B2" s="115"/>
      <c r="C2" s="115"/>
      <c r="D2" s="115"/>
      <c r="E2" s="115"/>
      <c r="F2" s="113"/>
      <c r="G2" s="113"/>
      <c r="H2" s="113"/>
      <c r="I2" s="113"/>
    </row>
    <row r="3" spans="1:9">
      <c r="A3" s="116" t="s">
        <v>138</v>
      </c>
      <c r="B3" s="117"/>
      <c r="C3" s="115"/>
      <c r="D3" s="115"/>
      <c r="E3" s="115"/>
      <c r="F3" s="113"/>
      <c r="G3" s="113"/>
      <c r="H3" s="113"/>
      <c r="I3" s="113"/>
    </row>
    <row r="4" spans="1:9">
      <c r="A4" s="371" t="s">
        <v>139</v>
      </c>
      <c r="B4" s="372"/>
      <c r="C4" s="118">
        <v>2016</v>
      </c>
      <c r="D4" s="118">
        <v>2017</v>
      </c>
      <c r="E4" s="119" t="s">
        <v>140</v>
      </c>
      <c r="F4" s="113"/>
      <c r="G4" s="113"/>
      <c r="H4" s="113"/>
      <c r="I4" s="113"/>
    </row>
    <row r="5" spans="1:9">
      <c r="A5" s="120" t="s">
        <v>141</v>
      </c>
      <c r="B5" s="121"/>
      <c r="C5" s="122"/>
      <c r="D5" s="122"/>
      <c r="E5" s="123"/>
      <c r="F5" s="113"/>
      <c r="G5" s="113"/>
      <c r="H5" s="113"/>
      <c r="I5" s="113"/>
    </row>
    <row r="6" spans="1:9">
      <c r="A6" s="124" t="s">
        <v>142</v>
      </c>
      <c r="B6" s="125"/>
      <c r="C6" s="126">
        <v>2513464.3214435084</v>
      </c>
      <c r="D6" s="126">
        <v>2720275.9577231491</v>
      </c>
      <c r="E6" s="127">
        <v>5233740.2791666575</v>
      </c>
      <c r="F6" s="128"/>
      <c r="G6" s="113"/>
      <c r="H6" s="113"/>
      <c r="I6" s="113"/>
    </row>
    <row r="7" spans="1:9">
      <c r="A7" s="129" t="s">
        <v>143</v>
      </c>
      <c r="B7" s="130"/>
      <c r="C7" s="131">
        <v>243964</v>
      </c>
      <c r="D7" s="131">
        <v>251449</v>
      </c>
      <c r="E7" s="132">
        <v>495413</v>
      </c>
      <c r="F7" s="113"/>
      <c r="G7" s="113"/>
      <c r="H7" s="113"/>
      <c r="I7" s="113"/>
    </row>
    <row r="8" spans="1:9">
      <c r="A8" s="124"/>
      <c r="B8" s="133" t="s">
        <v>144</v>
      </c>
      <c r="C8" s="134">
        <v>2757428.3214435084</v>
      </c>
      <c r="D8" s="134">
        <v>2971724.9577231491</v>
      </c>
      <c r="E8" s="135">
        <v>5729153.2791666575</v>
      </c>
      <c r="F8" s="128"/>
      <c r="G8" s="113"/>
      <c r="H8" s="113"/>
      <c r="I8" s="113"/>
    </row>
    <row r="9" spans="1:9">
      <c r="A9" s="136" t="s">
        <v>145</v>
      </c>
      <c r="B9" s="121"/>
      <c r="C9" s="137"/>
      <c r="D9" s="137"/>
      <c r="E9" s="135"/>
      <c r="F9" s="113"/>
      <c r="G9" s="113"/>
      <c r="H9" s="113"/>
      <c r="I9" s="113"/>
    </row>
    <row r="10" spans="1:9">
      <c r="A10" s="124" t="s">
        <v>146</v>
      </c>
      <c r="B10" s="125"/>
      <c r="C10" s="138">
        <v>216860</v>
      </c>
      <c r="D10" s="138">
        <v>224360</v>
      </c>
      <c r="E10" s="139">
        <v>441220</v>
      </c>
      <c r="F10" s="113" t="s">
        <v>147</v>
      </c>
      <c r="G10" s="113"/>
      <c r="H10" s="113"/>
      <c r="I10" s="113"/>
    </row>
    <row r="11" spans="1:9">
      <c r="A11" s="124" t="s">
        <v>148</v>
      </c>
      <c r="B11" s="125"/>
      <c r="C11" s="138">
        <v>75330</v>
      </c>
      <c r="D11" s="138">
        <v>17670</v>
      </c>
      <c r="E11" s="140">
        <v>93000</v>
      </c>
      <c r="F11" s="113" t="s">
        <v>149</v>
      </c>
      <c r="G11" s="113"/>
      <c r="H11" s="113"/>
      <c r="I11" s="113"/>
    </row>
    <row r="12" spans="1:9">
      <c r="A12" s="124" t="s">
        <v>150</v>
      </c>
      <c r="B12" s="125"/>
      <c r="C12" s="141">
        <v>5500</v>
      </c>
      <c r="D12" s="141">
        <v>5500</v>
      </c>
      <c r="E12" s="135">
        <v>11000</v>
      </c>
      <c r="F12" s="113"/>
      <c r="G12" s="142" t="s">
        <v>151</v>
      </c>
      <c r="H12" s="143"/>
      <c r="I12" s="143"/>
    </row>
    <row r="13" spans="1:9">
      <c r="A13" s="129" t="s">
        <v>152</v>
      </c>
      <c r="B13" s="130"/>
      <c r="C13" s="144">
        <v>2500</v>
      </c>
      <c r="D13" s="144">
        <v>2500</v>
      </c>
      <c r="E13" s="145">
        <v>5000</v>
      </c>
      <c r="F13" s="113"/>
      <c r="G13" s="146"/>
      <c r="H13" s="147"/>
      <c r="I13" s="147" t="s">
        <v>153</v>
      </c>
    </row>
    <row r="14" spans="1:9">
      <c r="A14" s="146"/>
      <c r="B14" s="148" t="s">
        <v>144</v>
      </c>
      <c r="C14" s="144">
        <v>300190</v>
      </c>
      <c r="D14" s="144">
        <v>250030</v>
      </c>
      <c r="E14" s="144">
        <v>550220</v>
      </c>
      <c r="F14" s="113"/>
      <c r="G14" s="113"/>
      <c r="H14" s="113"/>
      <c r="I14" s="113"/>
    </row>
    <row r="15" spans="1:9">
      <c r="A15" s="149"/>
      <c r="B15" s="150" t="s">
        <v>154</v>
      </c>
      <c r="C15" s="151">
        <v>3057618.3214435084</v>
      </c>
      <c r="D15" s="151">
        <v>3221754.9577231491</v>
      </c>
      <c r="E15" s="151">
        <v>6279373.2791666575</v>
      </c>
      <c r="F15" s="113"/>
      <c r="G15" s="113"/>
      <c r="H15" s="113"/>
      <c r="I15" s="113"/>
    </row>
    <row r="21" spans="1:9">
      <c r="A21" s="105" t="s">
        <v>133</v>
      </c>
    </row>
    <row r="22" spans="1:9">
      <c r="A22" s="100" t="s">
        <v>155</v>
      </c>
    </row>
    <row r="23" spans="1:9">
      <c r="A23" s="98" t="s">
        <v>131</v>
      </c>
      <c r="B23" s="98"/>
      <c r="C23" s="98"/>
      <c r="D23" s="98" t="s">
        <v>132</v>
      </c>
      <c r="E23" s="99" t="s">
        <v>113</v>
      </c>
      <c r="F23" s="98">
        <v>2018</v>
      </c>
      <c r="G23" s="98">
        <v>2019</v>
      </c>
      <c r="H23" s="98">
        <v>2020</v>
      </c>
      <c r="I23" s="98" t="s">
        <v>115</v>
      </c>
    </row>
    <row r="24" spans="1:9">
      <c r="A24" s="101" t="s">
        <v>129</v>
      </c>
      <c r="B24" s="101"/>
      <c r="C24" s="101"/>
      <c r="D24" s="101" t="s">
        <v>130</v>
      </c>
      <c r="E24" s="101" t="s">
        <v>114</v>
      </c>
      <c r="F24" s="102">
        <v>2889201</v>
      </c>
      <c r="G24" s="102">
        <v>3014426</v>
      </c>
      <c r="H24" s="102">
        <v>3030476</v>
      </c>
      <c r="I24" s="102">
        <f>SUM(F24:H24)</f>
        <v>8934103</v>
      </c>
    </row>
    <row r="25" spans="1:9">
      <c r="A25" s="103"/>
      <c r="B25" s="103"/>
      <c r="C25" s="103"/>
      <c r="D25" s="103" t="s">
        <v>121</v>
      </c>
      <c r="E25" s="103" t="s">
        <v>116</v>
      </c>
      <c r="F25" s="104">
        <v>259757</v>
      </c>
      <c r="G25" s="104">
        <v>267135</v>
      </c>
      <c r="H25" s="104">
        <v>269536</v>
      </c>
      <c r="I25" s="104">
        <f>SUM(F25:H25)</f>
        <v>796428</v>
      </c>
    </row>
    <row r="26" spans="1:9">
      <c r="A26" s="103" t="s">
        <v>120</v>
      </c>
      <c r="B26" s="103"/>
      <c r="C26" s="103"/>
      <c r="D26" s="103" t="s">
        <v>124</v>
      </c>
      <c r="E26" s="103" t="s">
        <v>118</v>
      </c>
      <c r="F26" s="104">
        <v>14880</v>
      </c>
      <c r="G26" s="104">
        <v>14880</v>
      </c>
      <c r="H26" s="104">
        <v>14880</v>
      </c>
      <c r="I26" s="104">
        <f>SUM(F26:H26)</f>
        <v>44640</v>
      </c>
    </row>
    <row r="27" spans="1:9">
      <c r="A27" s="105"/>
      <c r="B27" s="105"/>
      <c r="C27" s="105"/>
      <c r="D27" s="105"/>
      <c r="E27" s="105" t="s">
        <v>117</v>
      </c>
      <c r="F27" s="106">
        <f>SUM(F24:F26)</f>
        <v>3163838</v>
      </c>
      <c r="G27" s="106">
        <f>SUM(G24:G26)</f>
        <v>3296441</v>
      </c>
      <c r="H27" s="106">
        <f>SUM(H24:H26)</f>
        <v>3314892</v>
      </c>
      <c r="I27" s="106">
        <f>SUM(I24:I26)</f>
        <v>9775171</v>
      </c>
    </row>
    <row r="28" spans="1:9">
      <c r="A28" s="103"/>
      <c r="B28" s="103"/>
      <c r="C28" s="103"/>
      <c r="D28" s="103"/>
      <c r="E28" s="103" t="s">
        <v>207</v>
      </c>
      <c r="F28" s="104"/>
      <c r="G28" s="104"/>
      <c r="H28" s="104"/>
      <c r="I28" s="104"/>
    </row>
    <row r="29" spans="1:9">
      <c r="A29" s="103"/>
      <c r="B29" s="103"/>
      <c r="C29" s="103"/>
      <c r="D29" s="103" t="s">
        <v>122</v>
      </c>
      <c r="E29" s="103" t="s">
        <v>126</v>
      </c>
      <c r="F29" s="104">
        <v>212500</v>
      </c>
      <c r="G29" s="104">
        <v>209300</v>
      </c>
      <c r="H29" s="104">
        <v>251800</v>
      </c>
      <c r="I29" s="104">
        <f>SUM(F29:H29)</f>
        <v>673600</v>
      </c>
    </row>
    <row r="30" spans="1:9">
      <c r="A30" s="103"/>
      <c r="B30" s="103"/>
      <c r="C30" s="103"/>
      <c r="D30" s="103" t="s">
        <v>123</v>
      </c>
      <c r="E30" s="103" t="s">
        <v>127</v>
      </c>
      <c r="F30" s="104">
        <v>7399</v>
      </c>
      <c r="G30" s="104">
        <v>7547</v>
      </c>
      <c r="H30" s="104">
        <v>7698</v>
      </c>
      <c r="I30" s="104">
        <f>SUM(F30:H30)</f>
        <v>22644</v>
      </c>
    </row>
    <row r="31" spans="1:9">
      <c r="A31" s="103"/>
      <c r="B31" s="103"/>
      <c r="C31" s="103"/>
      <c r="D31" s="103" t="s">
        <v>123</v>
      </c>
      <c r="E31" s="103" t="s">
        <v>128</v>
      </c>
      <c r="F31" s="104">
        <v>2500</v>
      </c>
      <c r="G31" s="104">
        <v>2550</v>
      </c>
      <c r="H31" s="104">
        <v>2601</v>
      </c>
      <c r="I31" s="104">
        <f>SUM(F31:H31)</f>
        <v>7651</v>
      </c>
    </row>
    <row r="32" spans="1:9">
      <c r="F32" s="107">
        <f>SUM(F29:F31)</f>
        <v>222399</v>
      </c>
      <c r="G32" s="107">
        <f>SUM(G29:G31)</f>
        <v>219397</v>
      </c>
      <c r="H32" s="107">
        <f>SUM(H29:H31)</f>
        <v>262099</v>
      </c>
      <c r="I32" s="107">
        <f>SUM(I29:I31)</f>
        <v>703895</v>
      </c>
    </row>
    <row r="33" spans="5:9">
      <c r="F33" s="107"/>
      <c r="G33" s="107"/>
      <c r="H33" s="107"/>
      <c r="I33" s="107"/>
    </row>
    <row r="34" spans="5:9">
      <c r="E34" s="100" t="s">
        <v>119</v>
      </c>
      <c r="F34" s="107">
        <f>F32+F27</f>
        <v>3386237</v>
      </c>
      <c r="G34" s="107">
        <f>G32+G27</f>
        <v>3515838</v>
      </c>
      <c r="H34" s="107">
        <f>H32+H27</f>
        <v>3576991</v>
      </c>
      <c r="I34" s="107">
        <f>I32+I27</f>
        <v>10479066</v>
      </c>
    </row>
    <row r="35" spans="5:9">
      <c r="F35" s="107"/>
      <c r="G35" s="107"/>
      <c r="H35" s="107"/>
      <c r="I35" s="107"/>
    </row>
    <row r="36" spans="5:9">
      <c r="E36" s="100" t="s">
        <v>190</v>
      </c>
      <c r="F36" s="107">
        <f>F32+F26</f>
        <v>237279</v>
      </c>
      <c r="G36" s="107">
        <f>G32+G26</f>
        <v>234277</v>
      </c>
      <c r="H36" s="107">
        <f>H32+H26</f>
        <v>276979</v>
      </c>
      <c r="I36" s="107"/>
    </row>
    <row r="40" spans="5:9">
      <c r="F40" s="109"/>
      <c r="G40" s="109"/>
      <c r="H40" s="109"/>
    </row>
  </sheetData>
  <mergeCells count="1">
    <mergeCell ref="A4:B4"/>
  </mergeCells>
  <pageMargins left="0.7" right="0.7" top="0.75" bottom="0.75" header="0.3" footer="0.3"/>
  <pageSetup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14"/>
  <dimension ref="A1:R27"/>
  <sheetViews>
    <sheetView zoomScale="55" zoomScaleNormal="55" workbookViewId="0">
      <selection activeCell="E19" sqref="E19"/>
    </sheetView>
  </sheetViews>
  <sheetFormatPr defaultRowHeight="18.5"/>
  <cols>
    <col min="1" max="1" width="23.90625" style="97" customWidth="1"/>
    <col min="2" max="2" width="47.81640625" style="97" bestFit="1" customWidth="1"/>
    <col min="3" max="3" width="47.81640625" style="97" customWidth="1"/>
    <col min="4" max="4" width="31.453125" style="97" bestFit="1" customWidth="1"/>
    <col min="5" max="5" width="12.6328125" style="97" bestFit="1" customWidth="1"/>
    <col min="6" max="12" width="14" style="97" bestFit="1" customWidth="1"/>
    <col min="13" max="17" width="12.6328125" style="97" bestFit="1" customWidth="1"/>
    <col min="18" max="24" width="14" style="97" bestFit="1" customWidth="1"/>
    <col min="25" max="29" width="12.6328125" style="97" bestFit="1" customWidth="1"/>
    <col min="30" max="35" width="14" style="97" bestFit="1" customWidth="1"/>
    <col min="36" max="42" width="12.6328125" style="97" bestFit="1" customWidth="1"/>
    <col min="43" max="49" width="14" style="97" bestFit="1" customWidth="1"/>
    <col min="50" max="52" width="12.6328125" style="97" bestFit="1" customWidth="1"/>
    <col min="53" max="61" width="14" style="97" bestFit="1" customWidth="1"/>
    <col min="62" max="63" width="12.6328125" style="97" bestFit="1" customWidth="1"/>
    <col min="64" max="64" width="7" style="97" bestFit="1" customWidth="1"/>
    <col min="65" max="16384" width="8.7265625" style="97"/>
  </cols>
  <sheetData>
    <row r="1" spans="1:18">
      <c r="C1" s="97" t="s">
        <v>196</v>
      </c>
    </row>
    <row r="2" spans="1:18">
      <c r="A2" s="97" t="s">
        <v>188</v>
      </c>
      <c r="C2" s="276">
        <f>'CY 2019-2020 forecast'!AQ20</f>
        <v>3931986</v>
      </c>
    </row>
    <row r="3" spans="1:18">
      <c r="A3" s="97" t="s">
        <v>125</v>
      </c>
      <c r="B3" s="164"/>
      <c r="C3" s="276">
        <f>C24</f>
        <v>189266.59816144611</v>
      </c>
    </row>
    <row r="5" spans="1:18">
      <c r="A5" s="97" t="s">
        <v>134</v>
      </c>
      <c r="C5" s="274">
        <f>C3/C2</f>
        <v>4.8135114967715067E-2</v>
      </c>
    </row>
    <row r="6" spans="1:18">
      <c r="A6" s="97" t="s">
        <v>135</v>
      </c>
      <c r="C6" s="97">
        <f>(1-C5)</f>
        <v>0.95186488503228495</v>
      </c>
    </row>
    <row r="16" spans="1:18" customFormat="1" ht="14.5">
      <c r="D16" s="373" t="s">
        <v>112</v>
      </c>
      <c r="E16" s="374"/>
      <c r="F16" s="374"/>
      <c r="G16" s="374"/>
      <c r="H16" s="374"/>
      <c r="I16" s="374"/>
      <c r="J16" s="374"/>
      <c r="K16" s="374"/>
      <c r="L16" s="374"/>
      <c r="M16" s="374"/>
      <c r="N16" s="374"/>
      <c r="O16" s="251" t="s">
        <v>112</v>
      </c>
      <c r="P16" s="251" t="s">
        <v>112</v>
      </c>
      <c r="Q16" s="251" t="s">
        <v>112</v>
      </c>
      <c r="R16" s="251" t="s">
        <v>112</v>
      </c>
    </row>
    <row r="17" spans="1:18" s="243" customFormat="1" ht="14.5">
      <c r="A17" s="244" t="s">
        <v>68</v>
      </c>
      <c r="B17" s="244" t="s">
        <v>68</v>
      </c>
      <c r="C17" s="244" t="s">
        <v>195</v>
      </c>
      <c r="D17" s="246" t="s">
        <v>197</v>
      </c>
      <c r="E17" s="246" t="s">
        <v>198</v>
      </c>
      <c r="F17" s="246" t="s">
        <v>199</v>
      </c>
      <c r="G17" s="246" t="s">
        <v>200</v>
      </c>
      <c r="H17" s="246" t="s">
        <v>201</v>
      </c>
      <c r="I17" s="246" t="s">
        <v>202</v>
      </c>
      <c r="J17" s="246" t="s">
        <v>203</v>
      </c>
      <c r="K17" s="246" t="s">
        <v>17</v>
      </c>
      <c r="L17" s="246" t="s">
        <v>18</v>
      </c>
      <c r="M17" s="246" t="s">
        <v>19</v>
      </c>
      <c r="N17" s="246" t="s">
        <v>204</v>
      </c>
      <c r="O17" s="246" t="s">
        <v>205</v>
      </c>
      <c r="P17" s="246" t="s">
        <v>197</v>
      </c>
      <c r="Q17" s="246" t="s">
        <v>198</v>
      </c>
      <c r="R17" s="247" t="s">
        <v>199</v>
      </c>
    </row>
    <row r="19" spans="1:18" customFormat="1" ht="14.5">
      <c r="A19" t="s">
        <v>248</v>
      </c>
      <c r="B19" t="s">
        <v>157</v>
      </c>
      <c r="C19" s="31">
        <f>SUM(G19:R19)</f>
        <v>24511</v>
      </c>
      <c r="D19" s="248">
        <v>2069</v>
      </c>
      <c r="E19" s="248">
        <v>2032</v>
      </c>
      <c r="F19" s="248">
        <v>2185</v>
      </c>
      <c r="G19" s="248">
        <v>2521</v>
      </c>
      <c r="H19" s="249">
        <v>2176</v>
      </c>
      <c r="I19" s="249">
        <v>1967</v>
      </c>
      <c r="J19" s="249">
        <v>1948</v>
      </c>
      <c r="K19" s="249">
        <v>1909</v>
      </c>
      <c r="L19" s="249">
        <v>1935</v>
      </c>
      <c r="M19" s="249">
        <v>1861</v>
      </c>
      <c r="N19" s="249">
        <v>1782</v>
      </c>
      <c r="O19" s="31">
        <v>2126</v>
      </c>
      <c r="P19" s="31">
        <v>2069</v>
      </c>
      <c r="Q19" s="31">
        <v>2032</v>
      </c>
      <c r="R19" s="31">
        <v>2185</v>
      </c>
    </row>
    <row r="20" spans="1:18" customFormat="1" ht="14.5">
      <c r="D20" s="250"/>
      <c r="E20" s="250"/>
      <c r="F20" s="250"/>
      <c r="G20" s="250"/>
      <c r="H20" s="250"/>
      <c r="I20" s="250"/>
      <c r="J20" s="250"/>
      <c r="K20" s="250"/>
      <c r="L20" s="250"/>
      <c r="M20" s="250"/>
      <c r="N20" s="250"/>
    </row>
    <row r="21" spans="1:18">
      <c r="A21" s="97" t="s">
        <v>180</v>
      </c>
      <c r="B21" s="97" t="s">
        <v>180</v>
      </c>
      <c r="D21" s="245">
        <v>2.7961059325725239</v>
      </c>
      <c r="E21" s="245">
        <v>7.8934073500301229</v>
      </c>
      <c r="F21" s="245">
        <v>11.433276972797124</v>
      </c>
      <c r="G21" s="245">
        <v>14.367548538510775</v>
      </c>
      <c r="H21" s="245">
        <v>16.045734238933719</v>
      </c>
      <c r="I21" s="245">
        <v>12.531163611619105</v>
      </c>
      <c r="J21" s="245">
        <v>9.7805223785438002</v>
      </c>
      <c r="K21" s="245">
        <v>5.7932131901840487</v>
      </c>
      <c r="L21" s="245">
        <v>3.2413866130446873</v>
      </c>
      <c r="M21" s="245">
        <v>1.7685862861808883</v>
      </c>
      <c r="N21" s="245">
        <v>1.7523215016036333</v>
      </c>
      <c r="O21" s="33">
        <v>1.8239294489294489</v>
      </c>
      <c r="P21" s="33">
        <v>2.7961059325725239</v>
      </c>
      <c r="Q21" s="33">
        <v>7.8934073500301229</v>
      </c>
      <c r="R21" s="33">
        <v>11.433276972797124</v>
      </c>
    </row>
    <row r="22" spans="1:18">
      <c r="D22" s="245"/>
      <c r="E22" s="245"/>
      <c r="F22" s="245"/>
      <c r="G22" s="245"/>
      <c r="H22" s="245"/>
      <c r="I22" s="245"/>
      <c r="J22" s="245"/>
      <c r="K22" s="245"/>
      <c r="L22" s="245"/>
      <c r="M22" s="245"/>
      <c r="N22" s="245"/>
    </row>
    <row r="24" spans="1:18">
      <c r="A24" s="97" t="s">
        <v>181</v>
      </c>
      <c r="B24" s="97" t="s">
        <v>181</v>
      </c>
      <c r="C24" s="31">
        <f>SUM(G24:R24)</f>
        <v>189266.59816144611</v>
      </c>
      <c r="D24" s="245">
        <f t="shared" ref="D24:R24" si="0">D21*D19</f>
        <v>5785.1431744925521</v>
      </c>
      <c r="E24" s="245">
        <f t="shared" si="0"/>
        <v>16039.40373526121</v>
      </c>
      <c r="F24" s="245">
        <f t="shared" si="0"/>
        <v>24981.710185561715</v>
      </c>
      <c r="G24" s="245">
        <f>G21*G19</f>
        <v>36220.589865585665</v>
      </c>
      <c r="H24" s="245">
        <f t="shared" si="0"/>
        <v>34915.517703919773</v>
      </c>
      <c r="I24" s="245">
        <f t="shared" si="0"/>
        <v>24648.798824054778</v>
      </c>
      <c r="J24" s="245">
        <f t="shared" si="0"/>
        <v>19052.457593403324</v>
      </c>
      <c r="K24" s="245">
        <f t="shared" si="0"/>
        <v>11059.243980061348</v>
      </c>
      <c r="L24" s="245">
        <f t="shared" si="0"/>
        <v>6272.0830962414702</v>
      </c>
      <c r="M24" s="245">
        <f t="shared" si="0"/>
        <v>3291.3390785826332</v>
      </c>
      <c r="N24" s="245">
        <f t="shared" si="0"/>
        <v>3122.6369158576745</v>
      </c>
      <c r="O24" s="245">
        <f t="shared" si="0"/>
        <v>3877.6740084240082</v>
      </c>
      <c r="P24" s="245">
        <f t="shared" si="0"/>
        <v>5785.1431744925521</v>
      </c>
      <c r="Q24" s="245">
        <f t="shared" si="0"/>
        <v>16039.40373526121</v>
      </c>
      <c r="R24" s="245">
        <f t="shared" si="0"/>
        <v>24981.710185561715</v>
      </c>
    </row>
    <row r="27" spans="1:18">
      <c r="B27" s="97" t="s">
        <v>247</v>
      </c>
      <c r="C27" s="165">
        <f>C19/12</f>
        <v>2042.5833333333333</v>
      </c>
    </row>
  </sheetData>
  <mergeCells count="1">
    <mergeCell ref="D16:N16"/>
  </mergeCells>
  <pageMargins left="0.7" right="0.7" top="0.75" bottom="0.75" header="0.3" footer="0.3"/>
  <pageSetup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pageSetUpPr fitToPage="1"/>
  </sheetPr>
  <dimension ref="A1:M78"/>
  <sheetViews>
    <sheetView zoomScale="70" zoomScaleNormal="70" workbookViewId="0">
      <selection activeCell="A5" sqref="A5"/>
    </sheetView>
  </sheetViews>
  <sheetFormatPr defaultRowHeight="14.5"/>
  <cols>
    <col min="3" max="3" width="14.26953125" customWidth="1"/>
    <col min="4" max="4" width="9.1796875" bestFit="1" customWidth="1"/>
    <col min="6" max="6" width="15" customWidth="1"/>
    <col min="7" max="7" width="5.54296875" customWidth="1"/>
    <col min="8" max="8" width="4.81640625" customWidth="1"/>
    <col min="9" max="9" width="12.7265625" style="66" customWidth="1"/>
    <col min="10" max="10" width="13.26953125" style="66" customWidth="1"/>
    <col min="11" max="13" width="8.7265625" style="66"/>
  </cols>
  <sheetData>
    <row r="1" spans="1:13">
      <c r="A1" s="375" t="s">
        <v>69</v>
      </c>
      <c r="B1" s="352"/>
      <c r="C1" s="352"/>
      <c r="D1" s="352"/>
      <c r="E1" s="352"/>
      <c r="F1" s="352"/>
      <c r="G1" s="352"/>
      <c r="H1" s="352"/>
      <c r="I1" s="352"/>
      <c r="J1" s="352"/>
      <c r="K1" s="352"/>
      <c r="L1" s="352"/>
      <c r="M1" s="200"/>
    </row>
    <row r="2" spans="1:13">
      <c r="A2" s="375" t="s">
        <v>70</v>
      </c>
      <c r="B2" s="352" t="s">
        <v>70</v>
      </c>
      <c r="C2" s="352"/>
      <c r="D2" s="352"/>
      <c r="E2" s="352"/>
      <c r="F2" s="352"/>
      <c r="G2" s="352"/>
      <c r="H2" s="352"/>
      <c r="I2" s="352"/>
      <c r="J2" s="352"/>
      <c r="K2" s="352"/>
      <c r="L2" s="352"/>
      <c r="M2" s="200"/>
    </row>
    <row r="3" spans="1:13">
      <c r="A3" s="375" t="s">
        <v>245</v>
      </c>
      <c r="B3" s="352"/>
      <c r="C3" s="352"/>
      <c r="D3" s="352"/>
      <c r="E3" s="352"/>
      <c r="F3" s="352"/>
      <c r="G3" s="352"/>
      <c r="H3" s="352"/>
      <c r="I3" s="352"/>
      <c r="J3" s="352"/>
      <c r="K3" s="352"/>
      <c r="L3" s="352"/>
      <c r="M3" s="201"/>
    </row>
    <row r="4" spans="1:13" ht="15.5">
      <c r="A4" s="48"/>
      <c r="B4" s="48"/>
      <c r="C4" s="48"/>
      <c r="D4" s="48"/>
      <c r="E4" s="48"/>
      <c r="F4" s="48"/>
      <c r="G4" s="48"/>
      <c r="H4" s="48"/>
      <c r="I4" s="202"/>
      <c r="J4" s="202"/>
      <c r="K4" s="202"/>
      <c r="L4" s="203"/>
      <c r="M4" s="203"/>
    </row>
    <row r="5" spans="1:13" ht="91.5">
      <c r="A5" s="50"/>
      <c r="B5" s="50"/>
      <c r="C5" s="50"/>
      <c r="D5" s="50"/>
      <c r="E5" s="51" t="s">
        <v>187</v>
      </c>
      <c r="F5" s="51" t="s">
        <v>71</v>
      </c>
      <c r="G5" s="51"/>
      <c r="H5" s="50"/>
      <c r="I5" s="204" t="s">
        <v>228</v>
      </c>
      <c r="J5" s="204" t="s">
        <v>71</v>
      </c>
      <c r="K5" s="203"/>
      <c r="L5" s="203"/>
      <c r="M5" s="203"/>
    </row>
    <row r="6" spans="1:13" ht="15.5">
      <c r="A6" s="52"/>
      <c r="B6" s="52"/>
      <c r="C6" s="52"/>
      <c r="D6" s="53"/>
      <c r="E6" s="53"/>
      <c r="F6" s="53"/>
      <c r="G6" s="53"/>
      <c r="H6" s="53"/>
      <c r="I6" s="53"/>
      <c r="J6" s="53"/>
      <c r="K6" s="53"/>
      <c r="L6" s="203"/>
      <c r="M6" s="203"/>
    </row>
    <row r="7" spans="1:13" ht="15.5">
      <c r="A7" s="52" t="s">
        <v>68</v>
      </c>
      <c r="B7" s="52"/>
      <c r="C7" s="52"/>
      <c r="D7" s="53"/>
      <c r="E7" s="53"/>
      <c r="F7" s="53"/>
      <c r="G7" s="53"/>
      <c r="H7" s="53"/>
      <c r="I7" s="53"/>
      <c r="J7" s="53"/>
      <c r="K7" s="53"/>
      <c r="L7" s="203"/>
      <c r="M7" s="203"/>
    </row>
    <row r="8" spans="1:13" ht="15.5">
      <c r="A8" s="52"/>
      <c r="B8" s="54" t="s">
        <v>72</v>
      </c>
      <c r="C8" s="54"/>
      <c r="D8" s="55">
        <f>'CY 2019-2020 forecast'!AQ33</f>
        <v>47330.75</v>
      </c>
      <c r="E8" s="56">
        <f>'VGS rates'!BI4</f>
        <v>0.72599999999999998</v>
      </c>
      <c r="F8" s="57">
        <f>E8*$D8*365</f>
        <v>12542175.442499999</v>
      </c>
      <c r="G8" s="57"/>
      <c r="H8" s="57"/>
      <c r="I8" s="56">
        <f>'VGS rates'!BM4</f>
        <v>0.76219999999999999</v>
      </c>
      <c r="J8" s="57">
        <f>I8*$D8*365</f>
        <v>13167556.64225</v>
      </c>
      <c r="K8" s="205">
        <f>J8/F8-1</f>
        <v>4.9862258953168093E-2</v>
      </c>
      <c r="L8" s="203"/>
      <c r="M8" s="203"/>
    </row>
    <row r="9" spans="1:13" ht="15.5">
      <c r="A9" s="52"/>
      <c r="B9" s="54" t="s">
        <v>73</v>
      </c>
      <c r="C9" s="54"/>
      <c r="D9" s="55"/>
      <c r="E9" s="58">
        <f>E8*365/12</f>
        <v>22.0825</v>
      </c>
      <c r="F9" s="57"/>
      <c r="G9" s="57"/>
      <c r="H9" s="57"/>
      <c r="I9" s="58">
        <f>I8*365/12</f>
        <v>23.183583333333331</v>
      </c>
      <c r="J9" s="57"/>
      <c r="K9" s="206"/>
      <c r="L9" s="203"/>
      <c r="M9" s="203"/>
    </row>
    <row r="10" spans="1:13" ht="15.5">
      <c r="A10" s="52"/>
      <c r="B10" s="54" t="s">
        <v>74</v>
      </c>
      <c r="C10" s="54"/>
      <c r="D10" s="55">
        <f>'CY 2019-2020 forecast'!AQ20</f>
        <v>3931986</v>
      </c>
      <c r="E10" s="56">
        <f>'VGS rates'!BI5</f>
        <v>0.34610000000000002</v>
      </c>
      <c r="F10" s="57">
        <f>E10*10*$D10</f>
        <v>13608603.546000002</v>
      </c>
      <c r="G10" s="57"/>
      <c r="H10" s="57"/>
      <c r="I10" s="56">
        <f>'VGS rates'!BM5</f>
        <v>0.34610000000000002</v>
      </c>
      <c r="J10" s="57">
        <f>I10*10*$D10</f>
        <v>13608603.546000002</v>
      </c>
      <c r="K10" s="206">
        <f>J10/F10-1</f>
        <v>0</v>
      </c>
      <c r="L10" s="203"/>
      <c r="M10" s="203"/>
    </row>
    <row r="11" spans="1:13" ht="15.5">
      <c r="A11" s="52"/>
      <c r="B11" s="54" t="s">
        <v>75</v>
      </c>
      <c r="C11" s="54"/>
      <c r="D11" s="53"/>
      <c r="E11" s="56">
        <f>'VGS rates'!BI6</f>
        <v>0.61950000000000005</v>
      </c>
      <c r="F11" s="57">
        <f>E11*10*$D10</f>
        <v>24358653.27</v>
      </c>
      <c r="G11" s="57"/>
      <c r="H11" s="57"/>
      <c r="I11" s="56">
        <f>'VGS rates'!BM6</f>
        <v>0.65039999999999998</v>
      </c>
      <c r="J11" s="57">
        <f>I11*10*$D10</f>
        <v>25573636.943999998</v>
      </c>
      <c r="K11" s="206">
        <f>J11/F11-1</f>
        <v>4.987893462469728E-2</v>
      </c>
      <c r="L11" s="203"/>
      <c r="M11" s="203"/>
    </row>
    <row r="12" spans="1:13" ht="15.5">
      <c r="A12" s="52"/>
      <c r="B12" s="54" t="s">
        <v>76</v>
      </c>
      <c r="C12" s="54"/>
      <c r="D12" s="53"/>
      <c r="E12" s="56"/>
      <c r="F12" s="57">
        <f>SUM(F8:F11)</f>
        <v>50509432.258499995</v>
      </c>
      <c r="G12" s="57"/>
      <c r="H12" s="57"/>
      <c r="I12" s="56"/>
      <c r="J12" s="57">
        <f>SUM(J8:J11)</f>
        <v>52349797.132249996</v>
      </c>
      <c r="K12" s="206">
        <f>J12/F12-1</f>
        <v>3.643606335409344E-2</v>
      </c>
      <c r="L12" s="203"/>
      <c r="M12" s="203"/>
    </row>
    <row r="13" spans="1:13" ht="15.5">
      <c r="A13" s="52"/>
      <c r="B13" s="54" t="s">
        <v>77</v>
      </c>
      <c r="C13" s="54"/>
      <c r="D13" s="53"/>
      <c r="E13" s="56">
        <f>'VGS rates'!BI8</f>
        <v>0.11</v>
      </c>
      <c r="F13" s="57">
        <f>E13*$D8*12</f>
        <v>62476.59</v>
      </c>
      <c r="G13" s="57"/>
      <c r="H13" s="57"/>
      <c r="I13" s="56">
        <f>'VGS rates'!BM8</f>
        <v>0.11</v>
      </c>
      <c r="J13" s="57">
        <f>I13*$D8*12</f>
        <v>62476.59</v>
      </c>
      <c r="K13" s="206">
        <f>J13/F13-1</f>
        <v>0</v>
      </c>
      <c r="L13" s="203"/>
      <c r="M13" s="203"/>
    </row>
    <row r="14" spans="1:13" ht="15.5">
      <c r="A14" s="52"/>
      <c r="B14" s="54" t="s">
        <v>78</v>
      </c>
      <c r="C14" s="54"/>
      <c r="D14" s="53"/>
      <c r="E14" s="56"/>
      <c r="F14" s="57">
        <f>F13+F12</f>
        <v>50571908.848499998</v>
      </c>
      <c r="G14" s="57"/>
      <c r="H14" s="57"/>
      <c r="I14" s="56"/>
      <c r="J14" s="57">
        <f>J13+J12</f>
        <v>52412273.72225</v>
      </c>
      <c r="K14" s="206"/>
      <c r="L14" s="203"/>
      <c r="M14" s="203"/>
    </row>
    <row r="15" spans="1:13" ht="15.5">
      <c r="A15" s="52"/>
      <c r="B15" s="54" t="s">
        <v>79</v>
      </c>
      <c r="C15" s="54"/>
      <c r="D15" s="53"/>
      <c r="E15" s="56">
        <f>'VGS rates'!BI7</f>
        <v>4.8000000000000001E-2</v>
      </c>
      <c r="F15" s="57">
        <f>E15*10*$D10</f>
        <v>1887353.28</v>
      </c>
      <c r="G15" s="57"/>
      <c r="H15" s="57"/>
      <c r="I15" s="56">
        <f>'VGS rates'!BM7</f>
        <v>4.947E-2</v>
      </c>
      <c r="J15" s="57">
        <f>I15*10*$D10</f>
        <v>1945153.4742000001</v>
      </c>
      <c r="K15" s="206">
        <f>J15/F15-1</f>
        <v>3.0625000000000124E-2</v>
      </c>
      <c r="L15" s="203"/>
      <c r="M15" s="203"/>
    </row>
    <row r="16" spans="1:13" ht="15.5">
      <c r="A16" s="52"/>
      <c r="B16" s="54" t="s">
        <v>80</v>
      </c>
      <c r="C16" s="54"/>
      <c r="D16" s="53"/>
      <c r="E16" s="53"/>
      <c r="F16" s="57">
        <f>F15+F14</f>
        <v>52459262.1285</v>
      </c>
      <c r="G16" s="57"/>
      <c r="H16" s="57"/>
      <c r="I16" s="53"/>
      <c r="J16" s="57">
        <f>J15+J14</f>
        <v>54357427.196450002</v>
      </c>
      <c r="K16" s="206">
        <f>J16/F16-1</f>
        <v>3.6183602112061841E-2</v>
      </c>
      <c r="L16" s="207"/>
      <c r="M16" s="207"/>
    </row>
    <row r="17" spans="1:13" ht="15.5">
      <c r="A17" s="52"/>
      <c r="B17" s="54"/>
      <c r="C17" s="54"/>
      <c r="D17" s="53"/>
      <c r="E17" s="58"/>
      <c r="F17" s="58"/>
      <c r="G17" s="58"/>
      <c r="H17" s="58"/>
      <c r="I17" s="58"/>
      <c r="J17" s="58"/>
      <c r="K17" s="206"/>
      <c r="L17" s="208"/>
      <c r="M17" s="208"/>
    </row>
    <row r="18" spans="1:13" ht="15.5">
      <c r="A18" s="52" t="s">
        <v>81</v>
      </c>
      <c r="B18" s="54"/>
      <c r="C18" s="54"/>
      <c r="D18" s="53"/>
      <c r="E18" s="53"/>
      <c r="F18" s="57"/>
      <c r="G18" s="57"/>
      <c r="H18" s="57"/>
      <c r="I18" s="53"/>
      <c r="J18" s="57"/>
      <c r="K18" s="206"/>
      <c r="L18" s="208"/>
      <c r="M18" s="208"/>
    </row>
    <row r="19" spans="1:13" ht="15.5">
      <c r="A19" s="52"/>
      <c r="B19" s="54" t="s">
        <v>72</v>
      </c>
      <c r="C19" s="54"/>
      <c r="D19" s="55">
        <f>'CY 2019-2020 forecast'!AQ34</f>
        <v>4081.8333333333335</v>
      </c>
      <c r="E19" s="56">
        <f>'VGS rates'!BI11</f>
        <v>1.2032</v>
      </c>
      <c r="F19" s="57">
        <f>E19*$D19*365</f>
        <v>1792610.5813333334</v>
      </c>
      <c r="G19" s="57"/>
      <c r="H19" s="57"/>
      <c r="I19" s="56">
        <f>'VGS rates'!BM11</f>
        <v>1.2632000000000001</v>
      </c>
      <c r="J19" s="57">
        <f>I19*$D19*365</f>
        <v>1882002.7313333335</v>
      </c>
      <c r="K19" s="205">
        <f>J19/F19-1</f>
        <v>4.9867021276595924E-2</v>
      </c>
      <c r="L19" s="203"/>
      <c r="M19" s="203"/>
    </row>
    <row r="20" spans="1:13" ht="15.5">
      <c r="A20" s="52"/>
      <c r="B20" s="54" t="s">
        <v>73</v>
      </c>
      <c r="C20" s="54"/>
      <c r="D20" s="55"/>
      <c r="E20" s="58">
        <f>E19*365/12</f>
        <v>36.597333333333331</v>
      </c>
      <c r="F20" s="57"/>
      <c r="G20" s="57"/>
      <c r="H20" s="57"/>
      <c r="I20" s="58">
        <f>I19*365/12</f>
        <v>38.422333333333334</v>
      </c>
      <c r="J20" s="57"/>
      <c r="K20" s="206"/>
      <c r="L20" s="203"/>
      <c r="M20" s="203"/>
    </row>
    <row r="21" spans="1:13" ht="15.5">
      <c r="A21" s="52"/>
      <c r="B21" s="54" t="s">
        <v>74</v>
      </c>
      <c r="C21" s="54"/>
      <c r="D21" s="55">
        <f>'CY 2019-2020 forecast'!AQ21</f>
        <v>618676</v>
      </c>
      <c r="E21" s="56">
        <f>'VGS rates'!BI12</f>
        <v>0.40210000000000001</v>
      </c>
      <c r="F21" s="57">
        <f>E21*10*$D21</f>
        <v>2487696.196</v>
      </c>
      <c r="G21" s="57"/>
      <c r="H21" s="57"/>
      <c r="I21" s="56">
        <f>'VGS rates'!BM12</f>
        <v>0.40210000000000001</v>
      </c>
      <c r="J21" s="57">
        <f>I21*10*$D21</f>
        <v>2487696.196</v>
      </c>
      <c r="K21" s="206">
        <f>J21/F21-1</f>
        <v>0</v>
      </c>
      <c r="L21" s="203"/>
      <c r="M21" s="203"/>
    </row>
    <row r="22" spans="1:13" ht="15.5">
      <c r="A22" s="52"/>
      <c r="B22" s="54" t="s">
        <v>75</v>
      </c>
      <c r="C22" s="54"/>
      <c r="D22" s="53"/>
      <c r="E22" s="56">
        <f>'VGS rates'!BI13</f>
        <v>0.48199999999999998</v>
      </c>
      <c r="F22" s="57">
        <f>E22*10*$D21</f>
        <v>2982018.3200000003</v>
      </c>
      <c r="G22" s="57"/>
      <c r="H22" s="57"/>
      <c r="I22" s="56">
        <f>'VGS rates'!BM13</f>
        <v>0.50600000000000001</v>
      </c>
      <c r="J22" s="57">
        <f>I22*10*$D21</f>
        <v>3130500.5600000005</v>
      </c>
      <c r="K22" s="206">
        <f>J22/F22-1</f>
        <v>4.9792531120331995E-2</v>
      </c>
      <c r="L22" s="203"/>
      <c r="M22" s="203"/>
    </row>
    <row r="23" spans="1:13" ht="15.5">
      <c r="A23" s="52"/>
      <c r="B23" s="54" t="s">
        <v>76</v>
      </c>
      <c r="C23" s="54"/>
      <c r="D23" s="53"/>
      <c r="E23" s="56"/>
      <c r="F23" s="57">
        <f>SUM(F19:F22)</f>
        <v>7262325.0973333335</v>
      </c>
      <c r="G23" s="57"/>
      <c r="H23" s="57"/>
      <c r="I23" s="56"/>
      <c r="J23" s="57">
        <f>SUM(J19:J22)</f>
        <v>7500199.4873333341</v>
      </c>
      <c r="K23" s="206">
        <f>J23/F23-1</f>
        <v>3.2754577468219637E-2</v>
      </c>
      <c r="L23" s="203"/>
      <c r="M23" s="203"/>
    </row>
    <row r="24" spans="1:13" ht="15.5">
      <c r="A24" s="52"/>
      <c r="B24" s="54" t="s">
        <v>77</v>
      </c>
      <c r="C24" s="54"/>
      <c r="D24" s="53"/>
      <c r="E24" s="56">
        <f>'VGS rates'!BI15</f>
        <v>0.16</v>
      </c>
      <c r="F24" s="57">
        <f>E24*$D19*12</f>
        <v>7837.1200000000008</v>
      </c>
      <c r="G24" s="57"/>
      <c r="H24" s="57"/>
      <c r="I24" s="56">
        <f>'VGS rates'!BM15</f>
        <v>0.16</v>
      </c>
      <c r="J24" s="57">
        <f>I24*$D19*12</f>
        <v>7837.1200000000008</v>
      </c>
      <c r="K24" s="206">
        <f>J24/F24-1</f>
        <v>0</v>
      </c>
      <c r="L24" s="203"/>
      <c r="M24" s="203"/>
    </row>
    <row r="25" spans="1:13" ht="15.5">
      <c r="A25" s="52"/>
      <c r="B25" s="54" t="s">
        <v>78</v>
      </c>
      <c r="C25" s="54"/>
      <c r="D25" s="53"/>
      <c r="E25" s="56"/>
      <c r="F25" s="57">
        <f>F24+F23</f>
        <v>7270162.2173333336</v>
      </c>
      <c r="G25" s="57"/>
      <c r="H25" s="57"/>
      <c r="I25" s="56"/>
      <c r="J25" s="57">
        <f>J24+J23</f>
        <v>7508036.6073333342</v>
      </c>
      <c r="K25" s="206"/>
      <c r="L25" s="203"/>
      <c r="M25" s="203"/>
    </row>
    <row r="26" spans="1:13" ht="15.5">
      <c r="A26" s="52"/>
      <c r="B26" s="54" t="s">
        <v>79</v>
      </c>
      <c r="C26" s="54"/>
      <c r="D26" s="53"/>
      <c r="E26" s="56">
        <f>'VGS rates'!BI14</f>
        <v>4.5400000000000003E-2</v>
      </c>
      <c r="F26" s="57">
        <f>E26*10*$D21</f>
        <v>280878.90399999998</v>
      </c>
      <c r="G26" s="57"/>
      <c r="H26" s="57"/>
      <c r="I26" s="56">
        <f>'VGS rates'!BM14</f>
        <v>4.6789999999999998E-2</v>
      </c>
      <c r="J26" s="57">
        <f>I26*10*$D21</f>
        <v>289478.50039999996</v>
      </c>
      <c r="K26" s="206">
        <f>J26/F26-1</f>
        <v>3.0616740088105665E-2</v>
      </c>
      <c r="L26" s="210"/>
      <c r="M26" s="203"/>
    </row>
    <row r="27" spans="1:13" ht="15.5">
      <c r="A27" s="52"/>
      <c r="B27" s="54" t="s">
        <v>82</v>
      </c>
      <c r="C27" s="54"/>
      <c r="D27" s="53"/>
      <c r="E27" s="53"/>
      <c r="F27" s="57">
        <f>F26+F25</f>
        <v>7551041.1213333337</v>
      </c>
      <c r="G27" s="57"/>
      <c r="H27" s="57"/>
      <c r="I27" s="53"/>
      <c r="J27" s="57">
        <f>J26+J25</f>
        <v>7797515.1077333344</v>
      </c>
      <c r="K27" s="206">
        <f>J27/F27-1</f>
        <v>3.2641060012725598E-2</v>
      </c>
      <c r="L27" s="203"/>
      <c r="M27" s="203"/>
    </row>
    <row r="28" spans="1:13" ht="15.5">
      <c r="A28" s="52"/>
      <c r="B28" s="54"/>
      <c r="C28" s="54"/>
      <c r="D28" s="53"/>
      <c r="E28" s="53"/>
      <c r="F28" s="57"/>
      <c r="G28" s="57"/>
      <c r="H28" s="57"/>
      <c r="I28" s="53"/>
      <c r="J28" s="57"/>
      <c r="K28" s="206"/>
      <c r="L28" s="203"/>
      <c r="M28" s="203"/>
    </row>
    <row r="29" spans="1:13" ht="15.5">
      <c r="A29" s="52" t="s">
        <v>83</v>
      </c>
      <c r="B29" s="54"/>
      <c r="C29" s="54"/>
      <c r="D29" s="53"/>
      <c r="E29" s="53"/>
      <c r="F29" s="57"/>
      <c r="G29" s="57"/>
      <c r="H29" s="57"/>
      <c r="I29" s="53"/>
      <c r="J29" s="57"/>
      <c r="K29" s="206"/>
      <c r="L29" s="203"/>
      <c r="M29" s="203"/>
    </row>
    <row r="30" spans="1:13" ht="15.5">
      <c r="A30" s="52"/>
      <c r="B30" s="54" t="s">
        <v>72</v>
      </c>
      <c r="C30" s="54"/>
      <c r="D30" s="55">
        <f>'CY 2019-2020 forecast'!AQ35</f>
        <v>988.25</v>
      </c>
      <c r="E30" s="56">
        <f>'VGS rates'!BI18</f>
        <v>1.2032</v>
      </c>
      <c r="F30" s="57">
        <f>E30*$D30*365</f>
        <v>434007.77600000001</v>
      </c>
      <c r="G30" s="57"/>
      <c r="H30" s="57"/>
      <c r="I30" s="56">
        <f>'VGS rates'!BM18</f>
        <v>1.2632000000000001</v>
      </c>
      <c r="J30" s="57">
        <f>I30*$D30*365</f>
        <v>455650.45100000006</v>
      </c>
      <c r="K30" s="205">
        <f>J30/F30-1</f>
        <v>4.9867021276595924E-2</v>
      </c>
      <c r="L30" s="203"/>
      <c r="M30" s="203"/>
    </row>
    <row r="31" spans="1:13" ht="15.5">
      <c r="A31" s="52"/>
      <c r="B31" s="54" t="s">
        <v>73</v>
      </c>
      <c r="C31" s="54"/>
      <c r="D31" s="55"/>
      <c r="E31" s="58">
        <f>E30*365/12</f>
        <v>36.597333333333331</v>
      </c>
      <c r="F31" s="57"/>
      <c r="G31" s="57"/>
      <c r="H31" s="57"/>
      <c r="I31" s="58">
        <f>I30*365/12</f>
        <v>38.422333333333334</v>
      </c>
      <c r="J31" s="57"/>
      <c r="K31" s="206"/>
      <c r="L31" s="203"/>
      <c r="M31" s="203"/>
    </row>
    <row r="32" spans="1:13" ht="15.5">
      <c r="A32" s="52"/>
      <c r="B32" s="54" t="s">
        <v>74</v>
      </c>
      <c r="C32" s="54"/>
      <c r="D32" s="55">
        <f>'CY 2019-2020 forecast'!AQ22</f>
        <v>198855</v>
      </c>
      <c r="E32" s="56">
        <f>'VGS rates'!BI19</f>
        <v>0.29709999999999998</v>
      </c>
      <c r="F32" s="57">
        <f>E32*10*$D32</f>
        <v>590798.20499999996</v>
      </c>
      <c r="G32" s="57"/>
      <c r="H32" s="57"/>
      <c r="I32" s="56">
        <f>'VGS rates'!BM19</f>
        <v>0.29709999999999998</v>
      </c>
      <c r="J32" s="57">
        <f>I32*10*$D32</f>
        <v>590798.20499999996</v>
      </c>
      <c r="K32" s="206">
        <f>J32/F32-1</f>
        <v>0</v>
      </c>
      <c r="L32" s="203"/>
      <c r="M32" s="203"/>
    </row>
    <row r="33" spans="1:13" ht="15.5">
      <c r="A33" s="52"/>
      <c r="B33" s="54" t="s">
        <v>75</v>
      </c>
      <c r="C33" s="54"/>
      <c r="D33" s="53"/>
      <c r="E33" s="56">
        <f>'VGS rates'!BI20</f>
        <v>0.4012</v>
      </c>
      <c r="F33" s="57">
        <f>E33*10*$D32</f>
        <v>797806.26000000013</v>
      </c>
      <c r="G33" s="57"/>
      <c r="H33" s="57"/>
      <c r="I33" s="56">
        <f>'VGS rates'!BM20</f>
        <v>0.42120000000000002</v>
      </c>
      <c r="J33" s="57">
        <f>I33*10*$D32</f>
        <v>837577.25999999989</v>
      </c>
      <c r="K33" s="206">
        <f>J33/F33-1</f>
        <v>4.9850448654037649E-2</v>
      </c>
      <c r="L33" s="203"/>
      <c r="M33" s="203"/>
    </row>
    <row r="34" spans="1:13" ht="15.5">
      <c r="A34" s="52"/>
      <c r="B34" s="54" t="s">
        <v>76</v>
      </c>
      <c r="C34" s="54"/>
      <c r="D34" s="53"/>
      <c r="E34" s="56"/>
      <c r="F34" s="57">
        <f>SUM(F30:F33)</f>
        <v>1822612.2409999999</v>
      </c>
      <c r="G34" s="57"/>
      <c r="H34" s="57"/>
      <c r="I34" s="56"/>
      <c r="J34" s="57">
        <f>SUM(J30:J33)</f>
        <v>1884025.9159999997</v>
      </c>
      <c r="K34" s="206">
        <f>J34/F34-1</f>
        <v>3.3695414536612844E-2</v>
      </c>
      <c r="L34" s="203"/>
      <c r="M34" s="203"/>
    </row>
    <row r="35" spans="1:13" ht="15.5">
      <c r="A35" s="52"/>
      <c r="B35" s="54" t="s">
        <v>77</v>
      </c>
      <c r="C35" s="54"/>
      <c r="D35" s="53"/>
      <c r="E35" s="56">
        <f>'VGS rates'!BI22</f>
        <v>0.16</v>
      </c>
      <c r="F35" s="57">
        <f>E35*$D30*12</f>
        <v>1897.44</v>
      </c>
      <c r="G35" s="57"/>
      <c r="H35" s="57"/>
      <c r="I35" s="56">
        <f>'VGS rates'!BM22</f>
        <v>0.6</v>
      </c>
      <c r="J35" s="57">
        <f>I35*$D30*12</f>
        <v>7115.4</v>
      </c>
      <c r="K35" s="206">
        <f>J35/F35-1</f>
        <v>2.7499999999999996</v>
      </c>
      <c r="L35" s="203"/>
      <c r="M35" s="203"/>
    </row>
    <row r="36" spans="1:13" ht="15.5">
      <c r="A36" s="52"/>
      <c r="B36" s="54" t="s">
        <v>78</v>
      </c>
      <c r="C36" s="54"/>
      <c r="D36" s="53"/>
      <c r="E36" s="56"/>
      <c r="F36" s="57">
        <f>F35+F34</f>
        <v>1824509.6809999999</v>
      </c>
      <c r="G36" s="57"/>
      <c r="H36" s="57"/>
      <c r="I36" s="56"/>
      <c r="J36" s="57">
        <f>J35+J34</f>
        <v>1891141.3159999996</v>
      </c>
      <c r="K36" s="206"/>
      <c r="L36" s="203"/>
      <c r="M36" s="203"/>
    </row>
    <row r="37" spans="1:13" ht="15.5">
      <c r="A37" s="52"/>
      <c r="B37" s="54" t="s">
        <v>79</v>
      </c>
      <c r="C37" s="54"/>
      <c r="D37" s="53"/>
      <c r="E37" s="56">
        <f>'VGS rates'!BI21</f>
        <v>3.5200000000000002E-2</v>
      </c>
      <c r="F37" s="57">
        <f>E37*10*$D32</f>
        <v>69996.960000000006</v>
      </c>
      <c r="G37" s="57"/>
      <c r="H37" s="57"/>
      <c r="I37" s="56">
        <f>'VGS rates'!BM21</f>
        <v>3.628E-2</v>
      </c>
      <c r="J37" s="57">
        <f>I37*10*$D32</f>
        <v>72144.593999999997</v>
      </c>
      <c r="K37" s="206">
        <f>J37/F37-1</f>
        <v>3.0681818181818032E-2</v>
      </c>
      <c r="L37" s="203"/>
      <c r="M37" s="203"/>
    </row>
    <row r="38" spans="1:13" ht="15.5">
      <c r="A38" s="52"/>
      <c r="B38" s="54" t="s">
        <v>84</v>
      </c>
      <c r="C38" s="54"/>
      <c r="D38" s="53"/>
      <c r="E38" s="53"/>
      <c r="F38" s="57">
        <f>F37+F36</f>
        <v>1894506.6409999998</v>
      </c>
      <c r="G38" s="57"/>
      <c r="H38" s="57"/>
      <c r="I38" s="53"/>
      <c r="J38" s="57">
        <f>J37+J36</f>
        <v>1963285.9099999997</v>
      </c>
      <c r="K38" s="206">
        <f>J38/F38-1</f>
        <v>3.6304580576025369E-2</v>
      </c>
      <c r="L38" s="203"/>
      <c r="M38" s="203"/>
    </row>
    <row r="39" spans="1:13" ht="15.5">
      <c r="A39" s="52"/>
      <c r="B39" s="54"/>
      <c r="C39" s="54"/>
      <c r="D39" s="53"/>
      <c r="E39" s="53"/>
      <c r="F39" s="57"/>
      <c r="G39" s="57"/>
      <c r="H39" s="57"/>
      <c r="I39" s="53"/>
      <c r="J39" s="57"/>
      <c r="K39" s="206"/>
      <c r="L39" s="203"/>
      <c r="M39" s="203"/>
    </row>
    <row r="40" spans="1:13" ht="15.5">
      <c r="A40" s="52" t="s">
        <v>85</v>
      </c>
      <c r="B40" s="54"/>
      <c r="C40" s="54"/>
      <c r="D40" s="53"/>
      <c r="E40" s="53"/>
      <c r="F40" s="57"/>
      <c r="G40" s="57"/>
      <c r="H40" s="57"/>
      <c r="I40" s="53"/>
      <c r="J40" s="57"/>
      <c r="K40" s="206"/>
      <c r="L40" s="203"/>
      <c r="M40" s="203"/>
    </row>
    <row r="41" spans="1:13" ht="15.5">
      <c r="A41" s="52"/>
      <c r="B41" s="54" t="s">
        <v>72</v>
      </c>
      <c r="C41" s="54"/>
      <c r="D41" s="55">
        <f>'CY 2019-2020 forecast'!AQ36</f>
        <v>483.83333333333331</v>
      </c>
      <c r="E41" s="56">
        <f>'VGS rates'!BI25</f>
        <v>3.8388</v>
      </c>
      <c r="F41" s="57">
        <f>E41*$D41*365</f>
        <v>677928.88099999994</v>
      </c>
      <c r="G41" s="57"/>
      <c r="H41" s="57"/>
      <c r="I41" s="56">
        <f>'VGS rates'!BM25</f>
        <v>4.0303000000000004</v>
      </c>
      <c r="J41" s="57">
        <f>I41*$D41*365</f>
        <v>711747.62141666666</v>
      </c>
      <c r="K41" s="205">
        <f>J41/F41-1</f>
        <v>4.9885380848181837E-2</v>
      </c>
      <c r="L41" s="203"/>
      <c r="M41" s="203"/>
    </row>
    <row r="42" spans="1:13" ht="15.5">
      <c r="A42" s="52"/>
      <c r="B42" s="54" t="s">
        <v>73</v>
      </c>
      <c r="C42" s="54"/>
      <c r="D42" s="55"/>
      <c r="E42" s="58">
        <f>E41*365/12</f>
        <v>116.76350000000001</v>
      </c>
      <c r="F42" s="57"/>
      <c r="G42" s="57"/>
      <c r="H42" s="57"/>
      <c r="I42" s="58">
        <f>I41*365/12</f>
        <v>122.58829166666668</v>
      </c>
      <c r="J42" s="57"/>
      <c r="K42" s="206"/>
      <c r="L42" s="203"/>
      <c r="M42" s="203"/>
    </row>
    <row r="43" spans="1:13" ht="15.5">
      <c r="A43" s="52"/>
      <c r="B43" s="54" t="s">
        <v>74</v>
      </c>
      <c r="C43" s="54"/>
      <c r="D43" s="55">
        <f>'CY 2019-2020 forecast'!AQ23</f>
        <v>689915</v>
      </c>
      <c r="E43" s="56">
        <f>'VGS rates'!BI26</f>
        <v>0.3891</v>
      </c>
      <c r="F43" s="57">
        <f>E43*10*$D43</f>
        <v>2684459.2650000001</v>
      </c>
      <c r="G43" s="57"/>
      <c r="H43" s="57"/>
      <c r="I43" s="56">
        <f>'VGS rates'!BM26</f>
        <v>0.3891</v>
      </c>
      <c r="J43" s="57">
        <f>I43*10*$D43</f>
        <v>2684459.2650000001</v>
      </c>
      <c r="K43" s="206">
        <f>J43/F43-1</f>
        <v>0</v>
      </c>
      <c r="L43" s="203"/>
      <c r="M43" s="203"/>
    </row>
    <row r="44" spans="1:13" ht="15.5">
      <c r="A44" s="52"/>
      <c r="B44" s="54" t="s">
        <v>75</v>
      </c>
      <c r="C44" s="54"/>
      <c r="D44" s="53"/>
      <c r="E44" s="56">
        <f>'VGS rates'!BI27</f>
        <v>0.36969999999999997</v>
      </c>
      <c r="F44" s="57">
        <f>E44*10*$D43</f>
        <v>2550615.7549999999</v>
      </c>
      <c r="G44" s="57"/>
      <c r="H44" s="57"/>
      <c r="I44" s="56">
        <f>'VGS rates'!BM27</f>
        <v>0.3881</v>
      </c>
      <c r="J44" s="57">
        <f>I44*10*$D43</f>
        <v>2677560.1150000002</v>
      </c>
      <c r="K44" s="206">
        <f>J44/F44-1</f>
        <v>4.977008385177184E-2</v>
      </c>
      <c r="L44" s="203"/>
      <c r="M44" s="203"/>
    </row>
    <row r="45" spans="1:13" ht="15.5">
      <c r="A45" s="52"/>
      <c r="B45" s="54" t="s">
        <v>76</v>
      </c>
      <c r="C45" s="54"/>
      <c r="D45" s="53"/>
      <c r="E45" s="56"/>
      <c r="F45" s="57">
        <f>SUM(F41:F44)</f>
        <v>5913003.9010000005</v>
      </c>
      <c r="G45" s="57"/>
      <c r="H45" s="57"/>
      <c r="I45" s="56"/>
      <c r="J45" s="57">
        <f>SUM(J41:J44)</f>
        <v>6073767.0014166664</v>
      </c>
      <c r="K45" s="206">
        <f>J45/F45-1</f>
        <v>2.718805925182588E-2</v>
      </c>
      <c r="L45" s="203"/>
      <c r="M45" s="203"/>
    </row>
    <row r="46" spans="1:13" ht="15.5">
      <c r="A46" s="52"/>
      <c r="B46" s="54" t="s">
        <v>77</v>
      </c>
      <c r="C46" s="54"/>
      <c r="D46" s="53"/>
      <c r="E46" s="56">
        <f>'VGS rates'!BI29</f>
        <v>1.05</v>
      </c>
      <c r="F46" s="57">
        <f>E46*$D41*12</f>
        <v>6096.2999999999993</v>
      </c>
      <c r="G46" s="57"/>
      <c r="H46" s="57"/>
      <c r="I46" s="56">
        <f>'VGS rates'!BM29</f>
        <v>1.05</v>
      </c>
      <c r="J46" s="57">
        <f>I46*$D41*12</f>
        <v>6096.2999999999993</v>
      </c>
      <c r="K46" s="206">
        <f>J46/F46-1</f>
        <v>0</v>
      </c>
      <c r="L46" s="203"/>
      <c r="M46" s="203"/>
    </row>
    <row r="47" spans="1:13" ht="15.5">
      <c r="A47" s="52"/>
      <c r="B47" s="54" t="s">
        <v>78</v>
      </c>
      <c r="C47" s="54"/>
      <c r="D47" s="53"/>
      <c r="E47" s="56"/>
      <c r="F47" s="57">
        <f>F46+F45</f>
        <v>5919100.2010000004</v>
      </c>
      <c r="G47" s="57"/>
      <c r="H47" s="57"/>
      <c r="I47" s="56"/>
      <c r="J47" s="57">
        <f>J46+J45</f>
        <v>6079863.3014166662</v>
      </c>
      <c r="K47" s="206"/>
      <c r="L47" s="203"/>
      <c r="M47" s="203"/>
    </row>
    <row r="48" spans="1:13" ht="15.5">
      <c r="A48" s="52"/>
      <c r="B48" s="54" t="s">
        <v>79</v>
      </c>
      <c r="C48" s="54"/>
      <c r="D48" s="53"/>
      <c r="E48" s="56">
        <f>'VGS rates'!BI28</f>
        <v>3.5400000000000001E-2</v>
      </c>
      <c r="F48" s="57">
        <f>E48*10*$D43</f>
        <v>244229.90999999997</v>
      </c>
      <c r="G48" s="57"/>
      <c r="H48" s="57"/>
      <c r="I48" s="56">
        <f>'VGS rates'!BM28</f>
        <v>3.6490000000000002E-2</v>
      </c>
      <c r="J48" s="57">
        <f>I48*10*$D43</f>
        <v>251749.9835</v>
      </c>
      <c r="K48" s="206">
        <f>J48/F48-1</f>
        <v>3.07909604519776E-2</v>
      </c>
      <c r="L48" s="203"/>
      <c r="M48" s="203"/>
    </row>
    <row r="49" spans="1:13" ht="15.5">
      <c r="A49" s="52"/>
      <c r="B49" s="54" t="s">
        <v>86</v>
      </c>
      <c r="C49" s="54"/>
      <c r="D49" s="53"/>
      <c r="E49" s="53"/>
      <c r="F49" s="57">
        <f>F48+F47</f>
        <v>6163330.1110000005</v>
      </c>
      <c r="G49" s="57"/>
      <c r="H49" s="57"/>
      <c r="I49" s="53"/>
      <c r="J49" s="57">
        <f>J48+J47</f>
        <v>6331613.2849166663</v>
      </c>
      <c r="K49" s="206">
        <f>J49/F49-1</f>
        <v>2.7303936489840641E-2</v>
      </c>
      <c r="L49" s="203"/>
      <c r="M49" s="203"/>
    </row>
    <row r="50" spans="1:13" ht="15.5">
      <c r="A50" s="52"/>
      <c r="B50" s="54"/>
      <c r="C50" s="54"/>
      <c r="D50" s="53"/>
      <c r="E50" s="53"/>
      <c r="F50" s="57"/>
      <c r="G50" s="57"/>
      <c r="H50" s="57"/>
      <c r="I50" s="53"/>
      <c r="J50" s="57"/>
      <c r="K50" s="206"/>
      <c r="L50" s="203"/>
      <c r="M50" s="203"/>
    </row>
    <row r="51" spans="1:13" ht="15.5">
      <c r="A51" s="52" t="s">
        <v>87</v>
      </c>
      <c r="B51" s="54"/>
      <c r="C51" s="54"/>
      <c r="D51" s="53"/>
      <c r="E51" s="53"/>
      <c r="F51" s="57"/>
      <c r="G51" s="57"/>
      <c r="H51" s="57"/>
      <c r="I51" s="53"/>
      <c r="J51" s="57"/>
      <c r="K51" s="206"/>
      <c r="L51" s="203"/>
      <c r="M51" s="203"/>
    </row>
    <row r="52" spans="1:13" ht="15.5">
      <c r="A52" s="52"/>
      <c r="B52" s="54" t="s">
        <v>72</v>
      </c>
      <c r="C52" s="54"/>
      <c r="D52" s="55">
        <f>'CY 2019-2020 forecast'!AQ37</f>
        <v>540.08333333333337</v>
      </c>
      <c r="E52" s="56">
        <f>'VGS rates'!BI32</f>
        <v>3.8388</v>
      </c>
      <c r="F52" s="57">
        <f>E52*$D52*365</f>
        <v>756744.2435000001</v>
      </c>
      <c r="G52" s="57"/>
      <c r="H52" s="57"/>
      <c r="I52" s="56">
        <f>'VGS rates'!BM32</f>
        <v>4.0303000000000004</v>
      </c>
      <c r="J52" s="57">
        <f>I52*$D52*365</f>
        <v>794494.71829166682</v>
      </c>
      <c r="K52" s="205">
        <f>J52/F52-1</f>
        <v>4.9885380848181837E-2</v>
      </c>
      <c r="L52" s="203"/>
      <c r="M52" s="203"/>
    </row>
    <row r="53" spans="1:13" ht="15.5">
      <c r="A53" s="52"/>
      <c r="B53" s="54" t="s">
        <v>73</v>
      </c>
      <c r="C53" s="54"/>
      <c r="D53" s="55"/>
      <c r="E53" s="58">
        <f>E52*365/12</f>
        <v>116.76350000000001</v>
      </c>
      <c r="F53" s="57"/>
      <c r="G53" s="57"/>
      <c r="H53" s="57"/>
      <c r="I53" s="58">
        <f>I52*365/12</f>
        <v>122.58829166666668</v>
      </c>
      <c r="J53" s="57"/>
      <c r="K53" s="206"/>
      <c r="L53" s="203"/>
      <c r="M53" s="203"/>
    </row>
    <row r="54" spans="1:13" ht="15.5">
      <c r="A54" s="52"/>
      <c r="B54" s="54" t="s">
        <v>74</v>
      </c>
      <c r="C54" s="54"/>
      <c r="D54" s="55">
        <f>'CY 2019-2020 forecast'!AQ24</f>
        <v>1474081</v>
      </c>
      <c r="E54" s="56">
        <f>'VGS rates'!BI33</f>
        <v>0.29659999999999997</v>
      </c>
      <c r="F54" s="57">
        <f>E54*10*$D54</f>
        <v>4372124.2459999993</v>
      </c>
      <c r="G54" s="57"/>
      <c r="H54" s="57"/>
      <c r="I54" s="56">
        <f>'VGS rates'!BM33</f>
        <v>0.29659999999999997</v>
      </c>
      <c r="J54" s="57">
        <f>I54*10*$D54</f>
        <v>4372124.2459999993</v>
      </c>
      <c r="K54" s="206">
        <f>J54/F54-1</f>
        <v>0</v>
      </c>
      <c r="L54" s="203"/>
      <c r="M54" s="203"/>
    </row>
    <row r="55" spans="1:13" ht="15.5">
      <c r="A55" s="52"/>
      <c r="B55" s="54" t="s">
        <v>75</v>
      </c>
      <c r="C55" s="54"/>
      <c r="D55" s="53"/>
      <c r="E55" s="56">
        <f>'VGS rates'!BI34</f>
        <v>0.31080000000000002</v>
      </c>
      <c r="F55" s="57">
        <f>E55*10*$D54</f>
        <v>4581443.7480000006</v>
      </c>
      <c r="G55" s="57"/>
      <c r="H55" s="57"/>
      <c r="I55" s="56">
        <f>'VGS rates'!BM34</f>
        <v>0.32629999999999998</v>
      </c>
      <c r="J55" s="57">
        <f>I55*10*$D54</f>
        <v>4809926.3030000003</v>
      </c>
      <c r="K55" s="206">
        <f>J55/F55-1</f>
        <v>4.987129987129979E-2</v>
      </c>
      <c r="L55" s="203"/>
      <c r="M55" s="203"/>
    </row>
    <row r="56" spans="1:13" ht="15.5">
      <c r="A56" s="52"/>
      <c r="B56" s="54" t="s">
        <v>76</v>
      </c>
      <c r="C56" s="54"/>
      <c r="D56" s="53"/>
      <c r="E56" s="56"/>
      <c r="F56" s="57">
        <f>SUM(F52:F55)</f>
        <v>9710312.2375000007</v>
      </c>
      <c r="G56" s="57"/>
      <c r="H56" s="57"/>
      <c r="I56" s="56"/>
      <c r="J56" s="57">
        <f>SUM(J52:J55)</f>
        <v>9976545.2672916651</v>
      </c>
      <c r="K56" s="206">
        <f>J56/F56-1</f>
        <v>2.7417556024975864E-2</v>
      </c>
      <c r="L56" s="203"/>
      <c r="M56" s="203"/>
    </row>
    <row r="57" spans="1:13" ht="15.5">
      <c r="A57" s="52"/>
      <c r="B57" s="54" t="s">
        <v>77</v>
      </c>
      <c r="C57" s="54"/>
      <c r="D57" s="53"/>
      <c r="E57" s="56">
        <f>'VGS rates'!BI36</f>
        <v>1.47</v>
      </c>
      <c r="F57" s="57">
        <f>E57*$D52*12</f>
        <v>9527.07</v>
      </c>
      <c r="G57" s="57"/>
      <c r="H57" s="57"/>
      <c r="I57" s="56">
        <f>'VGS rates'!BM36</f>
        <v>1.47</v>
      </c>
      <c r="J57" s="57">
        <f>I57*$D52*12</f>
        <v>9527.07</v>
      </c>
      <c r="K57" s="206">
        <f>J57/F57-1</f>
        <v>0</v>
      </c>
      <c r="L57" s="203"/>
      <c r="M57" s="203"/>
    </row>
    <row r="58" spans="1:13" ht="15.5">
      <c r="A58" s="52"/>
      <c r="B58" s="54" t="s">
        <v>78</v>
      </c>
      <c r="C58" s="54"/>
      <c r="D58" s="53"/>
      <c r="E58" s="56"/>
      <c r="F58" s="57">
        <f>F57+F56</f>
        <v>9719839.307500001</v>
      </c>
      <c r="G58" s="57"/>
      <c r="H58" s="57"/>
      <c r="I58" s="56"/>
      <c r="J58" s="57">
        <f>J57+J56</f>
        <v>9986072.3372916654</v>
      </c>
      <c r="K58" s="206"/>
      <c r="L58" s="203"/>
      <c r="M58" s="203"/>
    </row>
    <row r="59" spans="1:13" ht="15.5">
      <c r="A59" s="52"/>
      <c r="B59" s="54" t="s">
        <v>79</v>
      </c>
      <c r="C59" s="54"/>
      <c r="D59" s="53"/>
      <c r="E59" s="56">
        <f>'VGS rates'!BI35</f>
        <v>2.7300000000000001E-2</v>
      </c>
      <c r="F59" s="57">
        <f>E59*10*$D54</f>
        <v>402424.11300000001</v>
      </c>
      <c r="G59" s="57"/>
      <c r="H59" s="57"/>
      <c r="I59" s="56">
        <f>'VGS rates'!BM35</f>
        <v>2.8139999999999998E-2</v>
      </c>
      <c r="J59" s="57">
        <f>I59*10*$D54</f>
        <v>414806.3934</v>
      </c>
      <c r="K59" s="206">
        <f>J59/F59-1</f>
        <v>3.076923076923066E-2</v>
      </c>
      <c r="L59" s="203"/>
      <c r="M59" s="203"/>
    </row>
    <row r="60" spans="1:13" ht="15.5">
      <c r="A60" s="52"/>
      <c r="B60" s="54" t="s">
        <v>88</v>
      </c>
      <c r="C60" s="54"/>
      <c r="D60" s="53"/>
      <c r="E60" s="53"/>
      <c r="F60" s="57">
        <f>F59+F58</f>
        <v>10122263.420500001</v>
      </c>
      <c r="G60" s="57"/>
      <c r="H60" s="57"/>
      <c r="I60" s="53"/>
      <c r="J60" s="57">
        <f>J59+J58</f>
        <v>10400878.730691666</v>
      </c>
      <c r="K60" s="206">
        <f>J60/F60-1</f>
        <v>2.7525000942714373E-2</v>
      </c>
      <c r="L60" s="203"/>
      <c r="M60" s="203"/>
    </row>
    <row r="61" spans="1:13" ht="15.5">
      <c r="A61" s="52"/>
      <c r="B61" s="54"/>
      <c r="C61" s="54"/>
      <c r="D61" s="53"/>
      <c r="E61" s="53"/>
      <c r="F61" s="57"/>
      <c r="G61" s="57"/>
      <c r="H61" s="57"/>
      <c r="I61" s="53"/>
      <c r="J61" s="57"/>
      <c r="K61" s="206"/>
      <c r="L61" s="203"/>
      <c r="M61" s="203"/>
    </row>
    <row r="62" spans="1:13" ht="15.5">
      <c r="A62" s="52"/>
      <c r="B62" s="54" t="s">
        <v>89</v>
      </c>
      <c r="C62" s="54"/>
      <c r="D62" s="53"/>
      <c r="E62" s="53"/>
      <c r="F62" s="57">
        <f>F12+F23+F34+F45+F56</f>
        <v>75217685.735333323</v>
      </c>
      <c r="G62" s="57"/>
      <c r="H62" s="57"/>
      <c r="I62" s="53"/>
      <c r="J62" s="57">
        <f>J12+J23+J34+J45+J56</f>
        <v>77784334.804291666</v>
      </c>
      <c r="K62" s="206">
        <f>J62/F62-1</f>
        <v>3.4122946536663479E-2</v>
      </c>
      <c r="L62" s="203"/>
      <c r="M62" s="203"/>
    </row>
    <row r="63" spans="1:13" ht="15.5">
      <c r="A63" s="52"/>
      <c r="B63" s="54" t="s">
        <v>97</v>
      </c>
      <c r="C63" s="54"/>
      <c r="D63" s="53"/>
      <c r="E63" s="53"/>
      <c r="F63" s="57">
        <f>F13+F24+F35+F46+F57</f>
        <v>87834.51999999999</v>
      </c>
      <c r="G63" s="57"/>
      <c r="H63" s="57"/>
      <c r="I63" s="53"/>
      <c r="J63" s="57">
        <f>J13+J24+J35+J46+J57</f>
        <v>93052.479999999981</v>
      </c>
      <c r="K63" s="206">
        <f>J63/F63-1</f>
        <v>5.9406711620897834E-2</v>
      </c>
      <c r="L63" s="203"/>
      <c r="M63" s="203"/>
    </row>
    <row r="64" spans="1:13" ht="15.5">
      <c r="A64" s="52"/>
      <c r="B64" s="54" t="s">
        <v>98</v>
      </c>
      <c r="C64" s="54"/>
      <c r="D64" s="53"/>
      <c r="E64" s="53"/>
      <c r="F64" s="57">
        <f>F14+F25+F36+F47+F58</f>
        <v>75305520.255333334</v>
      </c>
      <c r="G64" s="57"/>
      <c r="H64" s="57"/>
      <c r="I64" s="53"/>
      <c r="J64" s="57">
        <f>J14+J25+J36+J47+J58</f>
        <v>77877387.284291655</v>
      </c>
      <c r="K64" s="206">
        <f>J64/F64-1</f>
        <v>3.4152436902873395E-2</v>
      </c>
      <c r="L64" s="203"/>
      <c r="M64" s="203"/>
    </row>
    <row r="65" spans="1:13" ht="15.5">
      <c r="A65" s="52"/>
      <c r="B65" s="54" t="s">
        <v>99</v>
      </c>
      <c r="C65" s="54"/>
      <c r="D65" s="53"/>
      <c r="E65" s="53"/>
      <c r="F65" s="57">
        <f>F15+F26+F37+F48+F59</f>
        <v>2884883.1669999999</v>
      </c>
      <c r="G65" s="57"/>
      <c r="H65" s="57"/>
      <c r="I65" s="53"/>
      <c r="J65" s="57">
        <f>J15+J26+J37+J48+J59</f>
        <v>2973332.9454999999</v>
      </c>
      <c r="K65" s="206">
        <f>J65/F65-1</f>
        <v>3.0659743698383091E-2</v>
      </c>
      <c r="L65" s="203"/>
      <c r="M65" s="203"/>
    </row>
    <row r="66" spans="1:13" ht="15.5">
      <c r="A66" s="52"/>
      <c r="B66" s="54" t="s">
        <v>90</v>
      </c>
      <c r="C66" s="54"/>
      <c r="D66" s="60">
        <f>D54+D43+D32+D21+D10</f>
        <v>6913513</v>
      </c>
      <c r="E66" s="52"/>
      <c r="F66" s="57">
        <f>F16+F27+F38+F49+F60</f>
        <v>78190403.42233333</v>
      </c>
      <c r="G66" s="57"/>
      <c r="H66" s="61"/>
      <c r="I66" s="52"/>
      <c r="J66" s="57">
        <f>J16+J27+J38+J49+J60</f>
        <v>80850720.229791671</v>
      </c>
      <c r="K66" s="206">
        <v>1.5671225074708639E-2</v>
      </c>
      <c r="L66" s="203"/>
      <c r="M66" s="203"/>
    </row>
    <row r="67" spans="1:13" ht="15.5">
      <c r="A67" s="52"/>
      <c r="B67" s="54"/>
      <c r="C67" s="54"/>
      <c r="D67" s="52"/>
      <c r="E67" s="52"/>
      <c r="F67" s="61"/>
      <c r="G67" s="61"/>
      <c r="H67" s="61"/>
      <c r="I67" s="52"/>
      <c r="J67" s="61"/>
      <c r="K67" s="206"/>
      <c r="L67" s="203"/>
      <c r="M67" s="203"/>
    </row>
    <row r="68" spans="1:13" ht="15.5">
      <c r="A68" s="52"/>
      <c r="B68" s="54" t="s">
        <v>91</v>
      </c>
      <c r="C68" s="54"/>
      <c r="D68" s="52"/>
      <c r="E68" s="61"/>
      <c r="F68" s="61">
        <f>F8+F19+F30+F41+F52</f>
        <v>16203466.924333332</v>
      </c>
      <c r="G68" s="61"/>
      <c r="H68" s="61"/>
      <c r="I68" s="61"/>
      <c r="J68" s="61">
        <f>J8+J19+J30+J41+J52</f>
        <v>17011452.164291669</v>
      </c>
      <c r="K68" s="206">
        <f t="shared" ref="K68:K73" si="0">J68/F68-1</f>
        <v>4.9864960611914144E-2</v>
      </c>
      <c r="L68" s="203"/>
      <c r="M68" s="203"/>
    </row>
    <row r="69" spans="1:13" ht="15.5">
      <c r="A69" s="52"/>
      <c r="B69" s="54" t="s">
        <v>92</v>
      </c>
      <c r="C69" s="54"/>
      <c r="D69" s="52"/>
      <c r="E69" s="61"/>
      <c r="F69" s="61">
        <f>F10+F21+F32+F43+F54</f>
        <v>23743681.458000001</v>
      </c>
      <c r="G69" s="61"/>
      <c r="H69" s="61"/>
      <c r="I69" s="61"/>
      <c r="J69" s="61">
        <f>J10+J21+J32+J43+J54</f>
        <v>23743681.458000001</v>
      </c>
      <c r="K69" s="206">
        <f t="shared" si="0"/>
        <v>0</v>
      </c>
      <c r="L69" s="203"/>
      <c r="M69" s="203"/>
    </row>
    <row r="70" spans="1:13" ht="16" thickBot="1">
      <c r="A70" s="52"/>
      <c r="B70" s="54" t="s">
        <v>93</v>
      </c>
      <c r="C70" s="54"/>
      <c r="D70" s="52"/>
      <c r="E70" s="61"/>
      <c r="F70" s="62">
        <f>F11+F22+F33+F44+F55</f>
        <v>35270537.353</v>
      </c>
      <c r="G70" s="391"/>
      <c r="H70" s="61"/>
      <c r="I70" s="61"/>
      <c r="J70" s="62">
        <f>J11+J22+J33+J44+J55</f>
        <v>37029201.182000004</v>
      </c>
      <c r="K70" s="206">
        <f t="shared" si="0"/>
        <v>4.9862121787334068E-2</v>
      </c>
      <c r="L70" s="203"/>
      <c r="M70" s="203"/>
    </row>
    <row r="71" spans="1:13" ht="16" thickTop="1">
      <c r="A71" s="52"/>
      <c r="B71" s="54" t="s">
        <v>94</v>
      </c>
      <c r="C71" s="54"/>
      <c r="D71" s="52"/>
      <c r="E71" s="61"/>
      <c r="F71" s="61">
        <f>SUM(F68:F70)</f>
        <v>75217685.735333323</v>
      </c>
      <c r="G71" s="61"/>
      <c r="H71" s="61"/>
      <c r="I71" s="61"/>
      <c r="J71" s="61">
        <f>SUM(J68:J70)</f>
        <v>77784334.804291666</v>
      </c>
      <c r="K71" s="206">
        <f t="shared" si="0"/>
        <v>3.4122946536663479E-2</v>
      </c>
      <c r="L71" s="203"/>
      <c r="M71" s="203"/>
    </row>
    <row r="72" spans="1:13" ht="16" thickBot="1">
      <c r="A72" s="52"/>
      <c r="B72" s="54" t="s">
        <v>100</v>
      </c>
      <c r="C72" s="54"/>
      <c r="D72" s="52"/>
      <c r="E72" s="61"/>
      <c r="F72" s="62">
        <f>F13+F24+F35+F46+F57</f>
        <v>87834.51999999999</v>
      </c>
      <c r="G72" s="391"/>
      <c r="H72" s="61"/>
      <c r="I72" s="61"/>
      <c r="J72" s="62">
        <f>J13+J24+J35+J46+J57</f>
        <v>93052.479999999981</v>
      </c>
      <c r="K72" s="206">
        <f t="shared" si="0"/>
        <v>5.9406711620897834E-2</v>
      </c>
      <c r="L72" s="203"/>
      <c r="M72" s="203"/>
    </row>
    <row r="73" spans="1:13" ht="16" thickTop="1">
      <c r="A73" s="52"/>
      <c r="B73" s="54" t="s">
        <v>101</v>
      </c>
      <c r="C73" s="54"/>
      <c r="D73" s="52"/>
      <c r="E73" s="61"/>
      <c r="F73" s="61">
        <f>F71+F72</f>
        <v>75305520.255333319</v>
      </c>
      <c r="G73" s="61"/>
      <c r="H73" s="61"/>
      <c r="I73" s="61"/>
      <c r="J73" s="61">
        <f>J71+J72</f>
        <v>77877387.28429167</v>
      </c>
      <c r="K73" s="206">
        <f t="shared" si="0"/>
        <v>3.4152436902873617E-2</v>
      </c>
      <c r="L73" s="203"/>
      <c r="M73" s="203"/>
    </row>
    <row r="74" spans="1:13" ht="15.5">
      <c r="A74" s="52"/>
      <c r="B74" s="54"/>
      <c r="C74" s="54"/>
      <c r="D74" s="52"/>
      <c r="E74" s="61"/>
      <c r="F74" s="61"/>
      <c r="G74" s="61"/>
      <c r="H74" s="61"/>
      <c r="I74" s="61"/>
      <c r="J74" s="61"/>
      <c r="K74" s="206"/>
      <c r="L74" s="203"/>
      <c r="M74" s="203"/>
    </row>
    <row r="75" spans="1:13" ht="15.5">
      <c r="A75" s="52"/>
      <c r="B75" s="54" t="s">
        <v>95</v>
      </c>
      <c r="C75" s="54"/>
      <c r="D75" s="52"/>
      <c r="E75" s="61"/>
      <c r="F75" s="61">
        <f>F15+F26+F37+F48+F59</f>
        <v>2884883.1669999999</v>
      </c>
      <c r="G75" s="61"/>
      <c r="H75" s="61"/>
      <c r="I75" s="61"/>
      <c r="J75" s="61">
        <f>J15+J26+J37+J48+J59</f>
        <v>2973332.9454999999</v>
      </c>
      <c r="K75" s="206">
        <f>J75/F75-1</f>
        <v>3.0659743698383091E-2</v>
      </c>
      <c r="L75" s="203"/>
      <c r="M75" s="203"/>
    </row>
    <row r="76" spans="1:13" ht="15.5">
      <c r="A76" s="52"/>
      <c r="B76" s="54" t="s">
        <v>96</v>
      </c>
      <c r="C76" s="54"/>
      <c r="D76" s="52"/>
      <c r="E76" s="52"/>
      <c r="F76" s="61">
        <f>F73+F75</f>
        <v>78190403.422333315</v>
      </c>
      <c r="G76" s="61"/>
      <c r="H76" s="61"/>
      <c r="I76" s="52"/>
      <c r="J76" s="61">
        <f>J73+J75</f>
        <v>80850720.229791671</v>
      </c>
      <c r="K76" s="206">
        <f>J76/F76-1</f>
        <v>3.4023571832582533E-2</v>
      </c>
      <c r="L76" s="203"/>
      <c r="M76" s="203"/>
    </row>
    <row r="77" spans="1:13" ht="15.5">
      <c r="A77" s="52"/>
      <c r="B77" s="52"/>
      <c r="C77" s="52"/>
      <c r="D77" s="52"/>
      <c r="E77" s="52"/>
      <c r="F77" s="52"/>
      <c r="G77" s="52"/>
      <c r="H77" s="52"/>
      <c r="I77" s="53"/>
      <c r="J77" s="57"/>
      <c r="K77" s="53"/>
      <c r="L77" s="203"/>
      <c r="M77" s="203"/>
    </row>
    <row r="78" spans="1:13" ht="15.5">
      <c r="A78" s="49"/>
      <c r="B78" s="49"/>
      <c r="C78" s="49"/>
      <c r="D78" s="63"/>
      <c r="E78" s="49"/>
      <c r="F78" s="59"/>
      <c r="G78" s="59"/>
      <c r="H78" s="49"/>
      <c r="I78" s="203"/>
      <c r="J78" s="207"/>
      <c r="K78" s="209"/>
      <c r="L78" s="203"/>
      <c r="M78" s="203"/>
    </row>
  </sheetData>
  <mergeCells count="3">
    <mergeCell ref="A1:L1"/>
    <mergeCell ref="A2:L2"/>
    <mergeCell ref="A3:L3"/>
  </mergeCells>
  <pageMargins left="0.7" right="0.7" top="0.75" bottom="0.75" header="0.3" footer="0.3"/>
  <pageSetup scale="55" orientation="portrait" r:id="rId1"/>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pageSetUpPr fitToPage="1"/>
  </sheetPr>
  <dimension ref="A1:BU46"/>
  <sheetViews>
    <sheetView zoomScale="115" zoomScaleNormal="115" workbookViewId="0">
      <pane xSplit="9" ySplit="3" topLeftCell="BE4" activePane="bottomRight" state="frozen"/>
      <selection pane="topRight" activeCell="J1" sqref="J1"/>
      <selection pane="bottomLeft" activeCell="A4" sqref="A4"/>
      <selection pane="bottomRight" activeCell="BL4" sqref="BL4"/>
    </sheetView>
  </sheetViews>
  <sheetFormatPr defaultRowHeight="14.5"/>
  <cols>
    <col min="1" max="1" width="8.7265625" style="113"/>
    <col min="2" max="2" width="13.54296875" style="113" bestFit="1" customWidth="1"/>
    <col min="3" max="9" width="10.7265625" style="113" hidden="1" customWidth="1"/>
    <col min="10" max="30" width="10.7265625" style="113" customWidth="1"/>
    <col min="31" max="31" width="23.7265625" style="113" customWidth="1"/>
    <col min="32" max="32" width="13.1796875" style="113" customWidth="1"/>
    <col min="33" max="37" width="10.7265625" style="113" customWidth="1"/>
    <col min="38" max="43" width="10.7265625" style="113" hidden="1" customWidth="1"/>
    <col min="44" max="49" width="10.7265625" style="113" customWidth="1"/>
    <col min="50" max="57" width="10.7265625" customWidth="1"/>
    <col min="58" max="58" width="2.81640625" customWidth="1"/>
    <col min="59" max="59" width="7.54296875" bestFit="1" customWidth="1"/>
    <col min="60" max="60" width="4.1796875" bestFit="1" customWidth="1"/>
    <col min="61" max="61" width="10.7265625" customWidth="1"/>
    <col min="62" max="62" width="2.81640625" customWidth="1"/>
    <col min="63" max="63" width="7.54296875" bestFit="1" customWidth="1"/>
    <col min="64" max="64" width="4.1796875" bestFit="1" customWidth="1"/>
    <col min="65" max="65" width="10.7265625" customWidth="1"/>
    <col min="66" max="69" width="10.7265625" style="113" customWidth="1"/>
    <col min="70" max="70" width="2.81640625" style="113" customWidth="1"/>
    <col min="71" max="71" width="7.54296875" style="113" bestFit="1" customWidth="1"/>
    <col min="72" max="72" width="4.1796875" style="113" bestFit="1" customWidth="1"/>
    <col min="73" max="16384" width="8.7265625" style="113"/>
  </cols>
  <sheetData>
    <row r="1" spans="1:73">
      <c r="C1" s="379" t="s">
        <v>159</v>
      </c>
      <c r="D1" s="379"/>
      <c r="E1" s="379"/>
      <c r="F1" s="379"/>
      <c r="G1" s="379"/>
      <c r="H1" s="379"/>
      <c r="I1" s="379"/>
      <c r="J1" s="379"/>
      <c r="K1" s="379"/>
      <c r="L1" s="379"/>
      <c r="M1" s="379"/>
      <c r="N1" s="379"/>
      <c r="O1" s="379"/>
      <c r="P1" s="379"/>
      <c r="Q1" s="379"/>
      <c r="R1" s="379"/>
      <c r="S1" s="379"/>
      <c r="T1" s="379"/>
      <c r="U1" s="379"/>
      <c r="V1" s="379"/>
      <c r="W1" s="379"/>
      <c r="X1" s="379"/>
      <c r="Y1" s="379"/>
      <c r="Z1" s="379"/>
      <c r="AA1" s="379"/>
      <c r="AB1" s="379"/>
      <c r="AC1" s="379"/>
      <c r="AD1" s="379"/>
      <c r="AE1" s="379"/>
      <c r="AF1" s="171"/>
      <c r="AG1" s="171"/>
      <c r="AH1" s="171"/>
      <c r="AI1" s="171"/>
      <c r="AJ1" s="171"/>
      <c r="AK1" s="171"/>
      <c r="AL1" s="171"/>
      <c r="AM1" s="171"/>
      <c r="AN1" s="171"/>
      <c r="AO1" s="171"/>
      <c r="AP1" s="171"/>
      <c r="AQ1" s="171"/>
      <c r="AR1" s="171"/>
      <c r="AS1" s="171"/>
      <c r="AT1" s="171"/>
      <c r="AU1" s="171"/>
      <c r="AV1" s="171"/>
      <c r="AW1" s="171"/>
      <c r="AX1" s="242"/>
      <c r="AY1" s="242"/>
      <c r="AZ1" s="290"/>
      <c r="BA1" s="290"/>
      <c r="BB1" s="290"/>
      <c r="BC1" s="290"/>
      <c r="BD1" s="290"/>
      <c r="BE1" s="290"/>
      <c r="BI1" s="242"/>
      <c r="BM1" s="290" t="s">
        <v>215</v>
      </c>
      <c r="BN1" s="171"/>
      <c r="BO1" s="171"/>
      <c r="BP1" s="171"/>
      <c r="BQ1" s="171"/>
    </row>
    <row r="2" spans="1:73">
      <c r="B2" s="172" t="s">
        <v>160</v>
      </c>
      <c r="C2" s="173">
        <v>38991</v>
      </c>
      <c r="D2" s="173">
        <v>39195</v>
      </c>
      <c r="E2" s="173">
        <v>39286</v>
      </c>
      <c r="F2" s="173">
        <v>39378</v>
      </c>
      <c r="G2" s="173">
        <v>39468</v>
      </c>
      <c r="H2" s="173">
        <v>39560</v>
      </c>
      <c r="I2" s="173">
        <v>39651</v>
      </c>
      <c r="J2" s="173">
        <v>39743</v>
      </c>
      <c r="K2" s="173">
        <v>39834</v>
      </c>
      <c r="L2" s="173">
        <v>39923</v>
      </c>
      <c r="M2" s="173">
        <v>40015</v>
      </c>
      <c r="N2" s="173">
        <v>40107</v>
      </c>
      <c r="O2" s="173">
        <v>40201</v>
      </c>
      <c r="P2" s="173">
        <v>40290</v>
      </c>
      <c r="Q2" s="173">
        <v>40382</v>
      </c>
      <c r="R2" s="173">
        <v>40475</v>
      </c>
      <c r="S2" s="173">
        <v>40566</v>
      </c>
      <c r="T2" s="173">
        <v>40655</v>
      </c>
      <c r="U2" s="173">
        <v>40746</v>
      </c>
      <c r="V2" s="173">
        <v>40838</v>
      </c>
      <c r="W2" s="173">
        <v>40931</v>
      </c>
      <c r="X2" s="173">
        <v>41021</v>
      </c>
      <c r="Y2" s="173">
        <v>41111</v>
      </c>
      <c r="Z2" s="173">
        <v>41214</v>
      </c>
      <c r="AA2" s="173">
        <v>41311</v>
      </c>
      <c r="AB2" s="173">
        <v>41401</v>
      </c>
      <c r="AC2" s="173">
        <v>74364</v>
      </c>
      <c r="AD2" s="173">
        <v>41579</v>
      </c>
      <c r="AE2" s="173">
        <v>41676</v>
      </c>
      <c r="AF2" s="173">
        <v>41767</v>
      </c>
      <c r="AG2" s="173">
        <v>41858</v>
      </c>
      <c r="AH2" s="173">
        <v>41944</v>
      </c>
      <c r="AI2" s="173">
        <v>42040</v>
      </c>
      <c r="AJ2" s="173">
        <v>42130</v>
      </c>
      <c r="AK2" s="173">
        <v>42221</v>
      </c>
      <c r="AL2" s="173">
        <v>42309</v>
      </c>
      <c r="AM2" s="173">
        <v>42401</v>
      </c>
      <c r="AN2" s="173">
        <v>42495</v>
      </c>
      <c r="AO2" s="173">
        <v>42587</v>
      </c>
      <c r="AP2" s="173">
        <v>42767</v>
      </c>
      <c r="AQ2" s="173">
        <v>42891</v>
      </c>
      <c r="AR2" s="173">
        <v>42952</v>
      </c>
      <c r="AS2" s="173">
        <v>43041</v>
      </c>
      <c r="AT2" s="173">
        <v>43132</v>
      </c>
      <c r="AU2" s="173">
        <v>43224</v>
      </c>
      <c r="AV2" s="173">
        <v>43318</v>
      </c>
      <c r="AW2" s="173">
        <v>43405</v>
      </c>
      <c r="AX2" s="255">
        <v>43497</v>
      </c>
      <c r="AY2" s="255">
        <v>43591</v>
      </c>
      <c r="AZ2" s="255">
        <v>43591</v>
      </c>
      <c r="BA2" s="255">
        <v>43683</v>
      </c>
      <c r="BB2" s="255">
        <v>43770</v>
      </c>
      <c r="BC2" s="255">
        <v>43862</v>
      </c>
      <c r="BD2" s="255">
        <v>43957</v>
      </c>
      <c r="BE2" s="255">
        <v>44049</v>
      </c>
      <c r="BI2" s="255">
        <v>43683</v>
      </c>
      <c r="BM2" s="255">
        <v>44136</v>
      </c>
      <c r="BN2" s="173"/>
      <c r="BO2" s="173"/>
      <c r="BP2" s="173"/>
      <c r="BQ2" s="173"/>
    </row>
    <row r="3" spans="1:73">
      <c r="A3" s="171" t="s">
        <v>32</v>
      </c>
      <c r="B3" s="172" t="s">
        <v>161</v>
      </c>
      <c r="C3" s="173">
        <v>39194</v>
      </c>
      <c r="D3" s="173">
        <v>39285</v>
      </c>
      <c r="E3" s="173">
        <v>39377</v>
      </c>
      <c r="F3" s="173">
        <v>39467</v>
      </c>
      <c r="G3" s="173">
        <v>39559</v>
      </c>
      <c r="H3" s="173">
        <v>39650</v>
      </c>
      <c r="I3" s="173">
        <v>39742</v>
      </c>
      <c r="J3" s="173">
        <v>39833</v>
      </c>
      <c r="K3" s="173">
        <v>39922</v>
      </c>
      <c r="L3" s="173">
        <v>40014</v>
      </c>
      <c r="M3" s="173">
        <v>40106</v>
      </c>
      <c r="N3" s="173">
        <v>40200</v>
      </c>
      <c r="O3" s="173">
        <v>40289</v>
      </c>
      <c r="P3" s="173">
        <v>40381</v>
      </c>
      <c r="Q3" s="174">
        <v>40474</v>
      </c>
      <c r="R3" s="174">
        <v>40565</v>
      </c>
      <c r="S3" s="174">
        <v>40654</v>
      </c>
      <c r="T3" s="174">
        <v>40745</v>
      </c>
      <c r="U3" s="174">
        <v>40837</v>
      </c>
      <c r="V3" s="174">
        <v>40930</v>
      </c>
      <c r="W3" s="174">
        <v>41020</v>
      </c>
      <c r="X3" s="174">
        <v>41110</v>
      </c>
      <c r="Y3" s="174">
        <v>41213</v>
      </c>
      <c r="Z3" s="174">
        <v>41310</v>
      </c>
      <c r="AA3" s="174">
        <v>41400</v>
      </c>
      <c r="AB3" s="174">
        <v>41492</v>
      </c>
      <c r="AC3" s="174">
        <v>41578</v>
      </c>
      <c r="AD3" s="174">
        <v>41675</v>
      </c>
      <c r="AE3" s="174">
        <v>41766</v>
      </c>
      <c r="AF3" s="174">
        <v>41857</v>
      </c>
      <c r="AG3" s="174">
        <v>41943</v>
      </c>
      <c r="AH3" s="174">
        <v>42039</v>
      </c>
      <c r="AI3" s="175">
        <v>42129</v>
      </c>
      <c r="AJ3" s="175">
        <v>42220</v>
      </c>
      <c r="AK3" s="175">
        <v>42308</v>
      </c>
      <c r="AL3" s="175">
        <v>42400</v>
      </c>
      <c r="AM3" s="175">
        <v>42494</v>
      </c>
      <c r="AN3" s="175">
        <v>42586</v>
      </c>
      <c r="AO3" s="175">
        <v>42766</v>
      </c>
      <c r="AP3" s="175">
        <v>42890</v>
      </c>
      <c r="AQ3" s="175">
        <v>42951</v>
      </c>
      <c r="AR3" s="175">
        <v>43040</v>
      </c>
      <c r="AS3" s="175">
        <v>43131</v>
      </c>
      <c r="AT3" s="175">
        <v>43223</v>
      </c>
      <c r="AU3" s="175">
        <v>43317</v>
      </c>
      <c r="AV3" s="175">
        <v>43404</v>
      </c>
      <c r="AW3" s="256">
        <v>43496</v>
      </c>
      <c r="AX3" s="256">
        <v>43590</v>
      </c>
      <c r="AY3" s="256">
        <v>43682</v>
      </c>
      <c r="AZ3" s="255">
        <v>43682</v>
      </c>
      <c r="BA3" s="255">
        <v>43769</v>
      </c>
      <c r="BB3" s="255">
        <v>43861</v>
      </c>
      <c r="BC3" s="255">
        <v>43956</v>
      </c>
      <c r="BD3" s="255">
        <v>44048</v>
      </c>
      <c r="BE3" s="255">
        <v>44135</v>
      </c>
      <c r="BI3" s="256"/>
      <c r="BM3" s="390" t="s">
        <v>278</v>
      </c>
      <c r="BN3" s="175"/>
      <c r="BO3" s="175"/>
      <c r="BP3" s="175"/>
      <c r="BQ3" s="175"/>
    </row>
    <row r="4" spans="1:73" ht="13.75" customHeight="1">
      <c r="A4" s="376" t="s">
        <v>162</v>
      </c>
      <c r="B4" s="176" t="s">
        <v>163</v>
      </c>
      <c r="C4" s="177">
        <v>0.47720000000000001</v>
      </c>
      <c r="D4" s="177">
        <v>0.47720000000000001</v>
      </c>
      <c r="E4" s="177">
        <v>0.47720000000000001</v>
      </c>
      <c r="F4" s="177">
        <v>0.47720000000000001</v>
      </c>
      <c r="G4" s="177">
        <v>0.58730000000000004</v>
      </c>
      <c r="H4" s="177">
        <v>0.58730000000000004</v>
      </c>
      <c r="I4" s="177">
        <v>0.58730000000000004</v>
      </c>
      <c r="J4" s="177">
        <f>I4</f>
        <v>0.58730000000000004</v>
      </c>
      <c r="K4" s="177">
        <v>0.6099</v>
      </c>
      <c r="L4" s="177">
        <f>K4</f>
        <v>0.6099</v>
      </c>
      <c r="M4" s="177">
        <f>L4</f>
        <v>0.6099</v>
      </c>
      <c r="N4" s="177">
        <f>M4</f>
        <v>0.6099</v>
      </c>
      <c r="O4" s="177">
        <v>0.60750000000000004</v>
      </c>
      <c r="P4" s="177">
        <f>O4</f>
        <v>0.60750000000000004</v>
      </c>
      <c r="Q4" s="178">
        <f>P4</f>
        <v>0.60750000000000004</v>
      </c>
      <c r="R4" s="178">
        <f>Q4</f>
        <v>0.60750000000000004</v>
      </c>
      <c r="S4" s="178">
        <v>0.61380000000000001</v>
      </c>
      <c r="T4" s="178">
        <v>0.61380000000000001</v>
      </c>
      <c r="U4" s="178">
        <f>T4</f>
        <v>0.61380000000000001</v>
      </c>
      <c r="V4" s="178">
        <f>U4</f>
        <v>0.61380000000000001</v>
      </c>
      <c r="W4" s="178">
        <v>0.61880000000000002</v>
      </c>
      <c r="X4" s="178">
        <f>W4</f>
        <v>0.61880000000000002</v>
      </c>
      <c r="Y4" s="178">
        <f>X4</f>
        <v>0.61880000000000002</v>
      </c>
      <c r="Z4" s="178">
        <v>0.63759999999999994</v>
      </c>
      <c r="AA4" s="178">
        <v>0.63759999999999994</v>
      </c>
      <c r="AB4" s="178">
        <v>0.63759999999999994</v>
      </c>
      <c r="AC4" s="178">
        <v>0.63759999999999994</v>
      </c>
      <c r="AD4" s="178">
        <v>0.68089999999999995</v>
      </c>
      <c r="AE4" s="178">
        <f>AD4</f>
        <v>0.68089999999999995</v>
      </c>
      <c r="AF4" s="178">
        <f>+AE4</f>
        <v>0.68089999999999995</v>
      </c>
      <c r="AG4" s="178">
        <f>+AF4</f>
        <v>0.68089999999999995</v>
      </c>
      <c r="AH4" s="178">
        <v>0.66020000000000001</v>
      </c>
      <c r="AI4" s="178">
        <f>+AH4</f>
        <v>0.66020000000000001</v>
      </c>
      <c r="AJ4" s="178">
        <v>0.66020000000000001</v>
      </c>
      <c r="AK4" s="178">
        <v>0.66020000000000001</v>
      </c>
      <c r="AL4" s="178">
        <v>0.67010000000000003</v>
      </c>
      <c r="AM4" s="178">
        <v>0.67010000000000003</v>
      </c>
      <c r="AN4" s="178">
        <v>0.67010000000000003</v>
      </c>
      <c r="AO4" s="178">
        <v>0.67179999999999995</v>
      </c>
      <c r="AP4" s="178">
        <v>0.67179999999999995</v>
      </c>
      <c r="AQ4" s="178">
        <v>0.67179999999999995</v>
      </c>
      <c r="AR4" s="178">
        <v>0.67179999999999995</v>
      </c>
      <c r="AS4" s="178">
        <v>0.69869999999999999</v>
      </c>
      <c r="AT4" s="178">
        <v>0.69869999999999999</v>
      </c>
      <c r="AU4" s="178">
        <v>0.69869999999999999</v>
      </c>
      <c r="AV4" s="178">
        <v>0.69869999999999999</v>
      </c>
      <c r="AW4" s="178">
        <v>0.72599999999999998</v>
      </c>
      <c r="AX4" s="257">
        <v>0.72599999999999998</v>
      </c>
      <c r="AY4" s="257">
        <f>AX4</f>
        <v>0.72599999999999998</v>
      </c>
      <c r="AZ4" s="259">
        <f>AY4</f>
        <v>0.72599999999999998</v>
      </c>
      <c r="BA4" s="259">
        <f>AZ4</f>
        <v>0.72599999999999998</v>
      </c>
      <c r="BB4" s="259">
        <v>0.76219999999999999</v>
      </c>
      <c r="BC4" s="259">
        <v>0.76219999999999999</v>
      </c>
      <c r="BD4" s="259">
        <v>0.76219999999999999</v>
      </c>
      <c r="BE4" s="259">
        <v>0.76219999999999999</v>
      </c>
      <c r="BG4" s="290" t="s">
        <v>106</v>
      </c>
      <c r="BH4" s="50"/>
      <c r="BI4" s="257">
        <f>AY4</f>
        <v>0.72599999999999998</v>
      </c>
      <c r="BK4" s="242" t="s">
        <v>106</v>
      </c>
      <c r="BL4" s="50"/>
      <c r="BM4" s="257">
        <f>BE4</f>
        <v>0.76219999999999999</v>
      </c>
      <c r="BN4" s="178"/>
      <c r="BO4" s="178"/>
      <c r="BP4" s="178"/>
      <c r="BQ4" s="178"/>
      <c r="BS4" s="171" t="s">
        <v>106</v>
      </c>
      <c r="BT4" s="179"/>
      <c r="BU4" s="180"/>
    </row>
    <row r="5" spans="1:73" ht="13.75" customHeight="1">
      <c r="A5" s="377"/>
      <c r="B5" s="181" t="s">
        <v>164</v>
      </c>
      <c r="C5" s="182">
        <v>0.98939999999999995</v>
      </c>
      <c r="D5" s="182">
        <v>1.0737000000000001</v>
      </c>
      <c r="E5" s="182">
        <v>1.1525000000000001</v>
      </c>
      <c r="F5" s="182">
        <v>1.1040000000000001</v>
      </c>
      <c r="G5" s="182">
        <v>1.0909</v>
      </c>
      <c r="H5" s="182">
        <v>1.0944</v>
      </c>
      <c r="I5" s="182">
        <v>1.2496</v>
      </c>
      <c r="J5" s="182">
        <v>1.2118</v>
      </c>
      <c r="K5" s="182">
        <v>1.0644</v>
      </c>
      <c r="L5" s="182">
        <v>0.88800000000000001</v>
      </c>
      <c r="M5" s="182">
        <v>0.88300000000000001</v>
      </c>
      <c r="N5" s="182">
        <v>0.86570000000000003</v>
      </c>
      <c r="O5" s="182">
        <v>0.83750000000000002</v>
      </c>
      <c r="P5" s="182">
        <v>0.91059999999999997</v>
      </c>
      <c r="Q5" s="182">
        <v>0.9073</v>
      </c>
      <c r="R5" s="182">
        <v>0.87490000000000001</v>
      </c>
      <c r="S5" s="182">
        <v>0.8306</v>
      </c>
      <c r="T5" s="182">
        <v>0.8306</v>
      </c>
      <c r="U5" s="182">
        <v>0.96809999999999996</v>
      </c>
      <c r="V5" s="182">
        <v>0.95469999999999999</v>
      </c>
      <c r="W5" s="182">
        <v>0.8427</v>
      </c>
      <c r="X5" s="182">
        <v>0.79959999999999998</v>
      </c>
      <c r="Y5" s="182">
        <v>0.74660000000000004</v>
      </c>
      <c r="Z5" s="182">
        <v>0.747</v>
      </c>
      <c r="AA5" s="182">
        <v>0.77180000000000004</v>
      </c>
      <c r="AB5" s="182">
        <v>0.74160000000000004</v>
      </c>
      <c r="AC5" s="182">
        <v>0.72270000000000001</v>
      </c>
      <c r="AD5" s="182">
        <v>0.59370000000000001</v>
      </c>
      <c r="AE5" s="182">
        <v>0.56630000000000003</v>
      </c>
      <c r="AF5" s="182">
        <v>0.5948</v>
      </c>
      <c r="AG5" s="182">
        <v>0.6482</v>
      </c>
      <c r="AH5" s="182">
        <v>0.65059999999999996</v>
      </c>
      <c r="AI5" s="182">
        <v>0.60750000000000004</v>
      </c>
      <c r="AJ5" s="182">
        <v>0.59889999999999999</v>
      </c>
      <c r="AK5" s="182">
        <v>0.59550000000000003</v>
      </c>
      <c r="AL5" s="182">
        <v>0.54720000000000002</v>
      </c>
      <c r="AM5" s="182">
        <v>0.52949999999999997</v>
      </c>
      <c r="AN5" s="182">
        <v>0.50409999999999999</v>
      </c>
      <c r="AO5" s="182">
        <v>0.53680000000000005</v>
      </c>
      <c r="AP5" s="182">
        <v>0.50339999999999996</v>
      </c>
      <c r="AQ5" s="182">
        <v>0.52210000000000001</v>
      </c>
      <c r="AR5" s="182">
        <v>0.5141</v>
      </c>
      <c r="AS5" s="182">
        <v>0.5131</v>
      </c>
      <c r="AT5" s="182">
        <v>0.50880000000000003</v>
      </c>
      <c r="AU5" s="182">
        <v>0.43509999999999999</v>
      </c>
      <c r="AV5" s="182">
        <v>0.42909999999999998</v>
      </c>
      <c r="AW5" s="182">
        <v>0.41880000000000001</v>
      </c>
      <c r="AX5" s="258">
        <v>0.41760000000000003</v>
      </c>
      <c r="AY5" s="258">
        <v>0.3695</v>
      </c>
      <c r="AZ5" s="258">
        <v>0.3695</v>
      </c>
      <c r="BA5" s="258">
        <v>0.34610000000000002</v>
      </c>
      <c r="BB5" s="258">
        <v>0.3236</v>
      </c>
      <c r="BC5" s="258">
        <v>0.30630000000000002</v>
      </c>
      <c r="BD5" s="258">
        <v>0.30330000000000001</v>
      </c>
      <c r="BE5" s="258">
        <v>0.34110000000000001</v>
      </c>
      <c r="BF5" s="381" t="s">
        <v>165</v>
      </c>
      <c r="BG5" s="382">
        <f>BE5+BE6+BE7</f>
        <v>1.0395000000000001</v>
      </c>
      <c r="BH5" s="380" t="s">
        <v>168</v>
      </c>
      <c r="BI5" s="258">
        <v>0.34610000000000002</v>
      </c>
      <c r="BJ5" s="381" t="s">
        <v>165</v>
      </c>
      <c r="BK5" s="382">
        <f>BI5+BI6+BI7</f>
        <v>1.0136000000000001</v>
      </c>
      <c r="BL5" s="380" t="s">
        <v>168</v>
      </c>
      <c r="BM5" s="258">
        <v>0.34610000000000002</v>
      </c>
      <c r="BN5" s="182"/>
      <c r="BO5" s="182"/>
      <c r="BP5" s="182"/>
      <c r="BQ5" s="182"/>
      <c r="BR5" s="378" t="s">
        <v>165</v>
      </c>
      <c r="BS5" s="383"/>
      <c r="BT5" s="384"/>
      <c r="BU5" s="180"/>
    </row>
    <row r="6" spans="1:73" ht="13.75" customHeight="1">
      <c r="A6" s="377"/>
      <c r="B6" s="183" t="s">
        <v>166</v>
      </c>
      <c r="C6" s="184">
        <v>0.3735</v>
      </c>
      <c r="D6" s="184">
        <v>0.3735</v>
      </c>
      <c r="E6" s="184">
        <v>0.3735</v>
      </c>
      <c r="F6" s="184">
        <v>0.3735</v>
      </c>
      <c r="G6" s="184">
        <v>0.4597</v>
      </c>
      <c r="H6" s="184">
        <v>0.4597</v>
      </c>
      <c r="I6" s="184">
        <v>0.4597</v>
      </c>
      <c r="J6" s="184">
        <f>I6</f>
        <v>0.4597</v>
      </c>
      <c r="K6" s="184">
        <v>0.47739999999999999</v>
      </c>
      <c r="L6" s="184">
        <f>K6</f>
        <v>0.47739999999999999</v>
      </c>
      <c r="M6" s="184">
        <f>L6</f>
        <v>0.47739999999999999</v>
      </c>
      <c r="N6" s="184">
        <f>M6</f>
        <v>0.47739999999999999</v>
      </c>
      <c r="O6" s="184">
        <v>0.47560000000000002</v>
      </c>
      <c r="P6" s="184">
        <f>O6</f>
        <v>0.47560000000000002</v>
      </c>
      <c r="Q6" s="184">
        <f>P6</f>
        <v>0.47560000000000002</v>
      </c>
      <c r="R6" s="184">
        <f>Q6</f>
        <v>0.47560000000000002</v>
      </c>
      <c r="S6" s="184">
        <v>0.48049999999999998</v>
      </c>
      <c r="T6" s="184">
        <v>0.48049999999999998</v>
      </c>
      <c r="U6" s="184">
        <f>T6</f>
        <v>0.48049999999999998</v>
      </c>
      <c r="V6" s="184">
        <f>U6</f>
        <v>0.48049999999999998</v>
      </c>
      <c r="W6" s="184">
        <v>0.56040000000000001</v>
      </c>
      <c r="X6" s="184">
        <f>W6</f>
        <v>0.56040000000000001</v>
      </c>
      <c r="Y6" s="184">
        <f>X6</f>
        <v>0.56040000000000001</v>
      </c>
      <c r="Z6" s="184">
        <v>0.57740000000000002</v>
      </c>
      <c r="AA6" s="184">
        <v>0.57740000000000002</v>
      </c>
      <c r="AB6" s="184">
        <v>0.57740000000000002</v>
      </c>
      <c r="AC6" s="184">
        <v>0.57740000000000002</v>
      </c>
      <c r="AD6" s="184">
        <v>0.60729999999999995</v>
      </c>
      <c r="AE6" s="184">
        <f>AD6</f>
        <v>0.60729999999999995</v>
      </c>
      <c r="AF6" s="184">
        <f>+AE6</f>
        <v>0.60729999999999995</v>
      </c>
      <c r="AG6" s="184">
        <f>+AF6</f>
        <v>0.60729999999999995</v>
      </c>
      <c r="AH6" s="184">
        <v>0.57989999999999997</v>
      </c>
      <c r="AI6" s="184">
        <f>+AH6</f>
        <v>0.57989999999999997</v>
      </c>
      <c r="AJ6" s="184">
        <v>0.57989999999999997</v>
      </c>
      <c r="AK6" s="184">
        <v>0.57989999999999997</v>
      </c>
      <c r="AL6" s="184">
        <v>0.58860000000000001</v>
      </c>
      <c r="AM6" s="184">
        <v>0.57179999999999997</v>
      </c>
      <c r="AN6" s="184">
        <v>0.57179999999999997</v>
      </c>
      <c r="AO6" s="184">
        <v>0.57320000000000004</v>
      </c>
      <c r="AP6" s="184">
        <v>0.57320000000000004</v>
      </c>
      <c r="AQ6" s="184">
        <v>0.57320000000000004</v>
      </c>
      <c r="AR6" s="184">
        <v>0.57320000000000004</v>
      </c>
      <c r="AS6" s="184">
        <v>0.59619999999999995</v>
      </c>
      <c r="AT6" s="184">
        <v>0.59619999999999995</v>
      </c>
      <c r="AU6" s="184">
        <v>0.59619999999999995</v>
      </c>
      <c r="AV6" s="184">
        <v>0.59619999999999995</v>
      </c>
      <c r="AW6" s="184">
        <v>0.61950000000000005</v>
      </c>
      <c r="AX6" s="259">
        <v>0.61950000000000005</v>
      </c>
      <c r="AY6" s="259">
        <f>AX6</f>
        <v>0.61950000000000005</v>
      </c>
      <c r="AZ6" s="259">
        <f>AY6</f>
        <v>0.61950000000000005</v>
      </c>
      <c r="BA6" s="259">
        <f>AZ6</f>
        <v>0.61950000000000005</v>
      </c>
      <c r="BB6" s="259">
        <v>0.65039999999999998</v>
      </c>
      <c r="BC6" s="259">
        <v>0.65039999999999998</v>
      </c>
      <c r="BD6" s="259">
        <v>0.65039999999999998</v>
      </c>
      <c r="BE6" s="259">
        <v>0.65039999999999998</v>
      </c>
      <c r="BF6" s="381"/>
      <c r="BG6" s="382"/>
      <c r="BH6" s="380"/>
      <c r="BI6" s="259">
        <f>AY6</f>
        <v>0.61950000000000005</v>
      </c>
      <c r="BJ6" s="381"/>
      <c r="BK6" s="382"/>
      <c r="BL6" s="380"/>
      <c r="BM6" s="259">
        <f>BE6</f>
        <v>0.65039999999999998</v>
      </c>
      <c r="BN6" s="184"/>
      <c r="BO6" s="184"/>
      <c r="BP6" s="184"/>
      <c r="BQ6" s="184"/>
      <c r="BR6" s="378"/>
      <c r="BS6" s="383"/>
      <c r="BT6" s="384"/>
      <c r="BU6" s="180"/>
    </row>
    <row r="7" spans="1:73" ht="15.75" customHeight="1">
      <c r="A7" s="377"/>
      <c r="B7" s="183" t="s">
        <v>167</v>
      </c>
      <c r="C7" s="184"/>
      <c r="D7" s="184"/>
      <c r="E7" s="184"/>
      <c r="F7" s="184"/>
      <c r="G7" s="184"/>
      <c r="H7" s="184"/>
      <c r="I7" s="184"/>
      <c r="J7" s="184"/>
      <c r="K7" s="184"/>
      <c r="L7" s="184"/>
      <c r="M7" s="184"/>
      <c r="N7" s="184"/>
      <c r="O7" s="184"/>
      <c r="P7" s="184"/>
      <c r="Q7" s="184"/>
      <c r="R7" s="184"/>
      <c r="S7" s="184"/>
      <c r="T7" s="184"/>
      <c r="U7" s="184"/>
      <c r="V7" s="184"/>
      <c r="W7" s="184"/>
      <c r="X7" s="184"/>
      <c r="Y7" s="184"/>
      <c r="Z7" s="184"/>
      <c r="AA7" s="184"/>
      <c r="AB7" s="184"/>
      <c r="AC7" s="184"/>
      <c r="AD7" s="184"/>
      <c r="AE7" s="184"/>
      <c r="AF7" s="184"/>
      <c r="AG7" s="184"/>
      <c r="AH7" s="184"/>
      <c r="AI7" s="184"/>
      <c r="AJ7" s="184"/>
      <c r="AK7" s="184"/>
      <c r="AL7" s="184"/>
      <c r="AM7" s="184">
        <v>4.53E-2</v>
      </c>
      <c r="AN7" s="184">
        <v>4.53E-2</v>
      </c>
      <c r="AO7" s="184">
        <v>4.53E-2</v>
      </c>
      <c r="AP7" s="184">
        <v>5.11E-2</v>
      </c>
      <c r="AQ7" s="184">
        <v>5.11E-2</v>
      </c>
      <c r="AR7" s="184">
        <v>5.11E-2</v>
      </c>
      <c r="AS7" s="184">
        <v>5.11E-2</v>
      </c>
      <c r="AT7" s="184">
        <v>5.04E-2</v>
      </c>
      <c r="AU7" s="184">
        <v>5.04E-2</v>
      </c>
      <c r="AV7" s="184">
        <v>5.04E-2</v>
      </c>
      <c r="AW7" s="184">
        <v>5.04E-2</v>
      </c>
      <c r="AX7" s="259">
        <v>4.8000000000000001E-2</v>
      </c>
      <c r="AY7" s="259">
        <f t="shared" ref="AY7:AZ8" si="0">AX7</f>
        <v>4.8000000000000001E-2</v>
      </c>
      <c r="AZ7" s="259">
        <f t="shared" si="0"/>
        <v>4.8000000000000001E-2</v>
      </c>
      <c r="BA7" s="259">
        <f>AZ7</f>
        <v>4.8000000000000001E-2</v>
      </c>
      <c r="BB7" s="259">
        <v>4.8000000000000001E-2</v>
      </c>
      <c r="BC7" s="259">
        <v>4.8000000000000001E-2</v>
      </c>
      <c r="BD7" s="259">
        <v>4.8000000000000001E-2</v>
      </c>
      <c r="BE7" s="259">
        <v>4.8000000000000001E-2</v>
      </c>
      <c r="BF7" s="381"/>
      <c r="BI7" s="259">
        <f>AY7</f>
        <v>4.8000000000000001E-2</v>
      </c>
      <c r="BJ7" s="381"/>
      <c r="BM7" s="259">
        <f>'Prop EEC 2021 Rates VGS'!H7</f>
        <v>4.947E-2</v>
      </c>
      <c r="BN7" s="184"/>
      <c r="BO7" s="184"/>
      <c r="BP7" s="184"/>
      <c r="BQ7" s="184"/>
      <c r="BR7" s="378"/>
      <c r="BS7" s="227">
        <f>AW5+AW6+AW7</f>
        <v>1.0887</v>
      </c>
      <c r="BT7" s="228" t="s">
        <v>168</v>
      </c>
      <c r="BU7" s="180"/>
    </row>
    <row r="8" spans="1:73" ht="13.75" customHeight="1">
      <c r="A8" s="377"/>
      <c r="B8" s="183" t="s">
        <v>77</v>
      </c>
      <c r="C8" s="184"/>
      <c r="D8" s="184"/>
      <c r="E8" s="184"/>
      <c r="F8" s="184"/>
      <c r="G8" s="184"/>
      <c r="H8" s="184"/>
      <c r="I8" s="184"/>
      <c r="J8" s="184"/>
      <c r="K8" s="184"/>
      <c r="L8" s="184"/>
      <c r="M8" s="184"/>
      <c r="N8" s="184"/>
      <c r="O8" s="184"/>
      <c r="P8" s="184"/>
      <c r="Q8" s="184"/>
      <c r="R8" s="184"/>
      <c r="S8" s="184"/>
      <c r="T8" s="184"/>
      <c r="U8" s="184"/>
      <c r="V8" s="184"/>
      <c r="W8" s="184"/>
      <c r="X8" s="184"/>
      <c r="Y8" s="184"/>
      <c r="Z8" s="184"/>
      <c r="AA8" s="184"/>
      <c r="AB8" s="185">
        <v>1.39</v>
      </c>
      <c r="AC8" s="185">
        <f>+AB8</f>
        <v>1.39</v>
      </c>
      <c r="AD8" s="185">
        <f>+AC8</f>
        <v>1.39</v>
      </c>
      <c r="AE8" s="185">
        <f>+AD8</f>
        <v>1.39</v>
      </c>
      <c r="AF8" s="185">
        <f>+AE8</f>
        <v>1.39</v>
      </c>
      <c r="AG8" s="185">
        <f>+AF8</f>
        <v>1.39</v>
      </c>
      <c r="AH8" s="185">
        <v>0.78</v>
      </c>
      <c r="AI8" s="185">
        <f>+AH8</f>
        <v>0.78</v>
      </c>
      <c r="AJ8" s="185">
        <v>0.78</v>
      </c>
      <c r="AK8" s="185">
        <v>0.78</v>
      </c>
      <c r="AL8" s="185">
        <v>0.69</v>
      </c>
      <c r="AM8" s="185">
        <v>0.69</v>
      </c>
      <c r="AN8" s="185">
        <v>0.69</v>
      </c>
      <c r="AO8" s="185">
        <v>0.69</v>
      </c>
      <c r="AP8" s="185">
        <v>0.11</v>
      </c>
      <c r="AQ8" s="185">
        <v>0.11</v>
      </c>
      <c r="AR8" s="185">
        <v>0.11</v>
      </c>
      <c r="AS8" s="185">
        <v>0.11</v>
      </c>
      <c r="AT8" s="185">
        <v>0.11</v>
      </c>
      <c r="AU8" s="185">
        <v>0.11</v>
      </c>
      <c r="AV8" s="185">
        <v>0.11</v>
      </c>
      <c r="AW8" s="185">
        <v>0.11</v>
      </c>
      <c r="AX8" s="260">
        <v>0.11</v>
      </c>
      <c r="AY8" s="259">
        <f t="shared" si="0"/>
        <v>0.11</v>
      </c>
      <c r="AZ8" s="259">
        <f t="shared" si="0"/>
        <v>0.11</v>
      </c>
      <c r="BA8" s="259">
        <f>AZ8</f>
        <v>0.11</v>
      </c>
      <c r="BB8" s="259">
        <v>0.11</v>
      </c>
      <c r="BC8" s="259">
        <v>0.11</v>
      </c>
      <c r="BD8" s="259">
        <v>0.11</v>
      </c>
      <c r="BE8" s="259">
        <v>0.11</v>
      </c>
      <c r="BF8" s="261"/>
      <c r="BG8" s="292"/>
      <c r="BH8" s="293"/>
      <c r="BI8" s="259">
        <f>AY8</f>
        <v>0.11</v>
      </c>
      <c r="BJ8" s="261"/>
      <c r="BK8" s="262"/>
      <c r="BL8" s="263"/>
      <c r="BM8" s="259">
        <f>BE8</f>
        <v>0.11</v>
      </c>
      <c r="BN8" s="185"/>
      <c r="BO8" s="185"/>
      <c r="BP8" s="185"/>
      <c r="BQ8" s="185"/>
      <c r="BR8" s="378"/>
      <c r="BS8" s="227"/>
      <c r="BT8" s="228"/>
      <c r="BU8" s="180"/>
    </row>
    <row r="9" spans="1:73" ht="13.75" customHeight="1">
      <c r="A9" s="226"/>
      <c r="B9" s="183" t="s">
        <v>169</v>
      </c>
      <c r="C9" s="184"/>
      <c r="D9" s="184"/>
      <c r="E9" s="184"/>
      <c r="F9" s="184"/>
      <c r="G9" s="184"/>
      <c r="H9" s="184"/>
      <c r="I9" s="184"/>
      <c r="J9" s="184"/>
      <c r="K9" s="184"/>
      <c r="L9" s="184"/>
      <c r="M9" s="184"/>
      <c r="N9" s="184"/>
      <c r="O9" s="184"/>
      <c r="P9" s="184"/>
      <c r="Q9" s="184"/>
      <c r="R9" s="184"/>
      <c r="S9" s="184"/>
      <c r="T9" s="184"/>
      <c r="U9" s="184"/>
      <c r="V9" s="184"/>
      <c r="W9" s="184"/>
      <c r="X9" s="184"/>
      <c r="Y9" s="184"/>
      <c r="Z9" s="184"/>
      <c r="AA9" s="184"/>
      <c r="AB9" s="185"/>
      <c r="AC9" s="185"/>
      <c r="AD9" s="185"/>
      <c r="AE9" s="185"/>
      <c r="AF9" s="185"/>
      <c r="AG9" s="185"/>
      <c r="AH9" s="185"/>
      <c r="AI9" s="185"/>
      <c r="AJ9" s="185"/>
      <c r="AK9" s="185"/>
      <c r="AL9" s="185"/>
      <c r="AM9" s="185"/>
      <c r="AN9" s="185"/>
      <c r="AO9" s="185"/>
      <c r="AP9" s="185"/>
      <c r="AQ9" s="185"/>
      <c r="AR9" s="185"/>
      <c r="AS9" s="185"/>
      <c r="AT9" s="186">
        <v>-7.4899999999999994E-2</v>
      </c>
      <c r="AU9" s="186">
        <v>-7.4899999999999994E-2</v>
      </c>
      <c r="AV9" s="186">
        <v>-7.4899999999999994E-2</v>
      </c>
      <c r="AW9" s="186">
        <v>0</v>
      </c>
      <c r="AX9" s="264"/>
      <c r="AY9" s="264"/>
      <c r="AZ9" s="259"/>
      <c r="BA9" s="259"/>
      <c r="BB9" s="259"/>
      <c r="BC9" s="259"/>
      <c r="BD9" s="259"/>
      <c r="BE9" s="259"/>
      <c r="BF9" s="265"/>
      <c r="BG9" s="292"/>
      <c r="BH9" s="293"/>
      <c r="BI9" s="264"/>
      <c r="BJ9" s="265"/>
      <c r="BK9" s="262"/>
      <c r="BL9" s="263"/>
      <c r="BM9" s="264"/>
      <c r="BN9" s="186"/>
      <c r="BO9" s="186"/>
      <c r="BP9" s="186"/>
      <c r="BQ9" s="186"/>
      <c r="BR9" s="187" t="s">
        <v>165</v>
      </c>
      <c r="BS9" s="227">
        <f>BS7+AW9</f>
        <v>1.0887</v>
      </c>
      <c r="BT9" s="228" t="str">
        <f>BT7</f>
        <v>/ccf</v>
      </c>
      <c r="BU9" s="180"/>
    </row>
    <row r="10" spans="1:73" ht="12.75" customHeight="1">
      <c r="A10" s="188"/>
      <c r="AC10" s="147"/>
      <c r="AD10" s="147"/>
      <c r="AE10" s="147"/>
      <c r="AF10" s="147"/>
      <c r="AG10" s="147"/>
      <c r="AH10" s="147"/>
      <c r="AI10" s="189"/>
      <c r="AJ10" s="189"/>
      <c r="AK10" s="189"/>
      <c r="AL10" s="189"/>
      <c r="AM10" s="189"/>
      <c r="AN10" s="189"/>
      <c r="AO10" s="189"/>
      <c r="AP10" s="189"/>
      <c r="AQ10" s="189"/>
      <c r="AR10" s="189"/>
      <c r="AS10" s="189"/>
      <c r="AT10" s="189"/>
      <c r="AU10" s="189"/>
      <c r="AV10" s="189"/>
      <c r="AW10" s="189"/>
      <c r="AX10" s="266"/>
      <c r="AY10" s="266"/>
      <c r="AZ10" s="316"/>
      <c r="BA10" s="316"/>
      <c r="BB10" s="316"/>
      <c r="BC10" s="316"/>
      <c r="BD10" s="316"/>
      <c r="BE10" s="316"/>
      <c r="BF10" s="317"/>
      <c r="BI10" s="266"/>
      <c r="BJ10" s="267"/>
      <c r="BM10" s="266"/>
      <c r="BN10" s="189"/>
      <c r="BO10" s="189"/>
      <c r="BP10" s="189"/>
      <c r="BQ10" s="189"/>
      <c r="BR10" s="190"/>
      <c r="BU10" s="180"/>
    </row>
    <row r="11" spans="1:73" ht="13.75" customHeight="1">
      <c r="A11" s="376" t="s">
        <v>107</v>
      </c>
      <c r="B11" s="176" t="s">
        <v>163</v>
      </c>
      <c r="C11" s="177">
        <v>0.79100000000000004</v>
      </c>
      <c r="D11" s="177">
        <v>0.79100000000000004</v>
      </c>
      <c r="E11" s="177">
        <v>0.79100000000000004</v>
      </c>
      <c r="F11" s="177">
        <v>0.79100000000000004</v>
      </c>
      <c r="G11" s="177">
        <v>0.97350000000000003</v>
      </c>
      <c r="H11" s="177">
        <v>0.97350000000000003</v>
      </c>
      <c r="I11" s="177">
        <v>0.97350000000000003</v>
      </c>
      <c r="J11" s="177">
        <f>I11</f>
        <v>0.97350000000000003</v>
      </c>
      <c r="K11" s="177">
        <v>1.0108999999999999</v>
      </c>
      <c r="L11" s="177">
        <f>K11</f>
        <v>1.0108999999999999</v>
      </c>
      <c r="M11" s="177">
        <f>L11</f>
        <v>1.0108999999999999</v>
      </c>
      <c r="N11" s="177">
        <f>M11</f>
        <v>1.0108999999999999</v>
      </c>
      <c r="O11" s="177">
        <v>1.0069999999999999</v>
      </c>
      <c r="P11" s="177">
        <f>O11</f>
        <v>1.0069999999999999</v>
      </c>
      <c r="Q11" s="177">
        <f>P11</f>
        <v>1.0069999999999999</v>
      </c>
      <c r="R11" s="177">
        <f>Q11</f>
        <v>1.0069999999999999</v>
      </c>
      <c r="S11" s="177">
        <v>1.0174000000000001</v>
      </c>
      <c r="T11" s="177">
        <v>1.0174000000000001</v>
      </c>
      <c r="U11" s="177">
        <f>T11</f>
        <v>1.0174000000000001</v>
      </c>
      <c r="V11" s="177">
        <f>U11</f>
        <v>1.0174000000000001</v>
      </c>
      <c r="W11" s="177">
        <v>1.0256000000000001</v>
      </c>
      <c r="X11" s="177">
        <f>W11</f>
        <v>1.0256000000000001</v>
      </c>
      <c r="Y11" s="177">
        <f>X11</f>
        <v>1.0256000000000001</v>
      </c>
      <c r="Z11" s="177">
        <v>1.0567</v>
      </c>
      <c r="AA11" s="177">
        <v>1.0567</v>
      </c>
      <c r="AB11" s="177">
        <v>1.0567</v>
      </c>
      <c r="AC11" s="178">
        <v>1.0567</v>
      </c>
      <c r="AD11" s="178">
        <v>1.1284000000000001</v>
      </c>
      <c r="AE11" s="178">
        <f>AD11</f>
        <v>1.1284000000000001</v>
      </c>
      <c r="AF11" s="178">
        <f>+AE11</f>
        <v>1.1284000000000001</v>
      </c>
      <c r="AG11" s="178">
        <f>+AF11</f>
        <v>1.1284000000000001</v>
      </c>
      <c r="AH11" s="178">
        <v>1.0940000000000001</v>
      </c>
      <c r="AI11" s="178">
        <f>+AH11</f>
        <v>1.0940000000000001</v>
      </c>
      <c r="AJ11" s="178">
        <v>1.0940000000000001</v>
      </c>
      <c r="AK11" s="178">
        <v>1.0940000000000001</v>
      </c>
      <c r="AL11" s="178">
        <v>1.1105</v>
      </c>
      <c r="AM11" s="178">
        <v>1.1105</v>
      </c>
      <c r="AN11" s="178">
        <v>1.1105</v>
      </c>
      <c r="AO11" s="178">
        <v>1.1133</v>
      </c>
      <c r="AP11" s="178">
        <v>1.1133</v>
      </c>
      <c r="AQ11" s="178">
        <v>1.1133</v>
      </c>
      <c r="AR11" s="178">
        <v>1.1133</v>
      </c>
      <c r="AS11" s="178">
        <v>1.1578999999999999</v>
      </c>
      <c r="AT11" s="178">
        <v>1.1578999999999999</v>
      </c>
      <c r="AU11" s="178">
        <v>1.1578999999999999</v>
      </c>
      <c r="AV11" s="178">
        <v>1.1578999999999999</v>
      </c>
      <c r="AW11" s="178">
        <v>1.2032</v>
      </c>
      <c r="AX11" s="257">
        <v>1.2032</v>
      </c>
      <c r="AY11" s="257">
        <f>AX11</f>
        <v>1.2032</v>
      </c>
      <c r="AZ11" s="259">
        <f>AY11</f>
        <v>1.2032</v>
      </c>
      <c r="BA11" s="259">
        <f>AZ11</f>
        <v>1.2032</v>
      </c>
      <c r="BB11" s="259">
        <v>1.2632000000000001</v>
      </c>
      <c r="BC11" s="259">
        <v>1.2632000000000001</v>
      </c>
      <c r="BD11" s="259">
        <v>1.2632000000000001</v>
      </c>
      <c r="BE11" s="259">
        <v>1.2632000000000001</v>
      </c>
      <c r="BG11" s="50"/>
      <c r="BH11" s="50"/>
      <c r="BI11" s="257">
        <f>AY11</f>
        <v>1.2032</v>
      </c>
      <c r="BK11" s="50"/>
      <c r="BL11" s="50"/>
      <c r="BM11" s="257">
        <f>BE11</f>
        <v>1.2632000000000001</v>
      </c>
      <c r="BN11" s="178"/>
      <c r="BO11" s="178"/>
      <c r="BP11" s="178"/>
      <c r="BQ11" s="178"/>
      <c r="BS11" s="179"/>
      <c r="BT11" s="179"/>
      <c r="BU11" s="191"/>
    </row>
    <row r="12" spans="1:73" ht="13.75" customHeight="1">
      <c r="A12" s="377"/>
      <c r="B12" s="181" t="s">
        <v>164</v>
      </c>
      <c r="C12" s="182">
        <v>1.052</v>
      </c>
      <c r="D12" s="182">
        <v>1.1415999999999999</v>
      </c>
      <c r="E12" s="182">
        <v>1.2255</v>
      </c>
      <c r="F12" s="182">
        <v>1.1738999999999999</v>
      </c>
      <c r="G12" s="182">
        <v>1.1598999999999999</v>
      </c>
      <c r="H12" s="182">
        <v>1.1637</v>
      </c>
      <c r="I12" s="182">
        <v>1.3287</v>
      </c>
      <c r="J12" s="182">
        <v>1.2885</v>
      </c>
      <c r="K12" s="182">
        <v>1.1317999999999999</v>
      </c>
      <c r="L12" s="182">
        <v>0.94420000000000004</v>
      </c>
      <c r="M12" s="182">
        <v>0.93889999999999996</v>
      </c>
      <c r="N12" s="182">
        <v>0.92049999999999998</v>
      </c>
      <c r="O12" s="182">
        <v>0.89049999999999996</v>
      </c>
      <c r="P12" s="182">
        <v>0.96819999999999995</v>
      </c>
      <c r="Q12" s="182">
        <v>0.9647</v>
      </c>
      <c r="R12" s="182">
        <v>0.93030000000000002</v>
      </c>
      <c r="S12" s="182">
        <v>0.8831</v>
      </c>
      <c r="T12" s="182">
        <v>0.8831</v>
      </c>
      <c r="U12" s="182">
        <v>1.0294000000000001</v>
      </c>
      <c r="V12" s="182">
        <v>1.0150999999999999</v>
      </c>
      <c r="W12" s="182">
        <v>0.89610000000000001</v>
      </c>
      <c r="X12" s="182">
        <v>0.85029999999999994</v>
      </c>
      <c r="Y12" s="182">
        <v>0.79390000000000005</v>
      </c>
      <c r="Z12" s="182">
        <v>0.7944</v>
      </c>
      <c r="AA12" s="182">
        <v>0.82069999999999999</v>
      </c>
      <c r="AB12" s="182">
        <v>0.78859999999999997</v>
      </c>
      <c r="AC12" s="182">
        <v>0.76849999999999996</v>
      </c>
      <c r="AD12" s="182">
        <v>0.65949999999999998</v>
      </c>
      <c r="AE12" s="182">
        <v>0.62919999999999998</v>
      </c>
      <c r="AF12" s="182">
        <v>0.66090000000000004</v>
      </c>
      <c r="AG12" s="182">
        <v>0.72030000000000005</v>
      </c>
      <c r="AH12" s="182">
        <v>0.75539999999999996</v>
      </c>
      <c r="AI12" s="182">
        <v>0.70540000000000003</v>
      </c>
      <c r="AJ12" s="182">
        <v>0.69540000000000002</v>
      </c>
      <c r="AK12" s="182">
        <v>0.6915</v>
      </c>
      <c r="AL12" s="182">
        <v>0.63539999999999996</v>
      </c>
      <c r="AM12" s="182">
        <v>0.61480000000000001</v>
      </c>
      <c r="AN12" s="182">
        <v>0.58540000000000003</v>
      </c>
      <c r="AO12" s="182">
        <v>0.62350000000000005</v>
      </c>
      <c r="AP12" s="182">
        <v>0.5847</v>
      </c>
      <c r="AQ12" s="182">
        <v>0.60650000000000004</v>
      </c>
      <c r="AR12" s="182">
        <v>0.59719999999999995</v>
      </c>
      <c r="AS12" s="182">
        <v>0.59599999999999997</v>
      </c>
      <c r="AT12" s="182">
        <v>0.59099999999999997</v>
      </c>
      <c r="AU12" s="182">
        <v>0.50539999999999996</v>
      </c>
      <c r="AV12" s="182">
        <v>0.49840000000000001</v>
      </c>
      <c r="AW12" s="182">
        <v>0.4864</v>
      </c>
      <c r="AX12" s="258">
        <v>0.48509999999999998</v>
      </c>
      <c r="AY12" s="258">
        <v>0.42930000000000001</v>
      </c>
      <c r="AZ12" s="258">
        <v>0.42930000000000001</v>
      </c>
      <c r="BA12" s="258">
        <v>0.40210000000000001</v>
      </c>
      <c r="BB12" s="258">
        <v>0.37590000000000001</v>
      </c>
      <c r="BC12" s="258">
        <v>0.35580000000000001</v>
      </c>
      <c r="BD12" s="258">
        <v>0.35239999999999999</v>
      </c>
      <c r="BE12" s="258">
        <v>0.39629999999999999</v>
      </c>
      <c r="BF12" s="381" t="s">
        <v>165</v>
      </c>
      <c r="BG12" s="382">
        <f>BE12+BE13+BE14</f>
        <v>0.94769999999999999</v>
      </c>
      <c r="BH12" s="293"/>
      <c r="BI12" s="258">
        <v>0.40210000000000001</v>
      </c>
      <c r="BJ12" s="381" t="s">
        <v>165</v>
      </c>
      <c r="BK12" s="382">
        <f>BI12+BI13+BI14</f>
        <v>0.92949999999999999</v>
      </c>
      <c r="BL12" s="263"/>
      <c r="BM12" s="258">
        <v>0.40210000000000001</v>
      </c>
      <c r="BN12" s="182"/>
      <c r="BO12" s="182"/>
      <c r="BP12" s="182"/>
      <c r="BQ12" s="182"/>
      <c r="BR12" s="378" t="s">
        <v>165</v>
      </c>
      <c r="BS12" s="227"/>
      <c r="BT12" s="228"/>
      <c r="BU12" s="191"/>
    </row>
    <row r="13" spans="1:73" ht="13.75" customHeight="1">
      <c r="A13" s="377"/>
      <c r="B13" s="183" t="s">
        <v>166</v>
      </c>
      <c r="C13" s="184">
        <v>0.25740000000000002</v>
      </c>
      <c r="D13" s="184">
        <v>0.25740000000000002</v>
      </c>
      <c r="E13" s="184">
        <v>0.25740000000000002</v>
      </c>
      <c r="F13" s="184">
        <v>0.25740000000000002</v>
      </c>
      <c r="G13" s="184">
        <v>0.31680000000000003</v>
      </c>
      <c r="H13" s="184">
        <v>0.31680000000000003</v>
      </c>
      <c r="I13" s="184">
        <v>0.31680000000000003</v>
      </c>
      <c r="J13" s="184">
        <f>I13</f>
        <v>0.31680000000000003</v>
      </c>
      <c r="K13" s="184">
        <v>0.32900000000000001</v>
      </c>
      <c r="L13" s="184">
        <f>K13</f>
        <v>0.32900000000000001</v>
      </c>
      <c r="M13" s="184">
        <f>L13</f>
        <v>0.32900000000000001</v>
      </c>
      <c r="N13" s="184">
        <f>M13</f>
        <v>0.32900000000000001</v>
      </c>
      <c r="O13" s="184">
        <v>0.32769999999999999</v>
      </c>
      <c r="P13" s="184">
        <f>O13</f>
        <v>0.32769999999999999</v>
      </c>
      <c r="Q13" s="184">
        <f>P13</f>
        <v>0.32769999999999999</v>
      </c>
      <c r="R13" s="184">
        <f>Q13</f>
        <v>0.32769999999999999</v>
      </c>
      <c r="S13" s="184">
        <v>0.33110000000000001</v>
      </c>
      <c r="T13" s="184">
        <v>0.33110000000000001</v>
      </c>
      <c r="U13" s="184">
        <f>T13</f>
        <v>0.33110000000000001</v>
      </c>
      <c r="V13" s="184">
        <f>U13</f>
        <v>0.33110000000000001</v>
      </c>
      <c r="W13" s="184">
        <v>0.41460000000000002</v>
      </c>
      <c r="X13" s="184">
        <f>W13</f>
        <v>0.41460000000000002</v>
      </c>
      <c r="Y13" s="184">
        <f>X13</f>
        <v>0.41460000000000002</v>
      </c>
      <c r="Z13" s="184">
        <v>0.42720000000000002</v>
      </c>
      <c r="AA13" s="184">
        <v>0.42720000000000002</v>
      </c>
      <c r="AB13" s="184">
        <v>0.42720000000000002</v>
      </c>
      <c r="AC13" s="184">
        <v>0.42720000000000002</v>
      </c>
      <c r="AD13" s="184">
        <v>0.46079999999999999</v>
      </c>
      <c r="AE13" s="184">
        <f>AD13</f>
        <v>0.46079999999999999</v>
      </c>
      <c r="AF13" s="184">
        <f>+AE13</f>
        <v>0.46079999999999999</v>
      </c>
      <c r="AG13" s="184">
        <f>+AF13</f>
        <v>0.46079999999999999</v>
      </c>
      <c r="AH13" s="184">
        <v>0.4511</v>
      </c>
      <c r="AI13" s="184">
        <f>+AH13</f>
        <v>0.4511</v>
      </c>
      <c r="AJ13" s="184">
        <v>0.4511</v>
      </c>
      <c r="AK13" s="184">
        <v>0.4511</v>
      </c>
      <c r="AL13" s="184">
        <v>0.45789999999999997</v>
      </c>
      <c r="AM13" s="184">
        <v>0.44490000000000002</v>
      </c>
      <c r="AN13" s="184">
        <v>0.44490000000000002</v>
      </c>
      <c r="AO13" s="184">
        <v>0.44600000000000001</v>
      </c>
      <c r="AP13" s="184">
        <v>0.44600000000000001</v>
      </c>
      <c r="AQ13" s="184">
        <v>0.44600000000000001</v>
      </c>
      <c r="AR13" s="184">
        <v>0.44600000000000001</v>
      </c>
      <c r="AS13" s="184">
        <v>0.46389999999999998</v>
      </c>
      <c r="AT13" s="184">
        <v>0.46389999999999998</v>
      </c>
      <c r="AU13" s="184">
        <v>0.46389999999999998</v>
      </c>
      <c r="AV13" s="184">
        <v>0.46389999999999998</v>
      </c>
      <c r="AW13" s="184">
        <v>0.48199999999999998</v>
      </c>
      <c r="AX13" s="259">
        <v>0.48199999999999998</v>
      </c>
      <c r="AY13" s="259">
        <f>AX13</f>
        <v>0.48199999999999998</v>
      </c>
      <c r="AZ13" s="259">
        <f>AY13</f>
        <v>0.48199999999999998</v>
      </c>
      <c r="BA13" s="259">
        <f>AZ13</f>
        <v>0.48199999999999998</v>
      </c>
      <c r="BB13" s="259">
        <v>0.50600000000000001</v>
      </c>
      <c r="BC13" s="259">
        <v>0.50600000000000001</v>
      </c>
      <c r="BD13" s="259">
        <v>0.50600000000000001</v>
      </c>
      <c r="BE13" s="259">
        <v>0.50600000000000001</v>
      </c>
      <c r="BF13" s="381"/>
      <c r="BG13" s="382"/>
      <c r="BH13" s="293" t="s">
        <v>168</v>
      </c>
      <c r="BI13" s="259">
        <f>AY13</f>
        <v>0.48199999999999998</v>
      </c>
      <c r="BJ13" s="381"/>
      <c r="BK13" s="382"/>
      <c r="BL13" s="263" t="s">
        <v>168</v>
      </c>
      <c r="BM13" s="259">
        <f>BE13</f>
        <v>0.50600000000000001</v>
      </c>
      <c r="BN13" s="184"/>
      <c r="BO13" s="184"/>
      <c r="BP13" s="184"/>
      <c r="BQ13" s="184"/>
      <c r="BR13" s="378"/>
      <c r="BS13" s="227">
        <f>AW12+AW13+AW14</f>
        <v>1.016</v>
      </c>
      <c r="BT13" s="228" t="s">
        <v>168</v>
      </c>
      <c r="BU13" s="191"/>
    </row>
    <row r="14" spans="1:73" ht="13.75" customHeight="1">
      <c r="A14" s="377"/>
      <c r="B14" s="183" t="s">
        <v>167</v>
      </c>
      <c r="C14" s="184"/>
      <c r="D14" s="184"/>
      <c r="E14" s="184"/>
      <c r="F14" s="184"/>
      <c r="G14" s="184"/>
      <c r="H14" s="184"/>
      <c r="I14" s="184"/>
      <c r="J14" s="184"/>
      <c r="K14" s="184"/>
      <c r="L14" s="184"/>
      <c r="M14" s="184"/>
      <c r="N14" s="184"/>
      <c r="O14" s="184"/>
      <c r="P14" s="184"/>
      <c r="Q14" s="184"/>
      <c r="R14" s="184"/>
      <c r="S14" s="184"/>
      <c r="T14" s="184"/>
      <c r="U14" s="184"/>
      <c r="V14" s="184"/>
      <c r="W14" s="184"/>
      <c r="X14" s="184"/>
      <c r="Y14" s="184"/>
      <c r="Z14" s="184"/>
      <c r="AA14" s="184"/>
      <c r="AB14" s="184"/>
      <c r="AC14" s="184"/>
      <c r="AD14" s="184"/>
      <c r="AE14" s="184"/>
      <c r="AF14" s="184"/>
      <c r="AG14" s="184"/>
      <c r="AH14" s="184"/>
      <c r="AI14" s="184"/>
      <c r="AJ14" s="184"/>
      <c r="AK14" s="184"/>
      <c r="AL14" s="184"/>
      <c r="AM14" s="184">
        <v>4.2799999999999998E-2</v>
      </c>
      <c r="AN14" s="184">
        <v>4.2799999999999998E-2</v>
      </c>
      <c r="AO14" s="184">
        <v>4.2799999999999998E-2</v>
      </c>
      <c r="AP14" s="184">
        <v>4.82E-2</v>
      </c>
      <c r="AQ14" s="184">
        <v>4.82E-2</v>
      </c>
      <c r="AR14" s="184">
        <v>4.82E-2</v>
      </c>
      <c r="AS14" s="184">
        <v>4.82E-2</v>
      </c>
      <c r="AT14" s="184">
        <v>4.7600000000000003E-2</v>
      </c>
      <c r="AU14" s="184">
        <v>4.7600000000000003E-2</v>
      </c>
      <c r="AV14" s="184">
        <v>4.7600000000000003E-2</v>
      </c>
      <c r="AW14" s="184">
        <v>4.7600000000000003E-2</v>
      </c>
      <c r="AX14" s="259">
        <v>4.5400000000000003E-2</v>
      </c>
      <c r="AY14" s="259">
        <f t="shared" ref="AY14:AZ15" si="1">AX14</f>
        <v>4.5400000000000003E-2</v>
      </c>
      <c r="AZ14" s="259">
        <f t="shared" si="1"/>
        <v>4.5400000000000003E-2</v>
      </c>
      <c r="BA14" s="259">
        <f>AZ14</f>
        <v>4.5400000000000003E-2</v>
      </c>
      <c r="BB14" s="259">
        <v>4.5400000000000003E-2</v>
      </c>
      <c r="BC14" s="259">
        <v>4.5400000000000003E-2</v>
      </c>
      <c r="BD14" s="259">
        <v>4.5400000000000003E-2</v>
      </c>
      <c r="BE14" s="259">
        <v>4.5400000000000003E-2</v>
      </c>
      <c r="BF14" s="381"/>
      <c r="BG14" s="292"/>
      <c r="BH14" s="293"/>
      <c r="BI14" s="259">
        <f>AY14</f>
        <v>4.5400000000000003E-2</v>
      </c>
      <c r="BJ14" s="381"/>
      <c r="BK14" s="262"/>
      <c r="BL14" s="263"/>
      <c r="BM14" s="259">
        <f>'Prop EEC 2021 Rates VGS'!H$9</f>
        <v>4.6789999999999998E-2</v>
      </c>
      <c r="BN14" s="184"/>
      <c r="BO14" s="184"/>
      <c r="BP14" s="184"/>
      <c r="BQ14" s="184"/>
      <c r="BR14" s="378"/>
      <c r="BS14" s="227"/>
      <c r="BT14" s="228"/>
      <c r="BU14" s="191"/>
    </row>
    <row r="15" spans="1:73" ht="13.75" customHeight="1">
      <c r="A15" s="377"/>
      <c r="B15" s="183" t="s">
        <v>77</v>
      </c>
      <c r="C15" s="184"/>
      <c r="D15" s="184"/>
      <c r="E15" s="184"/>
      <c r="F15" s="184"/>
      <c r="G15" s="184"/>
      <c r="H15" s="184"/>
      <c r="I15" s="184"/>
      <c r="J15" s="184"/>
      <c r="K15" s="184"/>
      <c r="L15" s="184"/>
      <c r="M15" s="184"/>
      <c r="N15" s="184"/>
      <c r="O15" s="184"/>
      <c r="P15" s="184"/>
      <c r="Q15" s="184"/>
      <c r="R15" s="184"/>
      <c r="S15" s="184"/>
      <c r="T15" s="184"/>
      <c r="U15" s="184"/>
      <c r="V15" s="184"/>
      <c r="W15" s="184"/>
      <c r="X15" s="184"/>
      <c r="Y15" s="184"/>
      <c r="Z15" s="184"/>
      <c r="AA15" s="184"/>
      <c r="AB15" s="185">
        <v>1.85</v>
      </c>
      <c r="AC15" s="185">
        <f>+AB15</f>
        <v>1.85</v>
      </c>
      <c r="AD15" s="185">
        <f>+AC15</f>
        <v>1.85</v>
      </c>
      <c r="AE15" s="185">
        <f>+AD15</f>
        <v>1.85</v>
      </c>
      <c r="AF15" s="185">
        <f>+AE15</f>
        <v>1.85</v>
      </c>
      <c r="AG15" s="185">
        <f>+AF15</f>
        <v>1.85</v>
      </c>
      <c r="AH15" s="185">
        <v>1.1000000000000001</v>
      </c>
      <c r="AI15" s="185">
        <f>+AH15</f>
        <v>1.1000000000000001</v>
      </c>
      <c r="AJ15" s="185">
        <v>1.1000000000000001</v>
      </c>
      <c r="AK15" s="185">
        <v>1.1000000000000001</v>
      </c>
      <c r="AL15" s="185">
        <v>0.99</v>
      </c>
      <c r="AM15" s="185">
        <v>0.99</v>
      </c>
      <c r="AN15" s="185">
        <v>0.99</v>
      </c>
      <c r="AO15" s="185">
        <v>0.99</v>
      </c>
      <c r="AP15" s="185">
        <v>0.16</v>
      </c>
      <c r="AQ15" s="185">
        <v>0.16</v>
      </c>
      <c r="AR15" s="185">
        <v>0.16</v>
      </c>
      <c r="AS15" s="185">
        <v>0.16</v>
      </c>
      <c r="AT15" s="185">
        <v>0.16</v>
      </c>
      <c r="AU15" s="185">
        <v>0.16</v>
      </c>
      <c r="AV15" s="185">
        <v>0.16</v>
      </c>
      <c r="AW15" s="185">
        <v>0.16</v>
      </c>
      <c r="AX15" s="260">
        <v>0.16</v>
      </c>
      <c r="AY15" s="259">
        <f t="shared" si="1"/>
        <v>0.16</v>
      </c>
      <c r="AZ15" s="259">
        <f t="shared" si="1"/>
        <v>0.16</v>
      </c>
      <c r="BA15" s="259">
        <f>AZ15</f>
        <v>0.16</v>
      </c>
      <c r="BB15" s="259">
        <v>0.16</v>
      </c>
      <c r="BC15" s="259">
        <v>0.16</v>
      </c>
      <c r="BD15" s="259">
        <v>0.16</v>
      </c>
      <c r="BE15" s="259">
        <v>0.16</v>
      </c>
      <c r="BG15" s="292"/>
      <c r="BH15" s="293"/>
      <c r="BI15" s="259">
        <f>AY15</f>
        <v>0.16</v>
      </c>
      <c r="BJ15" s="268"/>
      <c r="BK15" s="262"/>
      <c r="BL15" s="263"/>
      <c r="BM15" s="259">
        <f>BE15</f>
        <v>0.16</v>
      </c>
      <c r="BN15" s="185"/>
      <c r="BO15" s="185"/>
      <c r="BP15" s="185"/>
      <c r="BQ15" s="185"/>
      <c r="BR15" s="192"/>
      <c r="BS15" s="227"/>
      <c r="BT15" s="228"/>
      <c r="BU15" s="191"/>
    </row>
    <row r="16" spans="1:73" ht="13.75" customHeight="1">
      <c r="A16" s="226"/>
      <c r="B16" s="183" t="s">
        <v>169</v>
      </c>
      <c r="C16" s="184"/>
      <c r="D16" s="184"/>
      <c r="E16" s="184"/>
      <c r="F16" s="184"/>
      <c r="G16" s="184"/>
      <c r="H16" s="184"/>
      <c r="I16" s="184"/>
      <c r="J16" s="184"/>
      <c r="K16" s="184"/>
      <c r="L16" s="184"/>
      <c r="M16" s="184"/>
      <c r="N16" s="184"/>
      <c r="O16" s="184"/>
      <c r="P16" s="184"/>
      <c r="Q16" s="184"/>
      <c r="R16" s="184"/>
      <c r="S16" s="184"/>
      <c r="T16" s="184"/>
      <c r="U16" s="184"/>
      <c r="V16" s="184"/>
      <c r="W16" s="184"/>
      <c r="X16" s="184"/>
      <c r="Y16" s="184"/>
      <c r="Z16" s="184"/>
      <c r="AA16" s="184"/>
      <c r="AB16" s="185"/>
      <c r="AC16" s="185"/>
      <c r="AD16" s="185"/>
      <c r="AE16" s="185"/>
      <c r="AF16" s="185"/>
      <c r="AG16" s="185"/>
      <c r="AH16" s="185"/>
      <c r="AI16" s="185"/>
      <c r="AJ16" s="185"/>
      <c r="AK16" s="185"/>
      <c r="AL16" s="185"/>
      <c r="AM16" s="185"/>
      <c r="AN16" s="185"/>
      <c r="AO16" s="185"/>
      <c r="AP16" s="185"/>
      <c r="AQ16" s="185"/>
      <c r="AR16" s="185"/>
      <c r="AS16" s="185"/>
      <c r="AT16" s="186">
        <v>-6.2799999999999995E-2</v>
      </c>
      <c r="AU16" s="186">
        <v>-6.2799999999999995E-2</v>
      </c>
      <c r="AV16" s="186">
        <v>-6.2799999999999995E-2</v>
      </c>
      <c r="AW16" s="186">
        <v>0</v>
      </c>
      <c r="AX16" s="264"/>
      <c r="AY16" s="264"/>
      <c r="AZ16" s="259"/>
      <c r="BA16" s="259"/>
      <c r="BB16" s="259"/>
      <c r="BC16" s="259"/>
      <c r="BD16" s="259"/>
      <c r="BE16" s="259"/>
      <c r="BF16" s="50"/>
      <c r="BG16" s="292"/>
      <c r="BH16" s="293"/>
      <c r="BI16" s="264"/>
      <c r="BJ16" s="269"/>
      <c r="BK16" s="262"/>
      <c r="BL16" s="263"/>
      <c r="BM16" s="264"/>
      <c r="BN16" s="186"/>
      <c r="BO16" s="186"/>
      <c r="BP16" s="186"/>
      <c r="BQ16" s="186"/>
      <c r="BR16" s="193" t="s">
        <v>165</v>
      </c>
      <c r="BS16" s="227">
        <f>BS13+AW16</f>
        <v>1.016</v>
      </c>
      <c r="BT16" s="228" t="s">
        <v>168</v>
      </c>
      <c r="BU16" s="191"/>
    </row>
    <row r="17" spans="1:73" ht="15.5">
      <c r="A17" s="194"/>
      <c r="C17" s="184"/>
      <c r="D17" s="184"/>
      <c r="E17" s="184"/>
      <c r="F17" s="184"/>
      <c r="G17" s="184"/>
      <c r="H17" s="184"/>
      <c r="I17" s="184"/>
      <c r="J17" s="184"/>
      <c r="K17" s="184"/>
      <c r="L17" s="184"/>
      <c r="M17" s="184"/>
      <c r="N17" s="184"/>
      <c r="O17" s="184"/>
      <c r="P17" s="184"/>
      <c r="Q17" s="184"/>
      <c r="R17" s="184"/>
      <c r="S17" s="184"/>
      <c r="T17" s="184"/>
      <c r="U17" s="184"/>
      <c r="V17" s="184"/>
      <c r="W17" s="184"/>
      <c r="X17" s="184"/>
      <c r="Y17" s="184"/>
      <c r="Z17" s="184"/>
      <c r="AA17" s="184"/>
      <c r="AB17" s="184"/>
      <c r="AC17" s="195"/>
      <c r="AD17" s="195"/>
      <c r="AE17" s="195"/>
      <c r="AF17" s="195"/>
      <c r="AG17" s="195"/>
      <c r="AH17" s="195"/>
      <c r="AI17" s="196"/>
      <c r="AJ17" s="196"/>
      <c r="AK17" s="196"/>
      <c r="AL17" s="196"/>
      <c r="AM17" s="196"/>
      <c r="AN17" s="196"/>
      <c r="AO17" s="196"/>
      <c r="AP17" s="196"/>
      <c r="AQ17" s="196"/>
      <c r="AR17" s="196"/>
      <c r="AS17" s="196"/>
      <c r="AT17" s="196"/>
      <c r="AU17" s="196"/>
      <c r="AV17" s="196"/>
      <c r="AW17" s="196"/>
      <c r="AX17" s="270"/>
      <c r="AY17" s="270"/>
      <c r="AZ17" s="318"/>
      <c r="BA17" s="318"/>
      <c r="BB17" s="318"/>
      <c r="BC17" s="318"/>
      <c r="BD17" s="318"/>
      <c r="BE17" s="318"/>
      <c r="BG17" s="50"/>
      <c r="BH17" s="50"/>
      <c r="BI17" s="270"/>
      <c r="BK17" s="50"/>
      <c r="BL17" s="50"/>
      <c r="BM17" s="270"/>
      <c r="BN17" s="196"/>
      <c r="BO17" s="196"/>
      <c r="BP17" s="196"/>
      <c r="BQ17" s="196"/>
      <c r="BS17" s="179"/>
      <c r="BT17" s="179"/>
      <c r="BU17" s="191"/>
    </row>
    <row r="18" spans="1:73" ht="13.75" customHeight="1">
      <c r="A18" s="376" t="s">
        <v>108</v>
      </c>
      <c r="B18" s="176" t="s">
        <v>163</v>
      </c>
      <c r="C18" s="177">
        <v>0.79100000000000004</v>
      </c>
      <c r="D18" s="177">
        <v>0.79100000000000004</v>
      </c>
      <c r="E18" s="177">
        <v>0.79100000000000004</v>
      </c>
      <c r="F18" s="177">
        <v>0.79100000000000004</v>
      </c>
      <c r="G18" s="177">
        <v>0.97350000000000003</v>
      </c>
      <c r="H18" s="177">
        <v>0.97350000000000003</v>
      </c>
      <c r="I18" s="177">
        <v>0.97350000000000003</v>
      </c>
      <c r="J18" s="177">
        <f>I18</f>
        <v>0.97350000000000003</v>
      </c>
      <c r="K18" s="177">
        <v>1.0108999999999999</v>
      </c>
      <c r="L18" s="177">
        <f>K18</f>
        <v>1.0108999999999999</v>
      </c>
      <c r="M18" s="177">
        <f>L18</f>
        <v>1.0108999999999999</v>
      </c>
      <c r="N18" s="177">
        <f>M18</f>
        <v>1.0108999999999999</v>
      </c>
      <c r="O18" s="177">
        <v>1.0069999999999999</v>
      </c>
      <c r="P18" s="177">
        <f>O18</f>
        <v>1.0069999999999999</v>
      </c>
      <c r="Q18" s="177">
        <f>P18</f>
        <v>1.0069999999999999</v>
      </c>
      <c r="R18" s="177">
        <f>Q18</f>
        <v>1.0069999999999999</v>
      </c>
      <c r="S18" s="177">
        <v>1.0174000000000001</v>
      </c>
      <c r="T18" s="177">
        <v>1.0174000000000001</v>
      </c>
      <c r="U18" s="177">
        <f>T18</f>
        <v>1.0174000000000001</v>
      </c>
      <c r="V18" s="177">
        <f>U18</f>
        <v>1.0174000000000001</v>
      </c>
      <c r="W18" s="177">
        <v>1.0256000000000001</v>
      </c>
      <c r="X18" s="177">
        <f>W18</f>
        <v>1.0256000000000001</v>
      </c>
      <c r="Y18" s="177">
        <f>X18</f>
        <v>1.0256000000000001</v>
      </c>
      <c r="Z18" s="177">
        <v>1.0567</v>
      </c>
      <c r="AA18" s="177">
        <v>1.0567</v>
      </c>
      <c r="AB18" s="177">
        <v>1.0567</v>
      </c>
      <c r="AC18" s="178">
        <v>1.0567</v>
      </c>
      <c r="AD18" s="178">
        <v>1.1284000000000001</v>
      </c>
      <c r="AE18" s="178">
        <f>AD18</f>
        <v>1.1284000000000001</v>
      </c>
      <c r="AF18" s="178">
        <f>+AE18</f>
        <v>1.1284000000000001</v>
      </c>
      <c r="AG18" s="178">
        <f>+AF18</f>
        <v>1.1284000000000001</v>
      </c>
      <c r="AH18" s="178">
        <v>1.0940000000000001</v>
      </c>
      <c r="AI18" s="178">
        <f>+AH18</f>
        <v>1.0940000000000001</v>
      </c>
      <c r="AJ18" s="178">
        <v>1.0940000000000001</v>
      </c>
      <c r="AK18" s="178">
        <v>1.0940000000000001</v>
      </c>
      <c r="AL18" s="178">
        <v>1.1105</v>
      </c>
      <c r="AM18" s="178">
        <v>1.1105</v>
      </c>
      <c r="AN18" s="178">
        <v>1.1105</v>
      </c>
      <c r="AO18" s="178">
        <v>1.1133</v>
      </c>
      <c r="AP18" s="178">
        <v>1.1133</v>
      </c>
      <c r="AQ18" s="178">
        <v>1.1133</v>
      </c>
      <c r="AR18" s="178">
        <v>1.1133</v>
      </c>
      <c r="AS18" s="178">
        <v>1.1578999999999999</v>
      </c>
      <c r="AT18" s="178">
        <v>1.1578999999999999</v>
      </c>
      <c r="AU18" s="178">
        <v>1.1578999999999999</v>
      </c>
      <c r="AV18" s="178">
        <v>1.1578999999999999</v>
      </c>
      <c r="AW18" s="178">
        <v>1.2032</v>
      </c>
      <c r="AX18" s="257">
        <v>1.2032</v>
      </c>
      <c r="AY18" s="257">
        <f>AX18</f>
        <v>1.2032</v>
      </c>
      <c r="AZ18" s="259">
        <f>AY18</f>
        <v>1.2032</v>
      </c>
      <c r="BA18" s="259">
        <f>AZ18</f>
        <v>1.2032</v>
      </c>
      <c r="BB18" s="259">
        <v>1.2632000000000001</v>
      </c>
      <c r="BC18" s="259">
        <v>1.2632000000000001</v>
      </c>
      <c r="BD18" s="259">
        <v>1.2632000000000001</v>
      </c>
      <c r="BE18" s="259">
        <v>1.2632000000000001</v>
      </c>
      <c r="BG18" s="50"/>
      <c r="BH18" s="50"/>
      <c r="BI18" s="257">
        <f>AY18</f>
        <v>1.2032</v>
      </c>
      <c r="BK18" s="50"/>
      <c r="BL18" s="50"/>
      <c r="BM18" s="257">
        <f>BE18</f>
        <v>1.2632000000000001</v>
      </c>
      <c r="BN18" s="178"/>
      <c r="BO18" s="178"/>
      <c r="BP18" s="178"/>
      <c r="BQ18" s="178"/>
      <c r="BS18" s="179"/>
      <c r="BT18" s="179"/>
      <c r="BU18" s="191"/>
    </row>
    <row r="19" spans="1:73" ht="13.75" customHeight="1">
      <c r="A19" s="377"/>
      <c r="B19" s="181" t="s">
        <v>164</v>
      </c>
      <c r="C19" s="182">
        <v>0.90149999999999997</v>
      </c>
      <c r="D19" s="182">
        <v>0.97829999999999995</v>
      </c>
      <c r="E19" s="182">
        <v>1.0501</v>
      </c>
      <c r="F19" s="182">
        <v>1.0059</v>
      </c>
      <c r="G19" s="182">
        <v>0.99399999999999999</v>
      </c>
      <c r="H19" s="182">
        <v>0.99719999999999998</v>
      </c>
      <c r="I19" s="182">
        <v>1.1386000000000001</v>
      </c>
      <c r="J19" s="182">
        <v>1.1041000000000001</v>
      </c>
      <c r="K19" s="182">
        <v>0.96989999999999998</v>
      </c>
      <c r="L19" s="182">
        <v>0.80910000000000004</v>
      </c>
      <c r="M19" s="182">
        <v>0.80449999999999999</v>
      </c>
      <c r="N19" s="182">
        <v>0.78879999999999995</v>
      </c>
      <c r="O19" s="182">
        <v>0.7631</v>
      </c>
      <c r="P19" s="182">
        <v>0.82969999999999999</v>
      </c>
      <c r="Q19" s="182">
        <v>0.82669999999999999</v>
      </c>
      <c r="R19" s="182">
        <v>0.79720000000000002</v>
      </c>
      <c r="S19" s="182">
        <v>0.75680000000000003</v>
      </c>
      <c r="T19" s="182">
        <v>0.75680000000000003</v>
      </c>
      <c r="U19" s="182">
        <v>0.8821</v>
      </c>
      <c r="V19" s="182">
        <v>0.86990000000000001</v>
      </c>
      <c r="W19" s="182">
        <v>0.76790000000000003</v>
      </c>
      <c r="X19" s="182">
        <v>0.72870000000000001</v>
      </c>
      <c r="Y19" s="182">
        <v>0.68030000000000002</v>
      </c>
      <c r="Z19" s="182">
        <v>0.68069999999999997</v>
      </c>
      <c r="AA19" s="182">
        <v>0.70320000000000005</v>
      </c>
      <c r="AB19" s="182">
        <v>0.67569999999999997</v>
      </c>
      <c r="AC19" s="182">
        <v>0.65849999999999997</v>
      </c>
      <c r="AD19" s="182">
        <v>0.52510000000000001</v>
      </c>
      <c r="AE19" s="182">
        <v>0.501</v>
      </c>
      <c r="AF19" s="182">
        <v>0.5262</v>
      </c>
      <c r="AG19" s="182">
        <v>0.57350000000000001</v>
      </c>
      <c r="AH19" s="182">
        <v>0.55820000000000003</v>
      </c>
      <c r="AI19" s="182">
        <v>0.5212</v>
      </c>
      <c r="AJ19" s="182">
        <v>0.51380000000000003</v>
      </c>
      <c r="AK19" s="182">
        <v>0.51090000000000002</v>
      </c>
      <c r="AL19" s="182">
        <v>0.46939999999999998</v>
      </c>
      <c r="AM19" s="182">
        <v>0.45419999999999999</v>
      </c>
      <c r="AN19" s="182">
        <v>0.4325</v>
      </c>
      <c r="AO19" s="182">
        <v>0.46060000000000001</v>
      </c>
      <c r="AP19" s="182">
        <v>0.43190000000000001</v>
      </c>
      <c r="AQ19" s="182">
        <v>0.44800000000000001</v>
      </c>
      <c r="AR19" s="182">
        <v>0.44109999999999999</v>
      </c>
      <c r="AS19" s="182">
        <v>0.44030000000000002</v>
      </c>
      <c r="AT19" s="182">
        <v>0.43659999999999999</v>
      </c>
      <c r="AU19" s="182">
        <v>0.37330000000000002</v>
      </c>
      <c r="AV19" s="182">
        <v>0.36820000000000003</v>
      </c>
      <c r="AW19" s="182">
        <v>0.3594</v>
      </c>
      <c r="AX19" s="258">
        <v>0.3584</v>
      </c>
      <c r="AY19" s="258">
        <f>[9]Sheet1!$H$32</f>
        <v>0.31709999999999999</v>
      </c>
      <c r="AZ19" s="258">
        <f>[9]Sheet1!$H$32</f>
        <v>0.31709999999999999</v>
      </c>
      <c r="BA19" s="258">
        <v>0.29709999999999998</v>
      </c>
      <c r="BB19" s="258">
        <v>0.27779999999999999</v>
      </c>
      <c r="BC19" s="258">
        <v>0.26290000000000002</v>
      </c>
      <c r="BD19" s="258">
        <v>0.26040000000000002</v>
      </c>
      <c r="BE19" s="258">
        <v>0.2928</v>
      </c>
      <c r="BF19" s="381" t="s">
        <v>165</v>
      </c>
      <c r="BG19" s="382">
        <f>BE19+BE20+BE21</f>
        <v>0.74919999999999998</v>
      </c>
      <c r="BH19" s="375" t="s">
        <v>168</v>
      </c>
      <c r="BI19" s="258">
        <v>0.29709999999999998</v>
      </c>
      <c r="BJ19" s="381" t="s">
        <v>165</v>
      </c>
      <c r="BK19" s="382">
        <f>BI19+BI20+BI21</f>
        <v>0.73349999999999993</v>
      </c>
      <c r="BL19" s="375" t="s">
        <v>168</v>
      </c>
      <c r="BM19" s="258">
        <v>0.29709999999999998</v>
      </c>
      <c r="BN19" s="182"/>
      <c r="BO19" s="182"/>
      <c r="BP19" s="182"/>
      <c r="BQ19" s="182"/>
      <c r="BR19" s="378" t="s">
        <v>165</v>
      </c>
      <c r="BS19" s="383">
        <f>AW19+AW20+AW21</f>
        <v>0.79749999999999999</v>
      </c>
      <c r="BT19" s="384" t="s">
        <v>168</v>
      </c>
      <c r="BU19" s="180"/>
    </row>
    <row r="20" spans="1:73" ht="13.75" customHeight="1">
      <c r="A20" s="377"/>
      <c r="B20" s="183" t="s">
        <v>166</v>
      </c>
      <c r="C20" s="184">
        <v>0.35299999999999998</v>
      </c>
      <c r="D20" s="184">
        <v>0.35299999999999998</v>
      </c>
      <c r="E20" s="184">
        <v>0.35299999999999998</v>
      </c>
      <c r="F20" s="184">
        <v>0.35299999999999998</v>
      </c>
      <c r="G20" s="184">
        <v>0.43440000000000001</v>
      </c>
      <c r="H20" s="184">
        <v>0.43440000000000001</v>
      </c>
      <c r="I20" s="184">
        <v>0.43440000000000001</v>
      </c>
      <c r="J20" s="184">
        <f>I20</f>
        <v>0.43440000000000001</v>
      </c>
      <c r="K20" s="184">
        <v>0.4511</v>
      </c>
      <c r="L20" s="184">
        <f>K20</f>
        <v>0.4511</v>
      </c>
      <c r="M20" s="184">
        <f>L20</f>
        <v>0.4511</v>
      </c>
      <c r="N20" s="184">
        <f>M20</f>
        <v>0.4511</v>
      </c>
      <c r="O20" s="184">
        <v>0.44940000000000002</v>
      </c>
      <c r="P20" s="184">
        <f>O20</f>
        <v>0.44940000000000002</v>
      </c>
      <c r="Q20" s="184">
        <f>P20</f>
        <v>0.44940000000000002</v>
      </c>
      <c r="R20" s="184">
        <f>Q20</f>
        <v>0.44940000000000002</v>
      </c>
      <c r="S20" s="184">
        <v>0.45400000000000001</v>
      </c>
      <c r="T20" s="184">
        <v>0.45400000000000001</v>
      </c>
      <c r="U20" s="184">
        <f>T20</f>
        <v>0.45400000000000001</v>
      </c>
      <c r="V20" s="184">
        <f>U20</f>
        <v>0.45400000000000001</v>
      </c>
      <c r="W20" s="184">
        <v>0.52690000000000003</v>
      </c>
      <c r="X20" s="184">
        <f>W20</f>
        <v>0.52690000000000003</v>
      </c>
      <c r="Y20" s="184">
        <f>X20</f>
        <v>0.52690000000000003</v>
      </c>
      <c r="Z20" s="184">
        <v>0.54290000000000005</v>
      </c>
      <c r="AA20" s="184">
        <v>0.54290000000000005</v>
      </c>
      <c r="AB20" s="184">
        <v>0.54290000000000005</v>
      </c>
      <c r="AC20" s="184">
        <v>0.54290000000000005</v>
      </c>
      <c r="AD20" s="184">
        <v>0.48349999999999999</v>
      </c>
      <c r="AE20" s="184">
        <f>AD20</f>
        <v>0.48349999999999999</v>
      </c>
      <c r="AF20" s="184">
        <f>+AE20</f>
        <v>0.48349999999999999</v>
      </c>
      <c r="AG20" s="184">
        <f>+AF20</f>
        <v>0.48349999999999999</v>
      </c>
      <c r="AH20" s="184">
        <v>0.3755</v>
      </c>
      <c r="AI20" s="184">
        <f>+AH20</f>
        <v>0.3755</v>
      </c>
      <c r="AJ20" s="184">
        <v>0.3755</v>
      </c>
      <c r="AK20" s="184">
        <v>0.3755</v>
      </c>
      <c r="AL20" s="184">
        <v>0.38119999999999998</v>
      </c>
      <c r="AM20" s="184">
        <v>0.37030000000000002</v>
      </c>
      <c r="AN20" s="184">
        <v>0.37030000000000002</v>
      </c>
      <c r="AO20" s="184">
        <v>0.37119999999999997</v>
      </c>
      <c r="AP20" s="184">
        <v>0.37119999999999997</v>
      </c>
      <c r="AQ20" s="184">
        <v>0.37119999999999997</v>
      </c>
      <c r="AR20" s="184">
        <v>0.37119999999999997</v>
      </c>
      <c r="AS20" s="184">
        <v>0.3861</v>
      </c>
      <c r="AT20" s="184">
        <v>0.3861</v>
      </c>
      <c r="AU20" s="184">
        <v>0.3861</v>
      </c>
      <c r="AV20" s="184">
        <v>0.3861</v>
      </c>
      <c r="AW20" s="184">
        <v>0.4012</v>
      </c>
      <c r="AX20" s="259">
        <v>0.4012</v>
      </c>
      <c r="AY20" s="259">
        <f>AX20</f>
        <v>0.4012</v>
      </c>
      <c r="AZ20" s="259">
        <f>AY20</f>
        <v>0.4012</v>
      </c>
      <c r="BA20" s="259">
        <f>AZ20</f>
        <v>0.4012</v>
      </c>
      <c r="BB20" s="259">
        <v>0.42120000000000002</v>
      </c>
      <c r="BC20" s="259">
        <v>0.42120000000000002</v>
      </c>
      <c r="BD20" s="259">
        <v>0.42120000000000002</v>
      </c>
      <c r="BE20" s="259">
        <v>0.42120000000000002</v>
      </c>
      <c r="BF20" s="381"/>
      <c r="BG20" s="382"/>
      <c r="BH20" s="375"/>
      <c r="BI20" s="259">
        <f>AY20</f>
        <v>0.4012</v>
      </c>
      <c r="BJ20" s="381"/>
      <c r="BK20" s="382"/>
      <c r="BL20" s="375"/>
      <c r="BM20" s="259">
        <f>BE20</f>
        <v>0.42120000000000002</v>
      </c>
      <c r="BN20" s="184"/>
      <c r="BO20" s="184"/>
      <c r="BP20" s="184"/>
      <c r="BQ20" s="184"/>
      <c r="BR20" s="378"/>
      <c r="BS20" s="383"/>
      <c r="BT20" s="384"/>
      <c r="BU20" s="180"/>
    </row>
    <row r="21" spans="1:73" ht="13.75" customHeight="1">
      <c r="A21" s="377"/>
      <c r="B21" s="183" t="s">
        <v>167</v>
      </c>
      <c r="C21" s="184"/>
      <c r="D21" s="184"/>
      <c r="E21" s="184"/>
      <c r="F21" s="184"/>
      <c r="G21" s="184"/>
      <c r="H21" s="184"/>
      <c r="I21" s="184"/>
      <c r="J21" s="184"/>
      <c r="K21" s="184"/>
      <c r="L21" s="184"/>
      <c r="M21" s="184"/>
      <c r="N21" s="184"/>
      <c r="O21" s="184"/>
      <c r="P21" s="184"/>
      <c r="Q21" s="184"/>
      <c r="R21" s="184"/>
      <c r="S21" s="184"/>
      <c r="T21" s="184"/>
      <c r="U21" s="184"/>
      <c r="V21" s="184"/>
      <c r="W21" s="184"/>
      <c r="X21" s="184"/>
      <c r="Y21" s="184"/>
      <c r="Z21" s="184"/>
      <c r="AA21" s="184"/>
      <c r="AB21" s="184"/>
      <c r="AC21" s="184"/>
      <c r="AD21" s="184"/>
      <c r="AE21" s="184"/>
      <c r="AF21" s="184"/>
      <c r="AG21" s="184"/>
      <c r="AH21" s="184"/>
      <c r="AI21" s="184"/>
      <c r="AJ21" s="184"/>
      <c r="AK21" s="184"/>
      <c r="AL21" s="184"/>
      <c r="AM21" s="184">
        <v>3.32E-2</v>
      </c>
      <c r="AN21" s="184">
        <v>3.32E-2</v>
      </c>
      <c r="AO21" s="184">
        <v>3.32E-2</v>
      </c>
      <c r="AP21" s="184">
        <v>3.7400000000000003E-2</v>
      </c>
      <c r="AQ21" s="184">
        <v>3.7400000000000003E-2</v>
      </c>
      <c r="AR21" s="184">
        <v>3.7400000000000003E-2</v>
      </c>
      <c r="AS21" s="184">
        <v>3.7400000000000003E-2</v>
      </c>
      <c r="AT21" s="184">
        <v>3.6900000000000002E-2</v>
      </c>
      <c r="AU21" s="184">
        <v>3.6900000000000002E-2</v>
      </c>
      <c r="AV21" s="184">
        <v>3.6900000000000002E-2</v>
      </c>
      <c r="AW21" s="184">
        <v>3.6900000000000002E-2</v>
      </c>
      <c r="AX21" s="259">
        <v>3.5200000000000002E-2</v>
      </c>
      <c r="AY21" s="259">
        <f t="shared" ref="AY21:AZ22" si="2">AX21</f>
        <v>3.5200000000000002E-2</v>
      </c>
      <c r="AZ21" s="259">
        <f t="shared" si="2"/>
        <v>3.5200000000000002E-2</v>
      </c>
      <c r="BA21" s="259">
        <f>AZ21</f>
        <v>3.5200000000000002E-2</v>
      </c>
      <c r="BB21" s="259">
        <v>3.5200000000000002E-2</v>
      </c>
      <c r="BC21" s="259">
        <v>3.5200000000000002E-2</v>
      </c>
      <c r="BD21" s="259">
        <v>3.5200000000000002E-2</v>
      </c>
      <c r="BE21" s="259">
        <v>3.5200000000000002E-2</v>
      </c>
      <c r="BF21" s="381"/>
      <c r="BG21" s="292"/>
      <c r="BH21" s="319"/>
      <c r="BI21" s="259">
        <f>AY21</f>
        <v>3.5200000000000002E-2</v>
      </c>
      <c r="BJ21" s="381"/>
      <c r="BK21" s="262"/>
      <c r="BL21" s="271"/>
      <c r="BM21" s="259">
        <f>'Prop EEC 2021 Rates VGS'!H$10</f>
        <v>3.628E-2</v>
      </c>
      <c r="BN21" s="184"/>
      <c r="BO21" s="184"/>
      <c r="BP21" s="184"/>
      <c r="BQ21" s="184"/>
      <c r="BR21" s="378" t="s">
        <v>165</v>
      </c>
      <c r="BS21" s="227"/>
      <c r="BT21" s="197"/>
      <c r="BU21" s="180"/>
    </row>
    <row r="22" spans="1:73" ht="13.75" customHeight="1">
      <c r="A22" s="377"/>
      <c r="B22" s="183" t="s">
        <v>77</v>
      </c>
      <c r="C22" s="184"/>
      <c r="D22" s="184"/>
      <c r="E22" s="184"/>
      <c r="F22" s="184"/>
      <c r="G22" s="184"/>
      <c r="H22" s="184"/>
      <c r="I22" s="184"/>
      <c r="J22" s="184"/>
      <c r="K22" s="184"/>
      <c r="L22" s="184"/>
      <c r="M22" s="184"/>
      <c r="N22" s="184"/>
      <c r="O22" s="184"/>
      <c r="P22" s="184"/>
      <c r="Q22" s="184"/>
      <c r="R22" s="184"/>
      <c r="S22" s="184"/>
      <c r="T22" s="184"/>
      <c r="U22" s="184"/>
      <c r="V22" s="184"/>
      <c r="W22" s="184"/>
      <c r="X22" s="184"/>
      <c r="Y22" s="184"/>
      <c r="Z22" s="184"/>
      <c r="AA22" s="184"/>
      <c r="AB22" s="185">
        <v>2.38</v>
      </c>
      <c r="AC22" s="185">
        <f>+AB22</f>
        <v>2.38</v>
      </c>
      <c r="AD22" s="185">
        <f>+AC22</f>
        <v>2.38</v>
      </c>
      <c r="AE22" s="185">
        <f>+AD22</f>
        <v>2.38</v>
      </c>
      <c r="AF22" s="185">
        <f>+AE22</f>
        <v>2.38</v>
      </c>
      <c r="AG22" s="185">
        <f>+AF22</f>
        <v>2.38</v>
      </c>
      <c r="AH22" s="185">
        <v>1.1499999999999999</v>
      </c>
      <c r="AI22" s="185">
        <f>+AH22</f>
        <v>1.1499999999999999</v>
      </c>
      <c r="AJ22" s="185">
        <v>1.1499999999999999</v>
      </c>
      <c r="AK22" s="185">
        <v>1.1499999999999999</v>
      </c>
      <c r="AL22" s="185">
        <v>1</v>
      </c>
      <c r="AM22" s="185">
        <v>1</v>
      </c>
      <c r="AN22" s="185">
        <v>1</v>
      </c>
      <c r="AO22" s="185">
        <v>1</v>
      </c>
      <c r="AP22" s="185">
        <v>0.16</v>
      </c>
      <c r="AQ22" s="185">
        <v>0.16</v>
      </c>
      <c r="AR22" s="185">
        <v>0.16</v>
      </c>
      <c r="AS22" s="185">
        <v>0.16</v>
      </c>
      <c r="AT22" s="185">
        <v>0.16</v>
      </c>
      <c r="AU22" s="185">
        <v>0.16</v>
      </c>
      <c r="AV22" s="185">
        <v>0.16</v>
      </c>
      <c r="AW22" s="185">
        <v>0.16</v>
      </c>
      <c r="AX22" s="260">
        <v>0.16</v>
      </c>
      <c r="AY22" s="259">
        <f t="shared" si="2"/>
        <v>0.16</v>
      </c>
      <c r="AZ22" s="259">
        <f t="shared" si="2"/>
        <v>0.16</v>
      </c>
      <c r="BA22" s="259">
        <f>AZ22</f>
        <v>0.16</v>
      </c>
      <c r="BB22" s="259">
        <v>0.6</v>
      </c>
      <c r="BC22" s="259">
        <v>0.6</v>
      </c>
      <c r="BD22" s="259">
        <v>0.6</v>
      </c>
      <c r="BE22" s="259">
        <v>0.6</v>
      </c>
      <c r="BG22" s="292"/>
      <c r="BH22" s="293"/>
      <c r="BI22" s="259">
        <f>AY22</f>
        <v>0.16</v>
      </c>
      <c r="BJ22" s="268"/>
      <c r="BK22" s="262"/>
      <c r="BL22" s="263"/>
      <c r="BM22" s="259">
        <f>BE22</f>
        <v>0.6</v>
      </c>
      <c r="BN22" s="185"/>
      <c r="BO22" s="185"/>
      <c r="BP22" s="185"/>
      <c r="BQ22" s="185"/>
      <c r="BR22" s="192"/>
      <c r="BS22" s="227"/>
      <c r="BT22" s="228"/>
      <c r="BU22" s="180"/>
    </row>
    <row r="23" spans="1:73" ht="13.75" customHeight="1">
      <c r="A23" s="226"/>
      <c r="B23" s="183" t="str">
        <f>B16</f>
        <v>2018 Tax Adj</v>
      </c>
      <c r="C23" s="184"/>
      <c r="D23" s="184"/>
      <c r="E23" s="184"/>
      <c r="F23" s="184"/>
      <c r="G23" s="184"/>
      <c r="H23" s="184"/>
      <c r="I23" s="184"/>
      <c r="J23" s="184"/>
      <c r="K23" s="184"/>
      <c r="L23" s="184"/>
      <c r="M23" s="184"/>
      <c r="N23" s="184"/>
      <c r="O23" s="184"/>
      <c r="P23" s="184"/>
      <c r="Q23" s="184"/>
      <c r="R23" s="184"/>
      <c r="S23" s="184"/>
      <c r="T23" s="184"/>
      <c r="U23" s="184"/>
      <c r="V23" s="184"/>
      <c r="W23" s="184"/>
      <c r="X23" s="184"/>
      <c r="Y23" s="184"/>
      <c r="Z23" s="184"/>
      <c r="AA23" s="184"/>
      <c r="AB23" s="185"/>
      <c r="AC23" s="185"/>
      <c r="AD23" s="185"/>
      <c r="AE23" s="185"/>
      <c r="AF23" s="185"/>
      <c r="AG23" s="185"/>
      <c r="AH23" s="185"/>
      <c r="AI23" s="185"/>
      <c r="AJ23" s="185"/>
      <c r="AK23" s="185"/>
      <c r="AL23" s="185"/>
      <c r="AM23" s="185"/>
      <c r="AN23" s="185"/>
      <c r="AO23" s="185"/>
      <c r="AP23" s="185"/>
      <c r="AQ23" s="185"/>
      <c r="AR23" s="185"/>
      <c r="AS23" s="185"/>
      <c r="AT23" s="186">
        <v>-4.6699999999999998E-2</v>
      </c>
      <c r="AU23" s="186">
        <v>-4.6699999999999998E-2</v>
      </c>
      <c r="AV23" s="186">
        <v>-4.6699999999999998E-2</v>
      </c>
      <c r="AW23" s="186">
        <v>0</v>
      </c>
      <c r="AX23" s="264"/>
      <c r="AY23" s="264"/>
      <c r="AZ23" s="259"/>
      <c r="BA23" s="259"/>
      <c r="BB23" s="259"/>
      <c r="BC23" s="259"/>
      <c r="BD23" s="259"/>
      <c r="BE23" s="259"/>
      <c r="BF23" s="50"/>
      <c r="BG23" s="292"/>
      <c r="BH23" s="293"/>
      <c r="BI23" s="264"/>
      <c r="BJ23" s="269"/>
      <c r="BK23" s="262"/>
      <c r="BL23" s="263"/>
      <c r="BM23" s="264"/>
      <c r="BN23" s="186"/>
      <c r="BO23" s="186"/>
      <c r="BP23" s="186"/>
      <c r="BQ23" s="186"/>
      <c r="BR23" s="193" t="s">
        <v>165</v>
      </c>
      <c r="BS23" s="227">
        <f>BS19+AW23</f>
        <v>0.79749999999999999</v>
      </c>
      <c r="BT23" s="228" t="s">
        <v>168</v>
      </c>
      <c r="BU23" s="180"/>
    </row>
    <row r="24" spans="1:73" ht="15.5">
      <c r="A24" s="194"/>
      <c r="C24" s="184"/>
      <c r="D24" s="184"/>
      <c r="E24" s="184"/>
      <c r="F24" s="184"/>
      <c r="G24" s="184"/>
      <c r="H24" s="184"/>
      <c r="I24" s="184"/>
      <c r="J24" s="184"/>
      <c r="K24" s="184"/>
      <c r="L24" s="184"/>
      <c r="M24" s="184"/>
      <c r="N24" s="184"/>
      <c r="O24" s="184"/>
      <c r="P24" s="184"/>
      <c r="Q24" s="184"/>
      <c r="R24" s="184"/>
      <c r="S24" s="184"/>
      <c r="T24" s="184"/>
      <c r="U24" s="184"/>
      <c r="V24" s="184"/>
      <c r="W24" s="184"/>
      <c r="X24" s="184"/>
      <c r="Y24" s="184"/>
      <c r="Z24" s="184"/>
      <c r="AA24" s="184"/>
      <c r="AB24" s="184"/>
      <c r="AC24" s="195"/>
      <c r="AD24" s="195"/>
      <c r="AE24" s="195"/>
      <c r="AF24" s="195"/>
      <c r="AG24" s="195"/>
      <c r="AH24" s="195"/>
      <c r="AI24" s="196"/>
      <c r="AJ24" s="196"/>
      <c r="AK24" s="196"/>
      <c r="AL24" s="196"/>
      <c r="AM24" s="196"/>
      <c r="AN24" s="196"/>
      <c r="AO24" s="196"/>
      <c r="AP24" s="196"/>
      <c r="AQ24" s="196"/>
      <c r="AR24" s="196"/>
      <c r="AS24" s="196"/>
      <c r="AT24" s="196"/>
      <c r="AU24" s="196"/>
      <c r="AV24" s="196"/>
      <c r="AW24" s="196"/>
      <c r="AX24" s="270"/>
      <c r="AY24" s="270"/>
      <c r="AZ24" s="318"/>
      <c r="BA24" s="318"/>
      <c r="BB24" s="318"/>
      <c r="BC24" s="318"/>
      <c r="BD24" s="318"/>
      <c r="BE24" s="318"/>
      <c r="BH24" s="50"/>
      <c r="BI24" s="270"/>
      <c r="BL24" s="50"/>
      <c r="BM24" s="270"/>
      <c r="BN24" s="196"/>
      <c r="BO24" s="196"/>
      <c r="BP24" s="196"/>
      <c r="BQ24" s="196"/>
      <c r="BT24" s="179"/>
      <c r="BU24" s="180"/>
    </row>
    <row r="25" spans="1:73" ht="13.75" customHeight="1">
      <c r="A25" s="376" t="s">
        <v>109</v>
      </c>
      <c r="B25" s="176" t="s">
        <v>163</v>
      </c>
      <c r="C25" s="177">
        <v>2.5236999999999998</v>
      </c>
      <c r="D25" s="177">
        <v>2.5236999999999998</v>
      </c>
      <c r="E25" s="177">
        <v>2.5236999999999998</v>
      </c>
      <c r="F25" s="177">
        <v>2.5236999999999998</v>
      </c>
      <c r="G25" s="177">
        <v>3.1059000000000001</v>
      </c>
      <c r="H25" s="177">
        <v>3.1059000000000001</v>
      </c>
      <c r="I25" s="177">
        <v>3.1059000000000001</v>
      </c>
      <c r="J25" s="177">
        <f>I25</f>
        <v>3.1059000000000001</v>
      </c>
      <c r="K25" s="177">
        <v>3.2252999999999998</v>
      </c>
      <c r="L25" s="177">
        <f>K25</f>
        <v>3.2252999999999998</v>
      </c>
      <c r="M25" s="177">
        <f>L25</f>
        <v>3.2252999999999998</v>
      </c>
      <c r="N25" s="177">
        <f>M25</f>
        <v>3.2252999999999998</v>
      </c>
      <c r="O25" s="177">
        <v>3.2128000000000001</v>
      </c>
      <c r="P25" s="177">
        <f>O25</f>
        <v>3.2128000000000001</v>
      </c>
      <c r="Q25" s="177">
        <f>P25</f>
        <v>3.2128000000000001</v>
      </c>
      <c r="R25" s="177">
        <f>Q25</f>
        <v>3.2128000000000001</v>
      </c>
      <c r="S25" s="177">
        <v>3.246</v>
      </c>
      <c r="T25" s="177">
        <v>3.246</v>
      </c>
      <c r="U25" s="177">
        <f>T25</f>
        <v>3.246</v>
      </c>
      <c r="V25" s="177">
        <f>U25</f>
        <v>3.246</v>
      </c>
      <c r="W25" s="177">
        <v>3.2723</v>
      </c>
      <c r="X25" s="177">
        <f>W25</f>
        <v>3.2723</v>
      </c>
      <c r="Y25" s="177">
        <f>X25</f>
        <v>3.2723</v>
      </c>
      <c r="Z25" s="177">
        <v>3.3715000000000002</v>
      </c>
      <c r="AA25" s="177">
        <v>3.3715000000000002</v>
      </c>
      <c r="AB25" s="177">
        <v>3.3715000000000002</v>
      </c>
      <c r="AC25" s="178">
        <v>3.3715000000000002</v>
      </c>
      <c r="AD25" s="178">
        <v>3.6002999999999998</v>
      </c>
      <c r="AE25" s="178">
        <f>AD25</f>
        <v>3.6002999999999998</v>
      </c>
      <c r="AF25" s="178">
        <f>+AE25</f>
        <v>3.6002999999999998</v>
      </c>
      <c r="AG25" s="178">
        <f>+AF25</f>
        <v>3.6002999999999998</v>
      </c>
      <c r="AH25" s="178">
        <v>3.4906000000000001</v>
      </c>
      <c r="AI25" s="178">
        <f>+AH25</f>
        <v>3.4906000000000001</v>
      </c>
      <c r="AJ25" s="178">
        <v>3.4906000000000001</v>
      </c>
      <c r="AK25" s="178">
        <v>3.4906000000000001</v>
      </c>
      <c r="AL25" s="178">
        <v>3.5432000000000001</v>
      </c>
      <c r="AM25" s="178">
        <v>3.5432000000000001</v>
      </c>
      <c r="AN25" s="178">
        <v>3.5432000000000001</v>
      </c>
      <c r="AO25" s="178">
        <v>3.5520999999999998</v>
      </c>
      <c r="AP25" s="178">
        <v>3.5520999999999998</v>
      </c>
      <c r="AQ25" s="178">
        <v>3.5520999999999998</v>
      </c>
      <c r="AR25" s="178">
        <v>3.5520999999999998</v>
      </c>
      <c r="AS25" s="178">
        <v>3.6943999999999999</v>
      </c>
      <c r="AT25" s="178">
        <v>3.6943999999999999</v>
      </c>
      <c r="AU25" s="178">
        <v>3.6943999999999999</v>
      </c>
      <c r="AV25" s="178">
        <v>3.6943999999999999</v>
      </c>
      <c r="AW25" s="178">
        <v>3.8388</v>
      </c>
      <c r="AX25" s="257">
        <v>3.8388</v>
      </c>
      <c r="AY25" s="257">
        <f>AX25</f>
        <v>3.8388</v>
      </c>
      <c r="AZ25" s="259">
        <f>AY25</f>
        <v>3.8388</v>
      </c>
      <c r="BA25" s="259">
        <f>AZ25</f>
        <v>3.8388</v>
      </c>
      <c r="BB25" s="259">
        <v>4.0303000000000004</v>
      </c>
      <c r="BC25" s="259">
        <v>4.0303000000000004</v>
      </c>
      <c r="BD25" s="259">
        <v>4.0303000000000004</v>
      </c>
      <c r="BE25" s="259">
        <v>4.0303000000000004</v>
      </c>
      <c r="BG25" s="50"/>
      <c r="BI25" s="257">
        <f>AY25</f>
        <v>3.8388</v>
      </c>
      <c r="BK25" s="50"/>
      <c r="BM25" s="257">
        <f>BE25</f>
        <v>4.0303000000000004</v>
      </c>
      <c r="BN25" s="178"/>
      <c r="BO25" s="178"/>
      <c r="BP25" s="178"/>
      <c r="BQ25" s="178"/>
      <c r="BS25" s="179"/>
      <c r="BU25" s="180"/>
    </row>
    <row r="26" spans="1:73" ht="13.75" customHeight="1">
      <c r="A26" s="377"/>
      <c r="B26" s="181" t="s">
        <v>164</v>
      </c>
      <c r="C26" s="182">
        <v>1.0425</v>
      </c>
      <c r="D26" s="182">
        <v>1.1312</v>
      </c>
      <c r="E26" s="182">
        <v>1.2142999999999999</v>
      </c>
      <c r="F26" s="182">
        <v>1.1632</v>
      </c>
      <c r="G26" s="182">
        <v>1.1494</v>
      </c>
      <c r="H26" s="182">
        <v>1.1531</v>
      </c>
      <c r="I26" s="182">
        <v>1.3166</v>
      </c>
      <c r="J26" s="182">
        <v>1.2766999999999999</v>
      </c>
      <c r="K26" s="182">
        <v>1.1214999999999999</v>
      </c>
      <c r="L26" s="182">
        <v>0.93569999999999998</v>
      </c>
      <c r="M26" s="182">
        <v>0.93030000000000002</v>
      </c>
      <c r="N26" s="182">
        <v>0.91210000000000002</v>
      </c>
      <c r="O26" s="182">
        <v>0.88239999999999996</v>
      </c>
      <c r="P26" s="182">
        <v>0.95940000000000003</v>
      </c>
      <c r="Q26" s="182">
        <v>0.95589999999999997</v>
      </c>
      <c r="R26" s="182">
        <v>0.92179999999999995</v>
      </c>
      <c r="S26" s="182">
        <v>0.871</v>
      </c>
      <c r="T26" s="182">
        <v>0.871</v>
      </c>
      <c r="U26" s="182">
        <v>1.02</v>
      </c>
      <c r="V26" s="182">
        <v>1.0059</v>
      </c>
      <c r="W26" s="182">
        <v>0.88800000000000001</v>
      </c>
      <c r="X26" s="182">
        <v>0.84260000000000002</v>
      </c>
      <c r="Y26" s="182">
        <v>0.78669999999999995</v>
      </c>
      <c r="Z26" s="182">
        <v>0.78710000000000002</v>
      </c>
      <c r="AA26" s="182">
        <v>0.81310000000000004</v>
      </c>
      <c r="AB26" s="182">
        <v>0.78129999999999999</v>
      </c>
      <c r="AC26" s="182">
        <v>0.76139999999999997</v>
      </c>
      <c r="AD26" s="182">
        <v>0.64580000000000004</v>
      </c>
      <c r="AE26" s="182">
        <v>0.61609999999999998</v>
      </c>
      <c r="AF26" s="182">
        <v>0.6472</v>
      </c>
      <c r="AG26" s="182">
        <v>0.70530000000000004</v>
      </c>
      <c r="AH26" s="182">
        <v>0.73080000000000001</v>
      </c>
      <c r="AI26" s="182">
        <v>0.68240000000000001</v>
      </c>
      <c r="AJ26" s="182">
        <v>0.67269999999999996</v>
      </c>
      <c r="AK26" s="182">
        <v>0.66890000000000005</v>
      </c>
      <c r="AL26" s="182">
        <v>0.61460000000000004</v>
      </c>
      <c r="AM26" s="182">
        <v>0.5948</v>
      </c>
      <c r="AN26" s="182">
        <v>0.56640000000000001</v>
      </c>
      <c r="AO26" s="182">
        <v>0.60329999999999995</v>
      </c>
      <c r="AP26" s="182">
        <v>0.56579999999999997</v>
      </c>
      <c r="AQ26" s="182">
        <v>0.58689999999999998</v>
      </c>
      <c r="AR26" s="182">
        <v>0.57789999999999997</v>
      </c>
      <c r="AS26" s="182">
        <v>0.57679999999999998</v>
      </c>
      <c r="AT26" s="182">
        <v>0.57199999999999995</v>
      </c>
      <c r="AU26" s="182">
        <v>0.48909999999999998</v>
      </c>
      <c r="AV26" s="182">
        <v>0.48230000000000001</v>
      </c>
      <c r="AW26" s="182">
        <v>0.47070000000000001</v>
      </c>
      <c r="AX26" s="258">
        <v>0.46939999999999998</v>
      </c>
      <c r="AY26" s="258">
        <f>[9]Sheet1!$H$43</f>
        <v>0.41539999999999999</v>
      </c>
      <c r="AZ26" s="258">
        <f>[9]Sheet1!$H$43</f>
        <v>0.41539999999999999</v>
      </c>
      <c r="BA26" s="258">
        <v>0.3891</v>
      </c>
      <c r="BB26" s="258">
        <v>0.36380000000000001</v>
      </c>
      <c r="BC26" s="258">
        <v>0.34429999999999999</v>
      </c>
      <c r="BD26" s="258">
        <v>0.34100000000000003</v>
      </c>
      <c r="BE26" s="258">
        <v>0.38350000000000001</v>
      </c>
      <c r="BF26" s="381" t="s">
        <v>165</v>
      </c>
      <c r="BG26" s="382">
        <f>BE26+BE27+BE28</f>
        <v>0.80700000000000005</v>
      </c>
      <c r="BH26" s="375" t="s">
        <v>168</v>
      </c>
      <c r="BI26" s="258">
        <v>0.3891</v>
      </c>
      <c r="BJ26" s="381" t="s">
        <v>165</v>
      </c>
      <c r="BK26" s="382">
        <f>BI26+BI27+BI28</f>
        <v>0.79419999999999991</v>
      </c>
      <c r="BL26" s="375" t="s">
        <v>168</v>
      </c>
      <c r="BM26" s="258">
        <v>0.3891</v>
      </c>
      <c r="BN26" s="182"/>
      <c r="BO26" s="182"/>
      <c r="BP26" s="182"/>
      <c r="BQ26" s="182"/>
      <c r="BR26" s="378" t="s">
        <v>165</v>
      </c>
      <c r="BS26" s="383">
        <f>AW26+AW27+AW28</f>
        <v>0.87760000000000005</v>
      </c>
      <c r="BT26" s="384" t="s">
        <v>168</v>
      </c>
      <c r="BU26" s="180"/>
    </row>
    <row r="27" spans="1:73" ht="13.75" customHeight="1">
      <c r="A27" s="377"/>
      <c r="B27" s="183" t="s">
        <v>166</v>
      </c>
      <c r="C27" s="184">
        <v>0.17080000000000001</v>
      </c>
      <c r="D27" s="184">
        <v>0.17080000000000001</v>
      </c>
      <c r="E27" s="184">
        <v>0.17080000000000001</v>
      </c>
      <c r="F27" s="184">
        <v>0.17080000000000001</v>
      </c>
      <c r="G27" s="184">
        <v>0.2102</v>
      </c>
      <c r="H27" s="184">
        <v>0.2102</v>
      </c>
      <c r="I27" s="184">
        <v>0.2102</v>
      </c>
      <c r="J27" s="184">
        <f>I27</f>
        <v>0.2102</v>
      </c>
      <c r="K27" s="184">
        <v>0.21829999999999999</v>
      </c>
      <c r="L27" s="184">
        <f>K27</f>
        <v>0.21829999999999999</v>
      </c>
      <c r="M27" s="184">
        <f>L27</f>
        <v>0.21829999999999999</v>
      </c>
      <c r="N27" s="184">
        <f>M27</f>
        <v>0.21829999999999999</v>
      </c>
      <c r="O27" s="184">
        <v>0.2175</v>
      </c>
      <c r="P27" s="184">
        <f>O27</f>
        <v>0.2175</v>
      </c>
      <c r="Q27" s="184">
        <f>P27</f>
        <v>0.2175</v>
      </c>
      <c r="R27" s="184">
        <f>Q27</f>
        <v>0.2175</v>
      </c>
      <c r="S27" s="184">
        <v>0.21970000000000001</v>
      </c>
      <c r="T27" s="184">
        <v>0.21970000000000001</v>
      </c>
      <c r="U27" s="184">
        <f>T27</f>
        <v>0.21970000000000001</v>
      </c>
      <c r="V27" s="184">
        <f>U27</f>
        <v>0.21970000000000001</v>
      </c>
      <c r="W27" s="184">
        <v>0.30149999999999999</v>
      </c>
      <c r="X27" s="184">
        <f>W27</f>
        <v>0.30149999999999999</v>
      </c>
      <c r="Y27" s="184">
        <f>X27</f>
        <v>0.30149999999999999</v>
      </c>
      <c r="Z27" s="184">
        <v>0.31059999999999999</v>
      </c>
      <c r="AA27" s="184">
        <v>0.31059999999999999</v>
      </c>
      <c r="AB27" s="184">
        <v>0.31059999999999999</v>
      </c>
      <c r="AC27" s="184">
        <v>0.31059999999999999</v>
      </c>
      <c r="AD27" s="184">
        <v>0.34429999999999999</v>
      </c>
      <c r="AE27" s="184">
        <f>AD27</f>
        <v>0.34429999999999999</v>
      </c>
      <c r="AF27" s="184">
        <f>+AE27</f>
        <v>0.34429999999999999</v>
      </c>
      <c r="AG27" s="184">
        <f>+AF27</f>
        <v>0.34429999999999999</v>
      </c>
      <c r="AH27" s="184">
        <v>0.34599999999999997</v>
      </c>
      <c r="AI27" s="184">
        <f>+AH27</f>
        <v>0.34599999999999997</v>
      </c>
      <c r="AJ27" s="184">
        <v>0.34599999999999997</v>
      </c>
      <c r="AK27" s="184">
        <v>0.34599999999999997</v>
      </c>
      <c r="AL27" s="184">
        <v>0.35120000000000001</v>
      </c>
      <c r="AM27" s="184">
        <v>0.3412</v>
      </c>
      <c r="AN27" s="184">
        <v>0.3412</v>
      </c>
      <c r="AO27" s="184">
        <v>0.34210000000000002</v>
      </c>
      <c r="AP27" s="184">
        <v>0.34210000000000002</v>
      </c>
      <c r="AQ27" s="184">
        <v>0.34210000000000002</v>
      </c>
      <c r="AR27" s="184">
        <v>0.34210000000000002</v>
      </c>
      <c r="AS27" s="184">
        <v>0.35580000000000001</v>
      </c>
      <c r="AT27" s="184">
        <v>0.35580000000000001</v>
      </c>
      <c r="AU27" s="184">
        <v>0.35580000000000001</v>
      </c>
      <c r="AV27" s="184">
        <v>0.35580000000000001</v>
      </c>
      <c r="AW27" s="184">
        <v>0.36969999999999997</v>
      </c>
      <c r="AX27" s="259">
        <v>0.36969999999999997</v>
      </c>
      <c r="AY27" s="259">
        <f>AX27</f>
        <v>0.36969999999999997</v>
      </c>
      <c r="AZ27" s="259">
        <f>AY27</f>
        <v>0.36969999999999997</v>
      </c>
      <c r="BA27" s="259">
        <f>AZ27</f>
        <v>0.36969999999999997</v>
      </c>
      <c r="BB27" s="259">
        <v>0.3881</v>
      </c>
      <c r="BC27" s="259">
        <v>0.3881</v>
      </c>
      <c r="BD27" s="259">
        <v>0.3881</v>
      </c>
      <c r="BE27" s="259">
        <v>0.3881</v>
      </c>
      <c r="BF27" s="381"/>
      <c r="BG27" s="382"/>
      <c r="BH27" s="375"/>
      <c r="BI27" s="259">
        <f>AY27</f>
        <v>0.36969999999999997</v>
      </c>
      <c r="BJ27" s="381"/>
      <c r="BK27" s="382"/>
      <c r="BL27" s="375"/>
      <c r="BM27" s="259">
        <f>BE27</f>
        <v>0.3881</v>
      </c>
      <c r="BN27" s="184"/>
      <c r="BO27" s="184"/>
      <c r="BP27" s="184"/>
      <c r="BQ27" s="184"/>
      <c r="BR27" s="378"/>
      <c r="BS27" s="383"/>
      <c r="BT27" s="384"/>
      <c r="BU27" s="180"/>
    </row>
    <row r="28" spans="1:73" ht="13.75" customHeight="1">
      <c r="A28" s="377"/>
      <c r="B28" s="183" t="s">
        <v>167</v>
      </c>
      <c r="C28" s="184"/>
      <c r="D28" s="184"/>
      <c r="E28" s="184"/>
      <c r="F28" s="184"/>
      <c r="G28" s="184"/>
      <c r="H28" s="184"/>
      <c r="I28" s="184"/>
      <c r="J28" s="184"/>
      <c r="K28" s="184"/>
      <c r="L28" s="184"/>
      <c r="M28" s="184"/>
      <c r="N28" s="184"/>
      <c r="O28" s="184"/>
      <c r="P28" s="184"/>
      <c r="Q28" s="184"/>
      <c r="R28" s="184"/>
      <c r="S28" s="184"/>
      <c r="T28" s="184"/>
      <c r="U28" s="184"/>
      <c r="V28" s="184"/>
      <c r="W28" s="184"/>
      <c r="X28" s="184"/>
      <c r="Y28" s="184"/>
      <c r="Z28" s="184"/>
      <c r="AA28" s="184"/>
      <c r="AB28" s="184"/>
      <c r="AC28" s="184"/>
      <c r="AD28" s="184"/>
      <c r="AE28" s="184"/>
      <c r="AF28" s="184"/>
      <c r="AG28" s="184"/>
      <c r="AH28" s="184"/>
      <c r="AI28" s="184"/>
      <c r="AJ28" s="184"/>
      <c r="AK28" s="184"/>
      <c r="AL28" s="184"/>
      <c r="AM28" s="184">
        <v>3.3399999999999999E-2</v>
      </c>
      <c r="AN28" s="184">
        <v>3.3399999999999999E-2</v>
      </c>
      <c r="AO28" s="184">
        <v>3.3399999999999999E-2</v>
      </c>
      <c r="AP28" s="184">
        <v>3.7699999999999997E-2</v>
      </c>
      <c r="AQ28" s="184">
        <v>3.7699999999999997E-2</v>
      </c>
      <c r="AR28" s="184">
        <v>3.7699999999999997E-2</v>
      </c>
      <c r="AS28" s="184">
        <v>3.7699999999999997E-2</v>
      </c>
      <c r="AT28" s="184">
        <v>3.7199999999999997E-2</v>
      </c>
      <c r="AU28" s="184">
        <v>3.7199999999999997E-2</v>
      </c>
      <c r="AV28" s="184">
        <v>3.7199999999999997E-2</v>
      </c>
      <c r="AW28" s="184">
        <v>3.7199999999999997E-2</v>
      </c>
      <c r="AX28" s="259">
        <v>3.5400000000000001E-2</v>
      </c>
      <c r="AY28" s="259">
        <f t="shared" ref="AY28:AZ29" si="3">AX28</f>
        <v>3.5400000000000001E-2</v>
      </c>
      <c r="AZ28" s="259">
        <f t="shared" si="3"/>
        <v>3.5400000000000001E-2</v>
      </c>
      <c r="BA28" s="259">
        <f>AZ28</f>
        <v>3.5400000000000001E-2</v>
      </c>
      <c r="BB28" s="259">
        <v>3.5400000000000001E-2</v>
      </c>
      <c r="BC28" s="259">
        <v>3.5400000000000001E-2</v>
      </c>
      <c r="BD28" s="259">
        <v>3.5400000000000001E-2</v>
      </c>
      <c r="BE28" s="259">
        <v>3.5400000000000001E-2</v>
      </c>
      <c r="BF28" s="381"/>
      <c r="BG28" s="292"/>
      <c r="BH28" s="293"/>
      <c r="BI28" s="259">
        <f>AY28</f>
        <v>3.5400000000000001E-2</v>
      </c>
      <c r="BJ28" s="381"/>
      <c r="BK28" s="262"/>
      <c r="BL28" s="263"/>
      <c r="BM28" s="259">
        <f>'Prop EEC 2021 Rates VGS'!H$11</f>
        <v>3.6490000000000002E-2</v>
      </c>
      <c r="BN28" s="184"/>
      <c r="BO28" s="184"/>
      <c r="BP28" s="184"/>
      <c r="BQ28" s="184"/>
      <c r="BR28" s="378" t="s">
        <v>165</v>
      </c>
      <c r="BS28" s="227"/>
      <c r="BT28" s="228"/>
      <c r="BU28" s="180"/>
    </row>
    <row r="29" spans="1:73" ht="13.75" customHeight="1">
      <c r="A29" s="377"/>
      <c r="B29" s="183" t="s">
        <v>77</v>
      </c>
      <c r="C29" s="184"/>
      <c r="D29" s="184"/>
      <c r="E29" s="184"/>
      <c r="F29" s="184"/>
      <c r="G29" s="184"/>
      <c r="H29" s="184"/>
      <c r="I29" s="184"/>
      <c r="J29" s="184"/>
      <c r="K29" s="184"/>
      <c r="L29" s="184"/>
      <c r="M29" s="184"/>
      <c r="N29" s="184"/>
      <c r="O29" s="184"/>
      <c r="P29" s="184"/>
      <c r="Q29" s="184"/>
      <c r="R29" s="184"/>
      <c r="S29" s="184"/>
      <c r="T29" s="184"/>
      <c r="U29" s="184"/>
      <c r="V29" s="184"/>
      <c r="W29" s="184"/>
      <c r="X29" s="184"/>
      <c r="Y29" s="184"/>
      <c r="Z29" s="184"/>
      <c r="AA29" s="184"/>
      <c r="AB29" s="185">
        <v>12.91</v>
      </c>
      <c r="AC29" s="185">
        <f>+AB29</f>
        <v>12.91</v>
      </c>
      <c r="AD29" s="185">
        <f>+AC29</f>
        <v>12.91</v>
      </c>
      <c r="AE29" s="185">
        <f>+AD29</f>
        <v>12.91</v>
      </c>
      <c r="AF29" s="185">
        <f>+AE29</f>
        <v>12.91</v>
      </c>
      <c r="AG29" s="185">
        <f>+AF29</f>
        <v>12.91</v>
      </c>
      <c r="AH29" s="185">
        <v>7.5</v>
      </c>
      <c r="AI29" s="185">
        <f>+AH29</f>
        <v>7.5</v>
      </c>
      <c r="AJ29" s="185">
        <v>7.5</v>
      </c>
      <c r="AK29" s="185">
        <v>7.5</v>
      </c>
      <c r="AL29" s="185">
        <v>6.48</v>
      </c>
      <c r="AM29" s="185">
        <v>6.48</v>
      </c>
      <c r="AN29" s="185">
        <v>6.48</v>
      </c>
      <c r="AO29" s="185">
        <v>6.48</v>
      </c>
      <c r="AP29" s="185">
        <v>1.05</v>
      </c>
      <c r="AQ29" s="185">
        <v>1.05</v>
      </c>
      <c r="AR29" s="185">
        <v>1.05</v>
      </c>
      <c r="AS29" s="185">
        <v>1.05</v>
      </c>
      <c r="AT29" s="185">
        <v>1.05</v>
      </c>
      <c r="AU29" s="185">
        <v>1.05</v>
      </c>
      <c r="AV29" s="185">
        <v>1.05</v>
      </c>
      <c r="AW29" s="185">
        <v>1.05</v>
      </c>
      <c r="AX29" s="260">
        <v>1.05</v>
      </c>
      <c r="AY29" s="259">
        <f t="shared" si="3"/>
        <v>1.05</v>
      </c>
      <c r="AZ29" s="259">
        <f t="shared" si="3"/>
        <v>1.05</v>
      </c>
      <c r="BA29" s="259">
        <f>AZ29</f>
        <v>1.05</v>
      </c>
      <c r="BB29" s="259">
        <v>1.05</v>
      </c>
      <c r="BC29" s="259">
        <v>1.05</v>
      </c>
      <c r="BD29" s="259">
        <v>1.05</v>
      </c>
      <c r="BE29" s="259">
        <v>1.05</v>
      </c>
      <c r="BG29" s="292"/>
      <c r="BH29" s="293"/>
      <c r="BI29" s="259">
        <f>AY29</f>
        <v>1.05</v>
      </c>
      <c r="BJ29" s="268"/>
      <c r="BK29" s="262"/>
      <c r="BL29" s="263"/>
      <c r="BM29" s="259">
        <f>BE29</f>
        <v>1.05</v>
      </c>
      <c r="BN29" s="185"/>
      <c r="BO29" s="185"/>
      <c r="BP29" s="185"/>
      <c r="BQ29" s="185"/>
      <c r="BR29" s="192"/>
      <c r="BS29" s="227"/>
      <c r="BT29" s="228"/>
      <c r="BU29" s="180"/>
    </row>
    <row r="30" spans="1:73" ht="13.75" customHeight="1">
      <c r="A30" s="226"/>
      <c r="B30" s="183" t="str">
        <f>B23</f>
        <v>2018 Tax Adj</v>
      </c>
      <c r="C30" s="184"/>
      <c r="D30" s="184"/>
      <c r="E30" s="184"/>
      <c r="F30" s="184"/>
      <c r="G30" s="184"/>
      <c r="H30" s="184"/>
      <c r="I30" s="184"/>
      <c r="J30" s="184"/>
      <c r="K30" s="184"/>
      <c r="L30" s="184"/>
      <c r="M30" s="184"/>
      <c r="N30" s="184"/>
      <c r="O30" s="184"/>
      <c r="P30" s="184"/>
      <c r="Q30" s="184"/>
      <c r="R30" s="184"/>
      <c r="S30" s="184"/>
      <c r="T30" s="184"/>
      <c r="U30" s="184"/>
      <c r="V30" s="184"/>
      <c r="W30" s="184"/>
      <c r="X30" s="184"/>
      <c r="Y30" s="184"/>
      <c r="Z30" s="184"/>
      <c r="AA30" s="184"/>
      <c r="AB30" s="185"/>
      <c r="AC30" s="185"/>
      <c r="AD30" s="185"/>
      <c r="AE30" s="185"/>
      <c r="AF30" s="185"/>
      <c r="AG30" s="185"/>
      <c r="AH30" s="185"/>
      <c r="AI30" s="185"/>
      <c r="AJ30" s="185"/>
      <c r="AK30" s="185"/>
      <c r="AL30" s="185"/>
      <c r="AM30" s="185"/>
      <c r="AN30" s="185"/>
      <c r="AO30" s="185"/>
      <c r="AP30" s="185"/>
      <c r="AQ30" s="185"/>
      <c r="AR30" s="185"/>
      <c r="AS30" s="185"/>
      <c r="AT30" s="186">
        <v>-3.8699999999999998E-2</v>
      </c>
      <c r="AU30" s="186">
        <v>-3.8699999999999998E-2</v>
      </c>
      <c r="AV30" s="186">
        <v>-3.8699999999999998E-2</v>
      </c>
      <c r="AW30" s="186">
        <v>0</v>
      </c>
      <c r="AX30" s="264"/>
      <c r="AY30" s="264"/>
      <c r="AZ30" s="259"/>
      <c r="BA30" s="259"/>
      <c r="BB30" s="259"/>
      <c r="BC30" s="259"/>
      <c r="BD30" s="259"/>
      <c r="BE30" s="259"/>
      <c r="BG30" s="292"/>
      <c r="BH30" s="293"/>
      <c r="BI30" s="264"/>
      <c r="BJ30" s="268"/>
      <c r="BK30" s="262"/>
      <c r="BL30" s="263"/>
      <c r="BM30" s="264"/>
      <c r="BN30" s="186"/>
      <c r="BO30" s="186"/>
      <c r="BP30" s="186"/>
      <c r="BQ30" s="186"/>
      <c r="BR30" s="192"/>
      <c r="BS30" s="227">
        <f>BS26+AW30</f>
        <v>0.87760000000000005</v>
      </c>
      <c r="BT30" s="228" t="s">
        <v>168</v>
      </c>
      <c r="BU30" s="180"/>
    </row>
    <row r="31" spans="1:73" ht="15.5">
      <c r="A31" s="194"/>
      <c r="C31" s="184"/>
      <c r="D31" s="184"/>
      <c r="E31" s="184"/>
      <c r="F31" s="184"/>
      <c r="G31" s="184"/>
      <c r="H31" s="184"/>
      <c r="I31" s="184"/>
      <c r="J31" s="184"/>
      <c r="K31" s="184"/>
      <c r="L31" s="184"/>
      <c r="M31" s="184"/>
      <c r="N31" s="184"/>
      <c r="O31" s="184"/>
      <c r="P31" s="184"/>
      <c r="Q31" s="184"/>
      <c r="R31" s="184"/>
      <c r="S31" s="184"/>
      <c r="T31" s="184"/>
      <c r="U31" s="184"/>
      <c r="V31" s="184"/>
      <c r="W31" s="184"/>
      <c r="X31" s="184"/>
      <c r="Y31" s="184"/>
      <c r="Z31" s="184"/>
      <c r="AA31" s="184"/>
      <c r="AB31" s="184"/>
      <c r="AC31" s="195"/>
      <c r="AD31" s="195"/>
      <c r="AE31" s="195"/>
      <c r="AF31" s="195"/>
      <c r="AG31" s="195"/>
      <c r="AH31" s="195"/>
      <c r="AI31" s="196"/>
      <c r="AJ31" s="196"/>
      <c r="AK31" s="196"/>
      <c r="AL31" s="196"/>
      <c r="AM31" s="196"/>
      <c r="AN31" s="196"/>
      <c r="AO31" s="196"/>
      <c r="AP31" s="196"/>
      <c r="AQ31" s="196"/>
      <c r="AR31" s="196"/>
      <c r="AS31" s="196"/>
      <c r="AT31" s="196"/>
      <c r="AU31" s="196"/>
      <c r="AV31" s="196"/>
      <c r="AW31" s="196"/>
      <c r="AX31" s="270"/>
      <c r="AY31" s="270"/>
      <c r="AZ31" s="318"/>
      <c r="BA31" s="318"/>
      <c r="BB31" s="318"/>
      <c r="BC31" s="318"/>
      <c r="BD31" s="318"/>
      <c r="BE31" s="318"/>
      <c r="BG31" s="50"/>
      <c r="BH31" s="50"/>
      <c r="BI31" s="270"/>
      <c r="BK31" s="50"/>
      <c r="BL31" s="50"/>
      <c r="BM31" s="270"/>
      <c r="BN31" s="196"/>
      <c r="BO31" s="196"/>
      <c r="BP31" s="196"/>
      <c r="BQ31" s="196"/>
      <c r="BS31" s="179"/>
      <c r="BT31" s="179"/>
      <c r="BU31" s="180"/>
    </row>
    <row r="32" spans="1:73" ht="13.75" customHeight="1">
      <c r="A32" s="376" t="s">
        <v>110</v>
      </c>
      <c r="B32" s="176" t="s">
        <v>163</v>
      </c>
      <c r="C32" s="177">
        <v>2.5236999999999998</v>
      </c>
      <c r="D32" s="177">
        <v>2.5236999999999998</v>
      </c>
      <c r="E32" s="177">
        <v>2.5236999999999998</v>
      </c>
      <c r="F32" s="177">
        <v>2.5236999999999998</v>
      </c>
      <c r="G32" s="177">
        <v>3.1059000000000001</v>
      </c>
      <c r="H32" s="177">
        <v>3.1059000000000001</v>
      </c>
      <c r="I32" s="177">
        <v>3.1059000000000001</v>
      </c>
      <c r="J32" s="177">
        <f>I32</f>
        <v>3.1059000000000001</v>
      </c>
      <c r="K32" s="177">
        <v>3.2252999999999998</v>
      </c>
      <c r="L32" s="177">
        <f>K32</f>
        <v>3.2252999999999998</v>
      </c>
      <c r="M32" s="177">
        <f>L32</f>
        <v>3.2252999999999998</v>
      </c>
      <c r="N32" s="177">
        <f>M32</f>
        <v>3.2252999999999998</v>
      </c>
      <c r="O32" s="177">
        <v>3.2128000000000001</v>
      </c>
      <c r="P32" s="177">
        <f>O32</f>
        <v>3.2128000000000001</v>
      </c>
      <c r="Q32" s="177">
        <f>P32</f>
        <v>3.2128000000000001</v>
      </c>
      <c r="R32" s="177">
        <f>Q32</f>
        <v>3.2128000000000001</v>
      </c>
      <c r="S32" s="177">
        <v>3.246</v>
      </c>
      <c r="T32" s="177">
        <v>3.246</v>
      </c>
      <c r="U32" s="177">
        <f>T32</f>
        <v>3.246</v>
      </c>
      <c r="V32" s="177">
        <f>U32</f>
        <v>3.246</v>
      </c>
      <c r="W32" s="177">
        <v>3.2723</v>
      </c>
      <c r="X32" s="177">
        <f>W32</f>
        <v>3.2723</v>
      </c>
      <c r="Y32" s="177">
        <f>X32</f>
        <v>3.2723</v>
      </c>
      <c r="Z32" s="177">
        <v>3.3715000000000002</v>
      </c>
      <c r="AA32" s="177">
        <v>3.3715000000000002</v>
      </c>
      <c r="AB32" s="177">
        <v>3.3715000000000002</v>
      </c>
      <c r="AC32" s="178">
        <v>3.3715000000000002</v>
      </c>
      <c r="AD32" s="178">
        <v>3.6002999999999998</v>
      </c>
      <c r="AE32" s="178">
        <f>AD32</f>
        <v>3.6002999999999998</v>
      </c>
      <c r="AF32" s="178">
        <f>+AE32</f>
        <v>3.6002999999999998</v>
      </c>
      <c r="AG32" s="178">
        <f>+AF32</f>
        <v>3.6002999999999998</v>
      </c>
      <c r="AH32" s="178">
        <v>3.4906000000000001</v>
      </c>
      <c r="AI32" s="178">
        <f>+AH32</f>
        <v>3.4906000000000001</v>
      </c>
      <c r="AJ32" s="178">
        <v>3.4906000000000001</v>
      </c>
      <c r="AK32" s="178">
        <v>3.4906000000000001</v>
      </c>
      <c r="AL32" s="178">
        <v>3.5432000000000001</v>
      </c>
      <c r="AM32" s="178">
        <v>3.5432000000000001</v>
      </c>
      <c r="AN32" s="178">
        <v>3.5432000000000001</v>
      </c>
      <c r="AO32" s="178">
        <v>3.5520999999999998</v>
      </c>
      <c r="AP32" s="178">
        <v>3.5520999999999998</v>
      </c>
      <c r="AQ32" s="178">
        <v>3.5520999999999998</v>
      </c>
      <c r="AR32" s="178">
        <v>3.5520999999999998</v>
      </c>
      <c r="AS32" s="178">
        <v>3.6943999999999999</v>
      </c>
      <c r="AT32" s="178">
        <v>3.6943999999999999</v>
      </c>
      <c r="AU32" s="178">
        <v>3.6943999999999999</v>
      </c>
      <c r="AV32" s="178">
        <v>3.6943999999999999</v>
      </c>
      <c r="AW32" s="178">
        <v>3.8388</v>
      </c>
      <c r="AX32" s="257">
        <v>3.8388</v>
      </c>
      <c r="AY32" s="257">
        <f>AX32</f>
        <v>3.8388</v>
      </c>
      <c r="AZ32" s="259">
        <f>AY32</f>
        <v>3.8388</v>
      </c>
      <c r="BA32" s="259">
        <f>AZ32</f>
        <v>3.8388</v>
      </c>
      <c r="BB32" s="259">
        <v>4.0303000000000004</v>
      </c>
      <c r="BC32" s="259">
        <v>4.0303000000000004</v>
      </c>
      <c r="BD32" s="259">
        <v>4.0303000000000004</v>
      </c>
      <c r="BE32" s="259">
        <v>4.0303000000000004</v>
      </c>
      <c r="BG32" s="50"/>
      <c r="BH32" s="50"/>
      <c r="BI32" s="257">
        <f>AY32</f>
        <v>3.8388</v>
      </c>
      <c r="BK32" s="50"/>
      <c r="BL32" s="50"/>
      <c r="BM32" s="257">
        <f>BE32</f>
        <v>4.0303000000000004</v>
      </c>
      <c r="BN32" s="178"/>
      <c r="BO32" s="178"/>
      <c r="BP32" s="178"/>
      <c r="BQ32" s="178"/>
      <c r="BS32" s="179"/>
      <c r="BT32" s="179"/>
      <c r="BU32" s="180"/>
    </row>
    <row r="33" spans="1:73" ht="13.75" customHeight="1">
      <c r="A33" s="377"/>
      <c r="B33" s="181" t="s">
        <v>164</v>
      </c>
      <c r="C33" s="182">
        <v>0.89690000000000003</v>
      </c>
      <c r="D33" s="182">
        <v>0.97330000000000005</v>
      </c>
      <c r="E33" s="182">
        <v>1.0448</v>
      </c>
      <c r="F33" s="182">
        <v>1.0007999999999999</v>
      </c>
      <c r="G33" s="182">
        <v>0.9889</v>
      </c>
      <c r="H33" s="182">
        <v>0.99209999999999998</v>
      </c>
      <c r="I33" s="182">
        <v>1.1328</v>
      </c>
      <c r="J33" s="182">
        <v>1.0985</v>
      </c>
      <c r="K33" s="182">
        <v>0.96489999999999998</v>
      </c>
      <c r="L33" s="182">
        <v>0.80500000000000005</v>
      </c>
      <c r="M33" s="182">
        <v>0.8004</v>
      </c>
      <c r="N33" s="182">
        <v>0.78480000000000005</v>
      </c>
      <c r="O33" s="182">
        <v>0.75919999999999999</v>
      </c>
      <c r="P33" s="182">
        <v>0.82540000000000002</v>
      </c>
      <c r="Q33" s="182">
        <v>0.82240000000000002</v>
      </c>
      <c r="R33" s="182">
        <v>0.79310000000000003</v>
      </c>
      <c r="S33" s="182">
        <v>0.75290000000000001</v>
      </c>
      <c r="T33" s="182">
        <v>0.75290000000000001</v>
      </c>
      <c r="U33" s="182">
        <v>0.87760000000000005</v>
      </c>
      <c r="V33" s="182">
        <v>0.86539999999999995</v>
      </c>
      <c r="W33" s="182">
        <v>0.76400000000000001</v>
      </c>
      <c r="X33" s="182">
        <v>0.72489999999999999</v>
      </c>
      <c r="Y33" s="182">
        <v>0.67679999999999996</v>
      </c>
      <c r="Z33" s="182">
        <v>0.67720000000000002</v>
      </c>
      <c r="AA33" s="182">
        <v>0.6996</v>
      </c>
      <c r="AB33" s="182">
        <v>0.67220000000000002</v>
      </c>
      <c r="AC33" s="182">
        <v>0.65510000000000002</v>
      </c>
      <c r="AD33" s="182">
        <v>0.52339999999999998</v>
      </c>
      <c r="AE33" s="182">
        <v>0.49930000000000002</v>
      </c>
      <c r="AF33" s="182">
        <v>0.52439999999999998</v>
      </c>
      <c r="AG33" s="182">
        <v>0.57150000000000001</v>
      </c>
      <c r="AH33" s="182">
        <v>0.55720000000000003</v>
      </c>
      <c r="AI33" s="182">
        <v>0.52029999999999998</v>
      </c>
      <c r="AJ33" s="182">
        <v>0.51290000000000002</v>
      </c>
      <c r="AK33" s="182">
        <v>0.51</v>
      </c>
      <c r="AL33" s="182">
        <v>0.46860000000000002</v>
      </c>
      <c r="AM33" s="182">
        <v>0.45350000000000001</v>
      </c>
      <c r="AN33" s="182">
        <v>0.43180000000000002</v>
      </c>
      <c r="AO33" s="182">
        <v>0.45979999999999999</v>
      </c>
      <c r="AP33" s="182">
        <v>0.43120000000000003</v>
      </c>
      <c r="AQ33" s="182">
        <v>0.44729999999999998</v>
      </c>
      <c r="AR33" s="182">
        <v>0.44040000000000001</v>
      </c>
      <c r="AS33" s="182">
        <v>0.43959999999999999</v>
      </c>
      <c r="AT33" s="182">
        <v>0.43590000000000001</v>
      </c>
      <c r="AU33" s="182">
        <v>0.37269999999999998</v>
      </c>
      <c r="AV33" s="182">
        <v>0.36759999999999998</v>
      </c>
      <c r="AW33" s="182">
        <v>0.35880000000000001</v>
      </c>
      <c r="AX33" s="258">
        <v>0.35780000000000001</v>
      </c>
      <c r="AY33" s="258">
        <f>[9]Sheet1!$H$54</f>
        <v>0.31659999999999999</v>
      </c>
      <c r="AZ33" s="258">
        <f>[9]Sheet1!$H$54</f>
        <v>0.31659999999999999</v>
      </c>
      <c r="BA33" s="258">
        <v>0.29659999999999997</v>
      </c>
      <c r="BB33" s="258">
        <v>0.27729999999999999</v>
      </c>
      <c r="BC33" s="258">
        <v>0.26240000000000002</v>
      </c>
      <c r="BD33" s="258">
        <v>0.25990000000000002</v>
      </c>
      <c r="BE33" s="258">
        <v>0.2923</v>
      </c>
      <c r="BF33" s="381" t="s">
        <v>165</v>
      </c>
      <c r="BG33" s="382">
        <f>BE33+BE34+BE35</f>
        <v>0.64590000000000003</v>
      </c>
      <c r="BH33" s="375" t="s">
        <v>168</v>
      </c>
      <c r="BI33" s="258">
        <v>0.29659999999999997</v>
      </c>
      <c r="BJ33" s="381" t="s">
        <v>165</v>
      </c>
      <c r="BK33" s="382">
        <f>BI33+BI34+BI35</f>
        <v>0.63469999999999993</v>
      </c>
      <c r="BL33" s="375" t="s">
        <v>168</v>
      </c>
      <c r="BM33" s="258">
        <v>0.29659999999999997</v>
      </c>
      <c r="BN33" s="182"/>
      <c r="BO33" s="182"/>
      <c r="BP33" s="182"/>
      <c r="BQ33" s="182"/>
      <c r="BR33" s="378" t="s">
        <v>165</v>
      </c>
      <c r="BS33" s="383">
        <f>AW33+AW34+AW35</f>
        <v>0.69829999999999992</v>
      </c>
      <c r="BT33" s="384" t="s">
        <v>168</v>
      </c>
      <c r="BU33" s="180"/>
    </row>
    <row r="34" spans="1:73" ht="13.75" customHeight="1">
      <c r="A34" s="377"/>
      <c r="B34" s="183" t="s">
        <v>166</v>
      </c>
      <c r="C34" s="184">
        <v>0.1179</v>
      </c>
      <c r="D34" s="184">
        <v>0.1179</v>
      </c>
      <c r="E34" s="184">
        <v>0.1179</v>
      </c>
      <c r="F34" s="184">
        <v>0.1179</v>
      </c>
      <c r="G34" s="184">
        <v>0.14510000000000001</v>
      </c>
      <c r="H34" s="184">
        <v>0.14510000000000001</v>
      </c>
      <c r="I34" s="184">
        <v>0.14510000000000001</v>
      </c>
      <c r="J34" s="184">
        <f>I34</f>
        <v>0.14510000000000001</v>
      </c>
      <c r="K34" s="184">
        <v>0.1507</v>
      </c>
      <c r="L34" s="184">
        <f>K34</f>
        <v>0.1507</v>
      </c>
      <c r="M34" s="184">
        <f>L34</f>
        <v>0.1507</v>
      </c>
      <c r="N34" s="184">
        <f>M34</f>
        <v>0.1507</v>
      </c>
      <c r="O34" s="184">
        <v>0.15010000000000001</v>
      </c>
      <c r="P34" s="184">
        <f>O34</f>
        <v>0.15010000000000001</v>
      </c>
      <c r="Q34" s="184">
        <f>P34</f>
        <v>0.15010000000000001</v>
      </c>
      <c r="R34" s="184">
        <f>Q34</f>
        <v>0.15010000000000001</v>
      </c>
      <c r="S34" s="184">
        <v>0.15160000000000001</v>
      </c>
      <c r="T34" s="184">
        <v>0.15160000000000001</v>
      </c>
      <c r="U34" s="184">
        <f>T34</f>
        <v>0.15160000000000001</v>
      </c>
      <c r="V34" s="184">
        <f>U34</f>
        <v>0.15160000000000001</v>
      </c>
      <c r="W34" s="184">
        <v>0.22170000000000001</v>
      </c>
      <c r="X34" s="184">
        <f>W34</f>
        <v>0.22170000000000001</v>
      </c>
      <c r="Y34" s="184">
        <f>X34</f>
        <v>0.22170000000000001</v>
      </c>
      <c r="Z34" s="184">
        <v>0.22839999999999999</v>
      </c>
      <c r="AA34" s="184">
        <v>0.22839999999999999</v>
      </c>
      <c r="AB34" s="184">
        <v>0.22839999999999999</v>
      </c>
      <c r="AC34" s="184">
        <v>0.22839999999999999</v>
      </c>
      <c r="AD34" s="184">
        <v>0.27200000000000002</v>
      </c>
      <c r="AE34" s="184">
        <f>AD34</f>
        <v>0.27200000000000002</v>
      </c>
      <c r="AF34" s="184">
        <f>+AE34</f>
        <v>0.27200000000000002</v>
      </c>
      <c r="AG34" s="184">
        <f>+AF34</f>
        <v>0.27200000000000002</v>
      </c>
      <c r="AH34" s="184">
        <v>0.29089999999999999</v>
      </c>
      <c r="AI34" s="184">
        <f>+AH34</f>
        <v>0.29089999999999999</v>
      </c>
      <c r="AJ34" s="184">
        <v>0.29089999999999999</v>
      </c>
      <c r="AK34" s="184">
        <v>0.29089999999999999</v>
      </c>
      <c r="AL34" s="184">
        <v>0.29530000000000001</v>
      </c>
      <c r="AM34" s="184">
        <v>0.28689999999999999</v>
      </c>
      <c r="AN34" s="184">
        <v>0.28689999999999999</v>
      </c>
      <c r="AO34" s="184">
        <v>0.28760000000000002</v>
      </c>
      <c r="AP34" s="184">
        <v>0.28760000000000002</v>
      </c>
      <c r="AQ34" s="184">
        <v>0.28760000000000002</v>
      </c>
      <c r="AR34" s="184">
        <v>0.28760000000000002</v>
      </c>
      <c r="AS34" s="184">
        <v>0.29909999999999998</v>
      </c>
      <c r="AT34" s="184">
        <v>0.29909999999999998</v>
      </c>
      <c r="AU34" s="184">
        <v>0.29909999999999998</v>
      </c>
      <c r="AV34" s="184">
        <v>0.29909999999999998</v>
      </c>
      <c r="AW34" s="184">
        <v>0.31080000000000002</v>
      </c>
      <c r="AX34" s="259">
        <v>0.31080000000000002</v>
      </c>
      <c r="AY34" s="259">
        <f>AX34</f>
        <v>0.31080000000000002</v>
      </c>
      <c r="AZ34" s="259">
        <f>AY34</f>
        <v>0.31080000000000002</v>
      </c>
      <c r="BA34" s="259">
        <f>AZ34</f>
        <v>0.31080000000000002</v>
      </c>
      <c r="BB34" s="259">
        <v>0.32629999999999998</v>
      </c>
      <c r="BC34" s="259">
        <v>0.32629999999999998</v>
      </c>
      <c r="BD34" s="259">
        <v>0.32629999999999998</v>
      </c>
      <c r="BE34" s="259">
        <v>0.32629999999999998</v>
      </c>
      <c r="BF34" s="381"/>
      <c r="BG34" s="382"/>
      <c r="BH34" s="375"/>
      <c r="BI34" s="259">
        <f>AY34</f>
        <v>0.31080000000000002</v>
      </c>
      <c r="BJ34" s="381"/>
      <c r="BK34" s="382"/>
      <c r="BL34" s="375"/>
      <c r="BM34" s="259">
        <f>BE34</f>
        <v>0.32629999999999998</v>
      </c>
      <c r="BN34" s="184"/>
      <c r="BO34" s="184"/>
      <c r="BP34" s="184"/>
      <c r="BQ34" s="184"/>
      <c r="BR34" s="378"/>
      <c r="BS34" s="383"/>
      <c r="BT34" s="384"/>
      <c r="BU34" s="180"/>
    </row>
    <row r="35" spans="1:73" ht="13.75" customHeight="1">
      <c r="A35" s="377"/>
      <c r="B35" s="183" t="s">
        <v>167</v>
      </c>
      <c r="C35" s="184"/>
      <c r="D35" s="184"/>
      <c r="E35" s="184"/>
      <c r="F35" s="184"/>
      <c r="G35" s="184"/>
      <c r="H35" s="184"/>
      <c r="I35" s="184"/>
      <c r="J35" s="184"/>
      <c r="K35" s="184"/>
      <c r="L35" s="184"/>
      <c r="M35" s="184"/>
      <c r="N35" s="184"/>
      <c r="O35" s="184"/>
      <c r="P35" s="184"/>
      <c r="Q35" s="184"/>
      <c r="R35" s="184"/>
      <c r="S35" s="184"/>
      <c r="T35" s="184"/>
      <c r="U35" s="184"/>
      <c r="V35" s="184"/>
      <c r="W35" s="184"/>
      <c r="X35" s="184"/>
      <c r="Y35" s="184"/>
      <c r="Z35" s="184"/>
      <c r="AA35" s="184"/>
      <c r="AB35" s="184"/>
      <c r="AC35" s="184"/>
      <c r="AD35" s="184"/>
      <c r="AE35" s="184"/>
      <c r="AF35" s="184"/>
      <c r="AG35" s="184"/>
      <c r="AH35" s="184"/>
      <c r="AI35" s="184"/>
      <c r="AJ35" s="184"/>
      <c r="AK35" s="184"/>
      <c r="AL35" s="184"/>
      <c r="AM35" s="184">
        <v>2.58E-2</v>
      </c>
      <c r="AN35" s="184">
        <v>2.58E-2</v>
      </c>
      <c r="AO35" s="184">
        <v>2.58E-2</v>
      </c>
      <c r="AP35" s="184">
        <v>2.9100000000000001E-2</v>
      </c>
      <c r="AQ35" s="184">
        <v>2.9100000000000001E-2</v>
      </c>
      <c r="AR35" s="184">
        <v>2.9100000000000001E-2</v>
      </c>
      <c r="AS35" s="184">
        <v>2.9100000000000001E-2</v>
      </c>
      <c r="AT35" s="184">
        <v>2.87E-2</v>
      </c>
      <c r="AU35" s="184">
        <v>2.87E-2</v>
      </c>
      <c r="AV35" s="184">
        <v>2.87E-2</v>
      </c>
      <c r="AW35" s="184">
        <v>2.87E-2</v>
      </c>
      <c r="AX35" s="259">
        <v>2.7300000000000001E-2</v>
      </c>
      <c r="AY35" s="259">
        <f t="shared" ref="AY35:AZ36" si="4">AX35</f>
        <v>2.7300000000000001E-2</v>
      </c>
      <c r="AZ35" s="259">
        <f t="shared" si="4"/>
        <v>2.7300000000000001E-2</v>
      </c>
      <c r="BA35" s="259">
        <f>AZ35</f>
        <v>2.7300000000000001E-2</v>
      </c>
      <c r="BB35" s="259">
        <v>2.7300000000000001E-2</v>
      </c>
      <c r="BC35" s="259">
        <v>2.7300000000000001E-2</v>
      </c>
      <c r="BD35" s="259">
        <v>2.7300000000000001E-2</v>
      </c>
      <c r="BE35" s="259">
        <v>2.7300000000000001E-2</v>
      </c>
      <c r="BF35" s="381"/>
      <c r="BG35" s="292"/>
      <c r="BH35" s="293"/>
      <c r="BI35" s="259">
        <f>AY35</f>
        <v>2.7300000000000001E-2</v>
      </c>
      <c r="BJ35" s="381"/>
      <c r="BK35" s="262"/>
      <c r="BL35" s="263"/>
      <c r="BM35" s="259">
        <f>'Prop EEC 2021 Rates VGS'!H$12</f>
        <v>2.8139999999999998E-2</v>
      </c>
      <c r="BN35" s="184"/>
      <c r="BO35" s="184"/>
      <c r="BP35" s="184"/>
      <c r="BQ35" s="184"/>
      <c r="BR35" s="378" t="s">
        <v>165</v>
      </c>
      <c r="BS35" s="227"/>
      <c r="BT35" s="228" t="s">
        <v>168</v>
      </c>
      <c r="BU35" s="180"/>
    </row>
    <row r="36" spans="1:73">
      <c r="A36" s="377"/>
      <c r="B36" s="183" t="s">
        <v>77</v>
      </c>
      <c r="AB36" s="185">
        <v>17.989999999999998</v>
      </c>
      <c r="AC36" s="185">
        <f>+AB36</f>
        <v>17.989999999999998</v>
      </c>
      <c r="AD36" s="185">
        <f>+AC36</f>
        <v>17.989999999999998</v>
      </c>
      <c r="AE36" s="185">
        <f>+AD36</f>
        <v>17.989999999999998</v>
      </c>
      <c r="AF36" s="185">
        <f>+AE36</f>
        <v>17.989999999999998</v>
      </c>
      <c r="AG36" s="185">
        <f>+AF36</f>
        <v>17.989999999999998</v>
      </c>
      <c r="AH36" s="185">
        <v>10.84</v>
      </c>
      <c r="AI36" s="185">
        <f>+AH36</f>
        <v>10.84</v>
      </c>
      <c r="AJ36" s="185">
        <v>10.84</v>
      </c>
      <c r="AK36" s="185">
        <v>10.84</v>
      </c>
      <c r="AL36" s="185">
        <v>9.09</v>
      </c>
      <c r="AM36" s="185">
        <v>9.09</v>
      </c>
      <c r="AN36" s="185">
        <v>9.09</v>
      </c>
      <c r="AO36" s="185">
        <v>9.09</v>
      </c>
      <c r="AP36" s="185">
        <v>1.47</v>
      </c>
      <c r="AQ36" s="185">
        <v>1.47</v>
      </c>
      <c r="AR36" s="185">
        <v>1.47</v>
      </c>
      <c r="AS36" s="185">
        <v>1.47</v>
      </c>
      <c r="AT36" s="185">
        <v>1.47</v>
      </c>
      <c r="AU36" s="185">
        <v>1.47</v>
      </c>
      <c r="AV36" s="185">
        <v>1.47</v>
      </c>
      <c r="AW36" s="185">
        <v>1.47</v>
      </c>
      <c r="AX36" s="260">
        <v>1.47</v>
      </c>
      <c r="AY36" s="259">
        <f t="shared" si="4"/>
        <v>1.47</v>
      </c>
      <c r="AZ36" s="259">
        <f t="shared" si="4"/>
        <v>1.47</v>
      </c>
      <c r="BA36" s="259">
        <f>AZ36</f>
        <v>1.47</v>
      </c>
      <c r="BB36" s="259">
        <v>1.47</v>
      </c>
      <c r="BC36" s="259">
        <v>1.47</v>
      </c>
      <c r="BD36" s="259">
        <v>1.47</v>
      </c>
      <c r="BE36" s="259">
        <v>1.47</v>
      </c>
      <c r="BG36" s="320"/>
      <c r="BI36" s="259">
        <f>AY36</f>
        <v>1.47</v>
      </c>
      <c r="BK36" s="272"/>
      <c r="BM36" s="259">
        <f>BE36</f>
        <v>1.47</v>
      </c>
      <c r="BN36" s="185"/>
      <c r="BO36" s="185"/>
      <c r="BP36" s="185"/>
      <c r="BQ36" s="185"/>
      <c r="BS36" s="198"/>
    </row>
    <row r="37" spans="1:73" ht="15.5">
      <c r="A37" s="226"/>
      <c r="B37" s="183" t="str">
        <f>B30</f>
        <v>2018 Tax Adj</v>
      </c>
      <c r="AB37" s="185"/>
      <c r="AC37" s="185"/>
      <c r="AD37" s="185"/>
      <c r="AE37" s="185"/>
      <c r="AF37" s="185"/>
      <c r="AG37" s="185"/>
      <c r="AH37" s="185"/>
      <c r="AI37" s="185"/>
      <c r="AJ37" s="185"/>
      <c r="AK37" s="185"/>
      <c r="AL37" s="185"/>
      <c r="AM37" s="185"/>
      <c r="AN37" s="185"/>
      <c r="AO37" s="185"/>
      <c r="AP37" s="185"/>
      <c r="AQ37" s="185"/>
      <c r="AR37" s="185"/>
      <c r="AS37" s="185"/>
      <c r="AT37" s="186">
        <v>-2.7900000000000001E-2</v>
      </c>
      <c r="AU37" s="186">
        <v>-2.7900000000000001E-2</v>
      </c>
      <c r="AV37" s="186">
        <v>-2.7900000000000001E-2</v>
      </c>
      <c r="AW37" s="186">
        <v>0</v>
      </c>
      <c r="BA37" s="259"/>
      <c r="BB37" s="259"/>
      <c r="BC37" s="259"/>
      <c r="BD37" s="259"/>
      <c r="BE37" s="259"/>
      <c r="BG37" s="321"/>
      <c r="BH37" s="293"/>
      <c r="BI37" s="264"/>
      <c r="BK37" s="273"/>
      <c r="BL37" s="263"/>
      <c r="BM37" s="264"/>
      <c r="BN37" s="186"/>
      <c r="BO37" s="186"/>
      <c r="BP37" s="186"/>
      <c r="BQ37" s="186"/>
      <c r="BS37" s="199">
        <f>BS33+AW37</f>
        <v>0.69829999999999992</v>
      </c>
      <c r="BT37" s="228" t="s">
        <v>168</v>
      </c>
    </row>
    <row r="38" spans="1:73" ht="15.5">
      <c r="A38" s="226"/>
      <c r="B38" s="183"/>
      <c r="AB38" s="185"/>
      <c r="AC38" s="185"/>
      <c r="AD38" s="185"/>
      <c r="AE38" s="185"/>
      <c r="AF38" s="185"/>
      <c r="AG38" s="185"/>
      <c r="AH38" s="185"/>
      <c r="AI38" s="185"/>
      <c r="AJ38" s="185"/>
      <c r="AK38" s="185"/>
      <c r="AL38" s="185"/>
      <c r="AM38" s="185"/>
      <c r="AN38" s="185"/>
      <c r="AO38" s="185"/>
      <c r="AP38" s="185"/>
      <c r="AQ38" s="185"/>
      <c r="AR38" s="185"/>
      <c r="AS38" s="185"/>
      <c r="AT38" s="185"/>
      <c r="AU38" s="185"/>
      <c r="AV38" s="185"/>
      <c r="AW38" s="185"/>
      <c r="AX38" s="260"/>
      <c r="AY38" s="260"/>
      <c r="AZ38" s="260"/>
      <c r="BA38" s="260"/>
      <c r="BB38" s="260"/>
      <c r="BC38" s="260"/>
      <c r="BD38" s="260"/>
      <c r="BE38" s="260"/>
      <c r="BG38" s="320"/>
      <c r="BI38" s="260"/>
      <c r="BK38" s="272"/>
      <c r="BM38" s="260"/>
      <c r="BN38" s="185"/>
      <c r="BO38" s="185"/>
      <c r="BP38" s="185"/>
      <c r="BQ38" s="185"/>
      <c r="BS38" s="198"/>
    </row>
    <row r="39" spans="1:73">
      <c r="AX39" s="259">
        <v>1.2930999999999999</v>
      </c>
      <c r="AY39" s="259">
        <v>1.3023</v>
      </c>
      <c r="AZ39" s="259">
        <v>1.3023</v>
      </c>
      <c r="BA39" s="259">
        <v>1.1780999999999999</v>
      </c>
      <c r="BB39" s="259">
        <v>1.1963999999999999</v>
      </c>
      <c r="BC39" s="259">
        <v>1.3243</v>
      </c>
      <c r="BD39" s="259">
        <v>1.2995000000000001</v>
      </c>
      <c r="BE39" s="259">
        <v>1.2416</v>
      </c>
      <c r="BG39" s="320"/>
      <c r="BI39" s="259">
        <v>1.1780999999999999</v>
      </c>
      <c r="BK39" s="272"/>
      <c r="BM39" s="259">
        <v>1.1780999999999999</v>
      </c>
      <c r="BS39" s="198"/>
    </row>
    <row r="40" spans="1:73">
      <c r="A40" s="179" t="s">
        <v>170</v>
      </c>
      <c r="BG40" s="320"/>
      <c r="BK40" s="272"/>
    </row>
    <row r="41" spans="1:73">
      <c r="A41" s="113" t="s">
        <v>171</v>
      </c>
    </row>
    <row r="42" spans="1:73">
      <c r="A42" s="113" t="s">
        <v>172</v>
      </c>
    </row>
    <row r="43" spans="1:73">
      <c r="A43" s="112" t="s">
        <v>173</v>
      </c>
    </row>
    <row r="44" spans="1:73">
      <c r="A44" s="112" t="s">
        <v>174</v>
      </c>
    </row>
    <row r="45" spans="1:73">
      <c r="A45" s="322" t="s">
        <v>226</v>
      </c>
    </row>
    <row r="46" spans="1:73">
      <c r="A46" s="113" t="s">
        <v>227</v>
      </c>
    </row>
  </sheetData>
  <mergeCells count="47">
    <mergeCell ref="BF33:BF35"/>
    <mergeCell ref="BG33:BG34"/>
    <mergeCell ref="BH33:BH34"/>
    <mergeCell ref="BF19:BF21"/>
    <mergeCell ref="BG19:BG20"/>
    <mergeCell ref="BH19:BH20"/>
    <mergeCell ref="BF26:BF28"/>
    <mergeCell ref="BG26:BG27"/>
    <mergeCell ref="BH26:BH27"/>
    <mergeCell ref="BJ33:BJ35"/>
    <mergeCell ref="BK33:BK34"/>
    <mergeCell ref="BL33:BL34"/>
    <mergeCell ref="BJ19:BJ21"/>
    <mergeCell ref="BK19:BK20"/>
    <mergeCell ref="BL19:BL20"/>
    <mergeCell ref="BJ26:BJ28"/>
    <mergeCell ref="BK26:BK27"/>
    <mergeCell ref="BL26:BL27"/>
    <mergeCell ref="BS5:BS6"/>
    <mergeCell ref="BT5:BT6"/>
    <mergeCell ref="A32:A36"/>
    <mergeCell ref="BR33:BR35"/>
    <mergeCell ref="BS33:BS34"/>
    <mergeCell ref="BT33:BT34"/>
    <mergeCell ref="A18:A22"/>
    <mergeCell ref="BR19:BR21"/>
    <mergeCell ref="BS19:BS20"/>
    <mergeCell ref="BT19:BT20"/>
    <mergeCell ref="A25:A29"/>
    <mergeCell ref="BR26:BR28"/>
    <mergeCell ref="BS26:BS27"/>
    <mergeCell ref="BT26:BT27"/>
    <mergeCell ref="BJ5:BJ7"/>
    <mergeCell ref="BK5:BK6"/>
    <mergeCell ref="A11:A15"/>
    <mergeCell ref="BR12:BR14"/>
    <mergeCell ref="C1:AE1"/>
    <mergeCell ref="A4:A8"/>
    <mergeCell ref="BR5:BR8"/>
    <mergeCell ref="BL5:BL6"/>
    <mergeCell ref="BJ12:BJ14"/>
    <mergeCell ref="BK12:BK13"/>
    <mergeCell ref="BF5:BF7"/>
    <mergeCell ref="BG5:BG6"/>
    <mergeCell ref="BH5:BH6"/>
    <mergeCell ref="BF12:BF14"/>
    <mergeCell ref="BG12:BG13"/>
  </mergeCells>
  <hyperlinks>
    <hyperlink ref="A45" r:id="rId1" display="../../TARIFFS" xr:uid="{480B51C3-C923-4A57-B73F-DAFECC87E029}"/>
  </hyperlinks>
  <pageMargins left="0.42" right="0.22" top="1.36" bottom="1" header="0.5" footer="0.5"/>
  <pageSetup scale="74" orientation="landscape" r:id="rId2"/>
  <headerFooter alignWithMargins="0">
    <oddFooter>&amp;C&amp;F</oddFooter>
  </headerFooter>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10</vt:i4>
      </vt:variant>
    </vt:vector>
  </HeadingPairs>
  <TitlesOfParts>
    <vt:vector size="10" baseType="lpstr">
      <vt:lpstr>Proposed CY 2017 rate</vt:lpstr>
      <vt:lpstr>Prop EEC 2021 Rates VGS</vt:lpstr>
      <vt:lpstr>PSD Budget Inves Totals 21-23</vt:lpstr>
      <vt:lpstr>Reallocation 2016-2017</vt:lpstr>
      <vt:lpstr>EEU balance</vt:lpstr>
      <vt:lpstr>CY 2019-2020 forecast</vt:lpstr>
      <vt:lpstr>EEU PSD Proposed budgets18-20</vt:lpstr>
      <vt:lpstr>AVG Liap customers</vt:lpstr>
      <vt:lpstr>Rate Impact VGS</vt:lpstr>
      <vt:lpstr>VGS rates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Eileen Simollardes</dc:creator>
  <cp:lastModifiedBy>Karen Horne</cp:lastModifiedBy>
  <cp:lastPrinted>2017-10-18T17:00:29Z</cp:lastPrinted>
  <dcterms:created xsi:type="dcterms:W3CDTF">2016-10-12T19:36:06Z</dcterms:created>
  <dcterms:modified xsi:type="dcterms:W3CDTF">2020-11-02T16:27:53Z</dcterms:modified>
</cp:coreProperties>
</file>