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comments5.xml" ContentType="application/vnd.openxmlformats-officedocument.spreadsheetml.comments+xml"/>
  <Override PartName="/xl/comments6.xml" ContentType="application/vnd.openxmlformats-officedocument.spreadsheetml.comments+xml"/>
  <Override PartName="/xl/threadedComments/threadedComment4.xml" ContentType="application/vnd.ms-excel.threadedcomments+xml"/>
  <Override PartName="/xl/comments7.xml" ContentType="application/vnd.openxmlformats-officedocument.spreadsheetml.comments+xml"/>
  <Override PartName="/xl/threadedComments/threadedComment5.xml" ContentType="application/vnd.ms-excel.threadedcomments+xml"/>
  <Override PartName="/xl/comments8.xml" ContentType="application/vnd.openxmlformats-officedocument.spreadsheetml.comments+xml"/>
  <Override PartName="/xl/threadedComments/threadedComment6.xml" ContentType="application/vnd.ms-excel.threadedcomments+xml"/>
  <Override PartName="/xl/comments9.xml" ContentType="application/vnd.openxmlformats-officedocument.spreadsheetml.comments+xml"/>
  <Override PartName="/xl/threadedComments/threadedComment7.xml" ContentType="application/vnd.ms-excel.threadedcomments+xml"/>
  <Override PartName="/xl/comments10.xml" ContentType="application/vnd.openxmlformats-officedocument.spreadsheetml.comments+xml"/>
  <Override PartName="/xl/comments11.xml" ContentType="application/vnd.openxmlformats-officedocument.spreadsheetml.comments+xml"/>
  <Override PartName="/xl/threadedComments/threadedComment8.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mc:AlternateContent xmlns:mc="http://schemas.openxmlformats.org/markup-compatibility/2006">
    <mc:Choice Requires="x15">
      <x15ac:absPath xmlns:x15ac="http://schemas.microsoft.com/office/spreadsheetml/2010/11/ac" url="R:\Regulatory\Cases\2020\20-2022-INV 2021 EEC Rates\Filings\"/>
    </mc:Choice>
  </mc:AlternateContent>
  <xr:revisionPtr revIDLastSave="0" documentId="8_{FC6D5BC4-3675-4BAE-83AC-CC81CCED11F9}" xr6:coauthVersionLast="44" xr6:coauthVersionMax="44" xr10:uidLastSave="{00000000-0000-0000-0000-000000000000}"/>
  <bookViews>
    <workbookView xWindow="-98" yWindow="-98" windowWidth="20715" windowHeight="13276" tabRatio="687" firstSheet="6" activeTab="12" xr2:uid="{00000000-000D-0000-FFFF-FFFF00000000}"/>
  </bookViews>
  <sheets>
    <sheet name="2019 FA Data" sheetId="15" state="hidden" r:id="rId1"/>
    <sheet name="2019 Detailed True-up" sheetId="20" state="hidden" r:id="rId2"/>
    <sheet name="Sheet1" sheetId="19" state="hidden" r:id="rId3"/>
    <sheet name="Gross Consumption" sheetId="24" state="hidden" r:id="rId4"/>
    <sheet name="2018-2020 C&amp;I Comp" sheetId="26" r:id="rId5"/>
    <sheet name="2018-2019 Comp" sheetId="25" state="hidden" r:id="rId6"/>
    <sheet name="Util Rev and Load Data" sheetId="1" r:id="rId7"/>
    <sheet name="EEC Uncollectibles" sheetId="9" r:id="rId8"/>
    <sheet name="Net Meter Est" sheetId="18" state="hidden" r:id="rId9"/>
    <sheet name="EEC Collection True-Up" sheetId="10" r:id="rId10"/>
    <sheet name="2020 Collection Forecast" sheetId="22" state="hidden" r:id="rId11"/>
    <sheet name="EEC Calculation" sheetId="6" r:id="rId12"/>
    <sheet name="EEC Rates Report" sheetId="8" r:id="rId13"/>
    <sheet name="2021 Rate Factors" sheetId="14" r:id="rId14"/>
  </sheets>
  <definedNames>
    <definedName name="_xlnm.Print_Area" localSheetId="11">'EEC Calculation'!$A$1:$I$42</definedName>
    <definedName name="_xlnm.Print_Area" localSheetId="12">'EEC Rates Report'!$A$1:$H$25</definedName>
    <definedName name="_xlnm.Print_Area" localSheetId="6">'Util Rev and Load Data'!$A$7:$AD$48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3" i="14" l="1"/>
  <c r="B21" i="14"/>
  <c r="L6" i="15" l="1"/>
  <c r="M6" i="15"/>
  <c r="L7" i="15"/>
  <c r="M7" i="15"/>
  <c r="M22" i="15" s="1"/>
  <c r="L8" i="15"/>
  <c r="M8" i="15"/>
  <c r="L9" i="15"/>
  <c r="M9" i="15"/>
  <c r="L10" i="15"/>
  <c r="M10" i="15"/>
  <c r="L11" i="15"/>
  <c r="M11" i="15"/>
  <c r="L12" i="15"/>
  <c r="M12" i="15"/>
  <c r="L13" i="15"/>
  <c r="M13" i="15"/>
  <c r="L14" i="15"/>
  <c r="M14" i="15"/>
  <c r="L15" i="15"/>
  <c r="M15" i="15"/>
  <c r="L16" i="15"/>
  <c r="M16" i="15"/>
  <c r="L17" i="15"/>
  <c r="M17" i="15"/>
  <c r="L18" i="15"/>
  <c r="M18" i="15"/>
  <c r="L19" i="15"/>
  <c r="M19" i="15"/>
  <c r="L20" i="15"/>
  <c r="M20" i="15"/>
  <c r="L21" i="15"/>
  <c r="M21" i="15"/>
  <c r="D22" i="15"/>
  <c r="E22" i="15"/>
  <c r="F22" i="15"/>
  <c r="G22" i="15"/>
  <c r="J29" i="15" s="1"/>
  <c r="J31" i="15" s="1"/>
  <c r="H22" i="15"/>
  <c r="I22" i="15"/>
  <c r="J22" i="15"/>
  <c r="K22" i="15"/>
  <c r="K30" i="15" s="1"/>
  <c r="L22" i="15"/>
  <c r="H28" i="15"/>
  <c r="I28" i="15"/>
  <c r="J28" i="15"/>
  <c r="K28" i="15"/>
  <c r="H29" i="15"/>
  <c r="I29" i="15"/>
  <c r="K29" i="15"/>
  <c r="H30" i="15"/>
  <c r="I30" i="15"/>
  <c r="J30" i="15"/>
  <c r="H31" i="15"/>
  <c r="I31" i="15"/>
  <c r="H29" i="8"/>
  <c r="H30" i="10" l="1"/>
  <c r="H33" i="10" s="1"/>
  <c r="N63" i="22"/>
  <c r="M63" i="22"/>
  <c r="L63" i="22"/>
  <c r="K63" i="22"/>
  <c r="J63" i="22"/>
  <c r="I63" i="22"/>
  <c r="N62" i="22"/>
  <c r="M62" i="22"/>
  <c r="L62" i="22"/>
  <c r="K62" i="22"/>
  <c r="J62" i="22"/>
  <c r="I62" i="22"/>
  <c r="N61" i="22"/>
  <c r="M61" i="22"/>
  <c r="L61" i="22"/>
  <c r="K61" i="22"/>
  <c r="J61" i="22"/>
  <c r="I61" i="22"/>
  <c r="N60" i="22"/>
  <c r="M60" i="22"/>
  <c r="L60" i="22"/>
  <c r="K60" i="22"/>
  <c r="J60" i="22"/>
  <c r="I60" i="22"/>
  <c r="N59" i="22"/>
  <c r="M59" i="22"/>
  <c r="L59" i="22"/>
  <c r="K59" i="22"/>
  <c r="J59" i="22"/>
  <c r="I59" i="22"/>
  <c r="N58" i="22"/>
  <c r="M58" i="22"/>
  <c r="L58" i="22"/>
  <c r="K58" i="22"/>
  <c r="J58" i="22"/>
  <c r="I58" i="22"/>
  <c r="N57" i="22"/>
  <c r="M57" i="22"/>
  <c r="L57" i="22"/>
  <c r="K57" i="22"/>
  <c r="J57" i="22"/>
  <c r="I57" i="22"/>
  <c r="N56" i="22"/>
  <c r="M56" i="22"/>
  <c r="L56" i="22"/>
  <c r="K56" i="22"/>
  <c r="J56" i="22"/>
  <c r="I56" i="22"/>
  <c r="N55" i="22"/>
  <c r="M55" i="22"/>
  <c r="L55" i="22"/>
  <c r="K55" i="22"/>
  <c r="J55" i="22"/>
  <c r="I55" i="22"/>
  <c r="N54" i="22"/>
  <c r="M54" i="22"/>
  <c r="L54" i="22"/>
  <c r="K54" i="22"/>
  <c r="J54" i="22"/>
  <c r="I54" i="22"/>
  <c r="N53" i="22"/>
  <c r="M53" i="22"/>
  <c r="L53" i="22"/>
  <c r="K53" i="22"/>
  <c r="J53" i="22"/>
  <c r="I53" i="22"/>
  <c r="N52" i="22"/>
  <c r="M52" i="22"/>
  <c r="L52" i="22"/>
  <c r="K52" i="22"/>
  <c r="J52" i="22"/>
  <c r="I52" i="22"/>
  <c r="N51" i="22"/>
  <c r="M51" i="22"/>
  <c r="L51" i="22"/>
  <c r="K51" i="22"/>
  <c r="J51" i="22"/>
  <c r="I51" i="22"/>
  <c r="N50" i="22"/>
  <c r="M50" i="22"/>
  <c r="L50" i="22"/>
  <c r="K50" i="22"/>
  <c r="J50" i="22"/>
  <c r="I50" i="22"/>
  <c r="N49" i="22"/>
  <c r="M49" i="22"/>
  <c r="L49" i="22"/>
  <c r="K49" i="22"/>
  <c r="J49" i="22"/>
  <c r="I49" i="22"/>
  <c r="N48" i="22"/>
  <c r="M48" i="22"/>
  <c r="L48" i="22"/>
  <c r="K48" i="22"/>
  <c r="J48" i="22"/>
  <c r="I48" i="22"/>
  <c r="F29" i="8" l="1"/>
  <c r="K41" i="8"/>
  <c r="N41" i="8" s="1"/>
  <c r="K38" i="8"/>
  <c r="N38" i="8" s="1"/>
  <c r="F26" i="6"/>
  <c r="F27" i="6" s="1"/>
  <c r="P20" i="26" l="1"/>
  <c r="P19" i="26"/>
  <c r="Q19" i="26" s="1"/>
  <c r="P18" i="26"/>
  <c r="Q11" i="26"/>
  <c r="P10" i="26"/>
  <c r="P11" i="26"/>
  <c r="P9" i="26"/>
  <c r="Q10" i="26" s="1"/>
  <c r="Q20" i="26" l="1"/>
  <c r="L11" i="26"/>
  <c r="L10" i="26"/>
  <c r="K11" i="26"/>
  <c r="K10" i="26"/>
  <c r="K9" i="26"/>
  <c r="K19" i="26"/>
  <c r="L20" i="26" s="1"/>
  <c r="K20" i="26"/>
  <c r="K18" i="26"/>
  <c r="E13" i="26"/>
  <c r="F13" i="26" s="1"/>
  <c r="E12" i="26"/>
  <c r="E11" i="26"/>
  <c r="E10" i="26"/>
  <c r="E9" i="26"/>
  <c r="N9" i="26" s="1"/>
  <c r="J21" i="26"/>
  <c r="P21" i="26" s="1"/>
  <c r="Q21" i="26" s="1"/>
  <c r="I21" i="26"/>
  <c r="H21" i="26"/>
  <c r="K21" i="26" s="1"/>
  <c r="L21" i="26" s="1"/>
  <c r="J12" i="26"/>
  <c r="I12" i="26"/>
  <c r="H12" i="26"/>
  <c r="H13" i="26" s="1"/>
  <c r="J13" i="26" l="1"/>
  <c r="P13" i="26" s="1"/>
  <c r="P12" i="26"/>
  <c r="Q12" i="26" s="1"/>
  <c r="K12" i="26"/>
  <c r="L12" i="26" s="1"/>
  <c r="F10" i="26"/>
  <c r="N10" i="26"/>
  <c r="O10" i="26" s="1"/>
  <c r="L19" i="26"/>
  <c r="F11" i="26"/>
  <c r="N11" i="26"/>
  <c r="O11" i="26" s="1"/>
  <c r="I13" i="26"/>
  <c r="N13" i="26" s="1"/>
  <c r="N12" i="26"/>
  <c r="O12" i="26" s="1"/>
  <c r="F12" i="26"/>
  <c r="E19" i="26"/>
  <c r="N19" i="26" s="1"/>
  <c r="E18" i="26"/>
  <c r="N18" i="26" s="1"/>
  <c r="O13" i="26" l="1"/>
  <c r="K13" i="26"/>
  <c r="L13" i="26" s="1"/>
  <c r="O19" i="26"/>
  <c r="Q13" i="26"/>
  <c r="F19" i="26"/>
  <c r="D22" i="26" l="1"/>
  <c r="J22" i="26" s="1"/>
  <c r="P22" i="26" s="1"/>
  <c r="Q22" i="26" s="1"/>
  <c r="C22" i="26"/>
  <c r="I22" i="26" s="1"/>
  <c r="B22" i="26"/>
  <c r="B21" i="26"/>
  <c r="E21" i="26" s="1"/>
  <c r="N21" i="26" s="1"/>
  <c r="E20" i="26"/>
  <c r="H22" i="26" l="1"/>
  <c r="K22" i="26" s="1"/>
  <c r="L22" i="26" s="1"/>
  <c r="N20" i="26"/>
  <c r="O20" i="26" s="1"/>
  <c r="F20" i="26"/>
  <c r="E22" i="26"/>
  <c r="F22" i="26"/>
  <c r="F21" i="26"/>
  <c r="N22" i="26" l="1"/>
  <c r="O22" i="26" s="1"/>
  <c r="O21" i="26"/>
  <c r="B126" i="6"/>
  <c r="B109" i="6"/>
  <c r="K73" i="6"/>
  <c r="K83" i="6"/>
  <c r="L81" i="6"/>
  <c r="L82" i="6" s="1"/>
  <c r="L72" i="6"/>
  <c r="L71" i="6"/>
  <c r="K72" i="6"/>
  <c r="K71" i="6"/>
  <c r="H50" i="6" l="1"/>
  <c r="D67" i="22"/>
  <c r="E67" i="22"/>
  <c r="F67" i="22"/>
  <c r="G67" i="22"/>
  <c r="H67" i="22"/>
  <c r="I67" i="22"/>
  <c r="J67" i="22"/>
  <c r="K67" i="22"/>
  <c r="L67" i="22"/>
  <c r="M67" i="22"/>
  <c r="N67" i="22"/>
  <c r="C67" i="22"/>
  <c r="I66" i="22"/>
  <c r="O67" i="22"/>
  <c r="D68" i="22"/>
  <c r="E68" i="22"/>
  <c r="F68" i="22"/>
  <c r="G68" i="22"/>
  <c r="H68" i="22"/>
  <c r="I68" i="22"/>
  <c r="J68" i="22"/>
  <c r="J66" i="22" s="1"/>
  <c r="K68" i="22"/>
  <c r="K66" i="22" s="1"/>
  <c r="L68" i="22"/>
  <c r="M68" i="22"/>
  <c r="N68" i="22"/>
  <c r="N66" i="22" s="1"/>
  <c r="C68" i="22"/>
  <c r="L66" i="22"/>
  <c r="M66" i="22"/>
  <c r="O68" i="22" l="1"/>
  <c r="X14" i="10"/>
  <c r="S29" i="24" l="1"/>
  <c r="S27" i="24"/>
  <c r="S28" i="24"/>
  <c r="T35" i="24"/>
  <c r="V32" i="24" l="1"/>
  <c r="U32" i="24"/>
  <c r="S32" i="24"/>
  <c r="Y16" i="24"/>
  <c r="X16" i="24"/>
  <c r="W16" i="24"/>
  <c r="V28" i="24"/>
  <c r="U28" i="24"/>
  <c r="V31" i="24"/>
  <c r="U31" i="24"/>
  <c r="T31" i="24"/>
  <c r="M38" i="24"/>
  <c r="M37" i="24"/>
  <c r="M36" i="24"/>
  <c r="M35" i="24"/>
  <c r="M34" i="24"/>
  <c r="M33" i="24"/>
  <c r="M32" i="24"/>
  <c r="M31" i="24"/>
  <c r="M30" i="24"/>
  <c r="M29" i="24"/>
  <c r="M28" i="24"/>
  <c r="T28" i="24" l="1"/>
  <c r="T29" i="24"/>
  <c r="U29" i="24" s="1"/>
  <c r="V29" i="24" s="1"/>
  <c r="T27" i="24"/>
  <c r="U27" i="24" s="1"/>
  <c r="W108" i="24"/>
  <c r="X108" i="24"/>
  <c r="X107" i="24"/>
  <c r="W107" i="24"/>
  <c r="X106" i="24"/>
  <c r="W106" i="24"/>
  <c r="Y106" i="24"/>
  <c r="Y94" i="24"/>
  <c r="Y95" i="24"/>
  <c r="Y96" i="24"/>
  <c r="Y97" i="24"/>
  <c r="Y98" i="24"/>
  <c r="Y99" i="24"/>
  <c r="V107" i="24"/>
  <c r="Y93" i="24"/>
  <c r="U106" i="24"/>
  <c r="V96" i="24" s="1"/>
  <c r="W96" i="24" l="1"/>
  <c r="X96" i="24"/>
  <c r="V103" i="24"/>
  <c r="V99" i="24"/>
  <c r="V95" i="24"/>
  <c r="V94" i="24"/>
  <c r="V102" i="24"/>
  <c r="V98" i="24"/>
  <c r="V105" i="24"/>
  <c r="V101" i="24"/>
  <c r="V97" i="24"/>
  <c r="V104" i="24"/>
  <c r="V100" i="24"/>
  <c r="W104" i="24" l="1"/>
  <c r="X104" i="24"/>
  <c r="W98" i="24"/>
  <c r="X98" i="24"/>
  <c r="W99" i="24"/>
  <c r="X99" i="24"/>
  <c r="W97" i="24"/>
  <c r="X97" i="24"/>
  <c r="W102" i="24"/>
  <c r="X102" i="24"/>
  <c r="W103" i="24"/>
  <c r="X103" i="24"/>
  <c r="W101" i="24"/>
  <c r="X101" i="24"/>
  <c r="X94" i="24"/>
  <c r="W94" i="24"/>
  <c r="V106" i="24"/>
  <c r="W100" i="24"/>
  <c r="X100" i="24"/>
  <c r="W105" i="24"/>
  <c r="Y105" i="24" s="1"/>
  <c r="X105" i="24"/>
  <c r="W95" i="24"/>
  <c r="X95" i="24"/>
  <c r="Y103" i="24" l="1"/>
  <c r="Y100" i="24"/>
  <c r="Y101" i="24"/>
  <c r="Y102" i="24"/>
  <c r="Y104" i="24"/>
  <c r="Y107" i="24" l="1"/>
  <c r="X105" i="25"/>
  <c r="W105" i="25"/>
  <c r="V105" i="25"/>
  <c r="X104" i="25"/>
  <c r="Y104" i="25" s="1"/>
  <c r="W104" i="25"/>
  <c r="V104" i="25"/>
  <c r="X103" i="25"/>
  <c r="X102" i="25"/>
  <c r="X101" i="25"/>
  <c r="V101" i="25"/>
  <c r="X100" i="25"/>
  <c r="X99" i="25"/>
  <c r="X98" i="25"/>
  <c r="X97" i="25"/>
  <c r="W97" i="25"/>
  <c r="V97" i="25"/>
  <c r="X96" i="25"/>
  <c r="X95" i="25"/>
  <c r="X94" i="25"/>
  <c r="X93" i="25"/>
  <c r="X92" i="25"/>
  <c r="X106" i="25" s="1"/>
  <c r="W92" i="25"/>
  <c r="V92" i="25"/>
  <c r="X91" i="25"/>
  <c r="X90" i="25"/>
  <c r="S104" i="25"/>
  <c r="S92" i="25"/>
  <c r="S91" i="25"/>
  <c r="S90" i="25"/>
  <c r="M105" i="25"/>
  <c r="L105" i="25"/>
  <c r="K105" i="25"/>
  <c r="M104" i="25"/>
  <c r="N104" i="25" s="1"/>
  <c r="L104" i="25"/>
  <c r="K104" i="25"/>
  <c r="M103" i="25"/>
  <c r="L103" i="25"/>
  <c r="N103" i="25" s="1"/>
  <c r="K103" i="25"/>
  <c r="M102" i="25"/>
  <c r="M101" i="25"/>
  <c r="M100" i="25"/>
  <c r="M99" i="25"/>
  <c r="L99" i="25"/>
  <c r="K99" i="25"/>
  <c r="M98" i="25"/>
  <c r="M97" i="25"/>
  <c r="L97" i="25"/>
  <c r="K97" i="25"/>
  <c r="M96" i="25"/>
  <c r="L96" i="25"/>
  <c r="K96" i="25"/>
  <c r="M95" i="25"/>
  <c r="L95" i="25"/>
  <c r="N95" i="25" s="1"/>
  <c r="K95" i="25"/>
  <c r="M94" i="25"/>
  <c r="L94" i="25"/>
  <c r="N94" i="25" s="1"/>
  <c r="K94" i="25"/>
  <c r="M93" i="25"/>
  <c r="M92" i="25"/>
  <c r="N92" i="25" s="1"/>
  <c r="L92" i="25"/>
  <c r="K92" i="25"/>
  <c r="M91" i="25"/>
  <c r="L91" i="25"/>
  <c r="N91" i="25" s="1"/>
  <c r="K91" i="25"/>
  <c r="M90" i="25"/>
  <c r="M106" i="25" s="1"/>
  <c r="M108" i="25" s="1"/>
  <c r="L90" i="25"/>
  <c r="K90" i="25"/>
  <c r="H105" i="25"/>
  <c r="G105" i="25"/>
  <c r="I105" i="25" s="1"/>
  <c r="H104" i="25"/>
  <c r="G104" i="25"/>
  <c r="I104" i="25" s="1"/>
  <c r="P104" i="25" s="1"/>
  <c r="AC104" i="25" s="1"/>
  <c r="H103" i="25"/>
  <c r="G103" i="25"/>
  <c r="H102" i="25"/>
  <c r="G102" i="25"/>
  <c r="I102" i="25" s="1"/>
  <c r="H101" i="25"/>
  <c r="G101" i="25"/>
  <c r="H100" i="25"/>
  <c r="G100" i="25"/>
  <c r="I100" i="25" s="1"/>
  <c r="H99" i="25"/>
  <c r="G99" i="25"/>
  <c r="I99" i="25" s="1"/>
  <c r="P99" i="25" s="1"/>
  <c r="H98" i="25"/>
  <c r="G98" i="25"/>
  <c r="I98" i="25" s="1"/>
  <c r="H97" i="25"/>
  <c r="G97" i="25"/>
  <c r="I97" i="25" s="1"/>
  <c r="H96" i="25"/>
  <c r="G96" i="25"/>
  <c r="I96" i="25" s="1"/>
  <c r="P96" i="25" s="1"/>
  <c r="H95" i="25"/>
  <c r="G95" i="25"/>
  <c r="I95" i="25" s="1"/>
  <c r="P95" i="25" s="1"/>
  <c r="H94" i="25"/>
  <c r="G94" i="25"/>
  <c r="H93" i="25"/>
  <c r="G93" i="25"/>
  <c r="H92" i="25"/>
  <c r="G92" i="25"/>
  <c r="I92" i="25" s="1"/>
  <c r="P92" i="25" s="1"/>
  <c r="AC92" i="25" s="1"/>
  <c r="H91" i="25"/>
  <c r="G91" i="25"/>
  <c r="I91" i="25" s="1"/>
  <c r="P91" i="25" s="1"/>
  <c r="H90" i="25"/>
  <c r="G90" i="25"/>
  <c r="C105" i="25"/>
  <c r="C104" i="25"/>
  <c r="C103" i="25"/>
  <c r="C102" i="25"/>
  <c r="C101" i="25"/>
  <c r="C100" i="25"/>
  <c r="C99" i="25"/>
  <c r="C98" i="25"/>
  <c r="C97" i="25"/>
  <c r="C96" i="25"/>
  <c r="C95" i="25"/>
  <c r="C94" i="25"/>
  <c r="C93" i="25"/>
  <c r="C92" i="25"/>
  <c r="C91" i="25"/>
  <c r="C90" i="25"/>
  <c r="C106" i="25" s="1"/>
  <c r="AB108" i="25"/>
  <c r="AB106" i="25"/>
  <c r="H106" i="25"/>
  <c r="H108" i="25" s="1"/>
  <c r="G106" i="25"/>
  <c r="G108" i="25" s="1"/>
  <c r="Y105" i="25"/>
  <c r="N105" i="25"/>
  <c r="AD105" i="25" s="1"/>
  <c r="AA104" i="25"/>
  <c r="I103" i="25"/>
  <c r="P103" i="25" s="1"/>
  <c r="I101" i="25"/>
  <c r="N99" i="25"/>
  <c r="Y97" i="25"/>
  <c r="N97" i="25"/>
  <c r="AD97" i="25" s="1"/>
  <c r="N96" i="25"/>
  <c r="I93" i="25"/>
  <c r="AA92" i="25"/>
  <c r="Y92" i="25"/>
  <c r="N90" i="25"/>
  <c r="I90" i="25"/>
  <c r="Z87" i="25"/>
  <c r="X87" i="25"/>
  <c r="W87" i="25"/>
  <c r="V87" i="25"/>
  <c r="S87" i="25"/>
  <c r="P87" i="25"/>
  <c r="N87" i="25"/>
  <c r="I87" i="25"/>
  <c r="C87" i="25"/>
  <c r="AD85" i="25"/>
  <c r="AC85" i="25"/>
  <c r="AA85" i="25"/>
  <c r="Y85" i="25"/>
  <c r="AD84" i="25"/>
  <c r="AD87" i="25" s="1"/>
  <c r="AA84" i="25"/>
  <c r="AA87" i="25" s="1"/>
  <c r="Y84" i="25"/>
  <c r="Y87" i="25" s="1"/>
  <c r="P84" i="25"/>
  <c r="AC84" i="25" s="1"/>
  <c r="AC87" i="25" s="1"/>
  <c r="N84" i="25"/>
  <c r="I84" i="25"/>
  <c r="AB70" i="25"/>
  <c r="AB72" i="25" s="1"/>
  <c r="X70" i="25"/>
  <c r="M70" i="25"/>
  <c r="M72" i="25" s="1"/>
  <c r="H70" i="25"/>
  <c r="H72" i="25" s="1"/>
  <c r="G70" i="25"/>
  <c r="G72" i="25" s="1"/>
  <c r="C70" i="25"/>
  <c r="Y69" i="25"/>
  <c r="S69" i="25"/>
  <c r="AA69" i="25" s="1"/>
  <c r="N69" i="25"/>
  <c r="I69" i="25"/>
  <c r="P69" i="25" s="1"/>
  <c r="AA68" i="25"/>
  <c r="Y68" i="25"/>
  <c r="N68" i="25"/>
  <c r="I68" i="25"/>
  <c r="P68" i="25" s="1"/>
  <c r="Y67" i="25"/>
  <c r="S67" i="25"/>
  <c r="AA67" i="25" s="1"/>
  <c r="N67" i="25"/>
  <c r="I67" i="25"/>
  <c r="P67" i="25" s="1"/>
  <c r="Y66" i="25"/>
  <c r="S66" i="25"/>
  <c r="AA66" i="25" s="1"/>
  <c r="N66" i="25"/>
  <c r="I66" i="25"/>
  <c r="P66" i="25" s="1"/>
  <c r="Y65" i="25"/>
  <c r="S65" i="25"/>
  <c r="AA65" i="25" s="1"/>
  <c r="N65" i="25"/>
  <c r="I65" i="25"/>
  <c r="P65" i="25" s="1"/>
  <c r="Y64" i="25"/>
  <c r="S64" i="25"/>
  <c r="AA64" i="25" s="1"/>
  <c r="N64" i="25"/>
  <c r="I64" i="25"/>
  <c r="P64" i="25" s="1"/>
  <c r="Y63" i="25"/>
  <c r="S63" i="25"/>
  <c r="AA63" i="25" s="1"/>
  <c r="P63" i="25"/>
  <c r="N63" i="25"/>
  <c r="I63" i="25"/>
  <c r="Y62" i="25"/>
  <c r="S62" i="25"/>
  <c r="AA62" i="25" s="1"/>
  <c r="N62" i="25"/>
  <c r="AD62" i="25" s="1"/>
  <c r="I62" i="25"/>
  <c r="P62" i="25" s="1"/>
  <c r="AA61" i="25"/>
  <c r="Y61" i="25"/>
  <c r="S61" i="25"/>
  <c r="N61" i="25"/>
  <c r="AD61" i="25" s="1"/>
  <c r="I61" i="25"/>
  <c r="P61" i="25" s="1"/>
  <c r="AC61" i="25" s="1"/>
  <c r="Y60" i="25"/>
  <c r="S60" i="25"/>
  <c r="AA60" i="25" s="1"/>
  <c r="N60" i="25"/>
  <c r="I60" i="25"/>
  <c r="P60" i="25" s="1"/>
  <c r="Y59" i="25"/>
  <c r="S59" i="25"/>
  <c r="AA59" i="25" s="1"/>
  <c r="N59" i="25"/>
  <c r="AD59" i="25" s="1"/>
  <c r="I59" i="25"/>
  <c r="P59" i="25" s="1"/>
  <c r="Y58" i="25"/>
  <c r="S58" i="25"/>
  <c r="AA58" i="25" s="1"/>
  <c r="N58" i="25"/>
  <c r="I58" i="25"/>
  <c r="Y57" i="25"/>
  <c r="S57" i="25"/>
  <c r="AA57" i="25" s="1"/>
  <c r="N57" i="25"/>
  <c r="AD57" i="25" s="1"/>
  <c r="I57" i="25"/>
  <c r="P57" i="25" s="1"/>
  <c r="AA56" i="25"/>
  <c r="Y56" i="25"/>
  <c r="N56" i="25"/>
  <c r="AD56" i="25" s="1"/>
  <c r="I56" i="25"/>
  <c r="P56" i="25" s="1"/>
  <c r="W55" i="25"/>
  <c r="Y55" i="25" s="1"/>
  <c r="V55" i="25"/>
  <c r="AA55" i="25" s="1"/>
  <c r="N55" i="25"/>
  <c r="I55" i="25"/>
  <c r="P55" i="25" s="1"/>
  <c r="W54" i="25"/>
  <c r="W70" i="25" s="1"/>
  <c r="V54" i="25"/>
  <c r="V70" i="25" s="1"/>
  <c r="V72" i="25" s="1"/>
  <c r="N54" i="25"/>
  <c r="I54" i="25"/>
  <c r="P54" i="25" s="1"/>
  <c r="Z51" i="25"/>
  <c r="X51" i="25"/>
  <c r="X72" i="25" s="1"/>
  <c r="W51" i="25"/>
  <c r="V51" i="25"/>
  <c r="S51" i="25"/>
  <c r="P51" i="25"/>
  <c r="N51" i="25"/>
  <c r="I51" i="25"/>
  <c r="C51" i="25"/>
  <c r="AD49" i="25"/>
  <c r="AA49" i="25"/>
  <c r="AC49" i="25" s="1"/>
  <c r="Y49" i="25"/>
  <c r="AD48" i="25"/>
  <c r="AD51" i="25" s="1"/>
  <c r="AA48" i="25"/>
  <c r="AA51" i="25" s="1"/>
  <c r="Y48" i="25"/>
  <c r="Y51" i="25" s="1"/>
  <c r="P48" i="25"/>
  <c r="AC48" i="25" s="1"/>
  <c r="N48" i="25"/>
  <c r="I48" i="25"/>
  <c r="M37" i="25"/>
  <c r="AB35" i="25"/>
  <c r="AB37" i="25" s="1"/>
  <c r="X35" i="25"/>
  <c r="M35" i="25"/>
  <c r="Y34" i="25"/>
  <c r="S34" i="25"/>
  <c r="AA34" i="25" s="1"/>
  <c r="N34" i="25"/>
  <c r="AD34" i="25" s="1"/>
  <c r="I34" i="25"/>
  <c r="P34" i="25" s="1"/>
  <c r="AA33" i="25"/>
  <c r="Y33" i="25"/>
  <c r="N33" i="25"/>
  <c r="AD33" i="25" s="1"/>
  <c r="I33" i="25"/>
  <c r="P33" i="25" s="1"/>
  <c r="W32" i="25"/>
  <c r="Y32" i="25" s="1"/>
  <c r="V32" i="25"/>
  <c r="V103" i="25" s="1"/>
  <c r="S32" i="25"/>
  <c r="N32" i="25"/>
  <c r="I32" i="25"/>
  <c r="P32" i="25" s="1"/>
  <c r="W31" i="25"/>
  <c r="Y31" i="25" s="1"/>
  <c r="V31" i="25"/>
  <c r="V102" i="25" s="1"/>
  <c r="S31" i="25"/>
  <c r="L31" i="25"/>
  <c r="N31" i="25" s="1"/>
  <c r="K31" i="25"/>
  <c r="K102" i="25" s="1"/>
  <c r="I31" i="25"/>
  <c r="W30" i="25"/>
  <c r="Y30" i="25" s="1"/>
  <c r="S30" i="25"/>
  <c r="AA30" i="25" s="1"/>
  <c r="L30" i="25"/>
  <c r="N30" i="25" s="1"/>
  <c r="K30" i="25"/>
  <c r="K101" i="25" s="1"/>
  <c r="I30" i="25"/>
  <c r="W29" i="25"/>
  <c r="Y29" i="25" s="1"/>
  <c r="V29" i="25"/>
  <c r="V100" i="25" s="1"/>
  <c r="S29" i="25"/>
  <c r="L29" i="25"/>
  <c r="N29" i="25" s="1"/>
  <c r="K29" i="25"/>
  <c r="K100" i="25" s="1"/>
  <c r="I29" i="25"/>
  <c r="P29" i="25" s="1"/>
  <c r="W28" i="25"/>
  <c r="W99" i="25" s="1"/>
  <c r="Y99" i="25" s="1"/>
  <c r="V28" i="25"/>
  <c r="V99" i="25" s="1"/>
  <c r="S28" i="25"/>
  <c r="N28" i="25"/>
  <c r="I28" i="25"/>
  <c r="P28" i="25" s="1"/>
  <c r="W27" i="25"/>
  <c r="Y27" i="25" s="1"/>
  <c r="V27" i="25"/>
  <c r="V98" i="25" s="1"/>
  <c r="S27" i="25"/>
  <c r="L27" i="25"/>
  <c r="N27" i="25" s="1"/>
  <c r="K27" i="25"/>
  <c r="K35" i="25" s="1"/>
  <c r="K37" i="25" s="1"/>
  <c r="I27" i="25"/>
  <c r="Y26" i="25"/>
  <c r="AD26" i="25" s="1"/>
  <c r="S26" i="25"/>
  <c r="AA26" i="25" s="1"/>
  <c r="N26" i="25"/>
  <c r="I26" i="25"/>
  <c r="P26" i="25" s="1"/>
  <c r="W25" i="25"/>
  <c r="Y25" i="25" s="1"/>
  <c r="V25" i="25"/>
  <c r="V96" i="25" s="1"/>
  <c r="S25" i="25"/>
  <c r="N25" i="25"/>
  <c r="I25" i="25"/>
  <c r="P25" i="25" s="1"/>
  <c r="W24" i="25"/>
  <c r="Y24" i="25" s="1"/>
  <c r="V24" i="25"/>
  <c r="V95" i="25" s="1"/>
  <c r="S24" i="25"/>
  <c r="N24" i="25"/>
  <c r="I24" i="25"/>
  <c r="P24" i="25" s="1"/>
  <c r="W23" i="25"/>
  <c r="Y23" i="25" s="1"/>
  <c r="V23" i="25"/>
  <c r="V94" i="25" s="1"/>
  <c r="S23" i="25"/>
  <c r="N23" i="25"/>
  <c r="K23" i="25"/>
  <c r="I23" i="25"/>
  <c r="W22" i="25"/>
  <c r="Y22" i="25" s="1"/>
  <c r="V22" i="25"/>
  <c r="V93" i="25" s="1"/>
  <c r="S22" i="25"/>
  <c r="L22" i="25"/>
  <c r="K22" i="25"/>
  <c r="K93" i="25" s="1"/>
  <c r="I22" i="25"/>
  <c r="P22" i="25" s="1"/>
  <c r="AA21" i="25"/>
  <c r="Y21" i="25"/>
  <c r="N21" i="25"/>
  <c r="AD21" i="25" s="1"/>
  <c r="I21" i="25"/>
  <c r="P21" i="25" s="1"/>
  <c r="AC21" i="25" s="1"/>
  <c r="W20" i="25"/>
  <c r="Y20" i="25" s="1"/>
  <c r="AD20" i="25" s="1"/>
  <c r="V20" i="25"/>
  <c r="AA20" i="25" s="1"/>
  <c r="N20" i="25"/>
  <c r="I20" i="25"/>
  <c r="P20" i="25" s="1"/>
  <c r="Y19" i="25"/>
  <c r="W19" i="25"/>
  <c r="V19" i="25"/>
  <c r="N19" i="25"/>
  <c r="H35" i="25"/>
  <c r="H37" i="25" s="1"/>
  <c r="I19" i="25"/>
  <c r="P19" i="25" s="1"/>
  <c r="C35" i="25"/>
  <c r="AA16" i="25"/>
  <c r="Z16" i="25"/>
  <c r="X16" i="25"/>
  <c r="X37" i="25" s="1"/>
  <c r="W16" i="25"/>
  <c r="V16" i="25"/>
  <c r="S16" i="25"/>
  <c r="N16" i="25"/>
  <c r="I16" i="25"/>
  <c r="P16" i="25" s="1"/>
  <c r="C16" i="25"/>
  <c r="AD14" i="25"/>
  <c r="AC14" i="25"/>
  <c r="AA14" i="25"/>
  <c r="Y14" i="25"/>
  <c r="AA13" i="25"/>
  <c r="Y13" i="25"/>
  <c r="Y16" i="25" s="1"/>
  <c r="N13" i="25"/>
  <c r="AD13" i="25" s="1"/>
  <c r="AD16" i="25" s="1"/>
  <c r="I13" i="25"/>
  <c r="P13" i="25" s="1"/>
  <c r="AC13" i="25" s="1"/>
  <c r="AC16" i="25" s="1"/>
  <c r="AD19" i="25" l="1"/>
  <c r="W37" i="25"/>
  <c r="V35" i="25"/>
  <c r="V37" i="25" s="1"/>
  <c r="AA27" i="25"/>
  <c r="AA54" i="25"/>
  <c r="AA70" i="25" s="1"/>
  <c r="AA72" i="25" s="1"/>
  <c r="W35" i="25"/>
  <c r="L35" i="25"/>
  <c r="AA24" i="25"/>
  <c r="AC24" i="25" s="1"/>
  <c r="AA28" i="25"/>
  <c r="AD30" i="25"/>
  <c r="AA22" i="25"/>
  <c r="AA25" i="25"/>
  <c r="AC25" i="25" s="1"/>
  <c r="P27" i="25"/>
  <c r="AC27" i="25" s="1"/>
  <c r="Y28" i="25"/>
  <c r="AD28" i="25" s="1"/>
  <c r="AA29" i="25"/>
  <c r="AC29" i="25" s="1"/>
  <c r="P30" i="25"/>
  <c r="AC30" i="25" s="1"/>
  <c r="P31" i="25"/>
  <c r="AA32" i="25"/>
  <c r="L98" i="25"/>
  <c r="N98" i="25" s="1"/>
  <c r="L102" i="25"/>
  <c r="N102" i="25" s="1"/>
  <c r="S95" i="25"/>
  <c r="AA95" i="25" s="1"/>
  <c r="AC95" i="25" s="1"/>
  <c r="S99" i="25"/>
  <c r="AA99" i="25" s="1"/>
  <c r="S103" i="25"/>
  <c r="AA103" i="25" s="1"/>
  <c r="AC103" i="25" s="1"/>
  <c r="W90" i="25"/>
  <c r="W94" i="25"/>
  <c r="Y94" i="25" s="1"/>
  <c r="W98" i="25"/>
  <c r="Y98" i="25" s="1"/>
  <c r="W102" i="25"/>
  <c r="Y102" i="25" s="1"/>
  <c r="AA19" i="25"/>
  <c r="L93" i="25"/>
  <c r="N93" i="25" s="1"/>
  <c r="AD93" i="25" s="1"/>
  <c r="L101" i="25"/>
  <c r="N101" i="25" s="1"/>
  <c r="S96" i="25"/>
  <c r="AA96" i="25" s="1"/>
  <c r="AC96" i="25" s="1"/>
  <c r="S100" i="25"/>
  <c r="AA100" i="25" s="1"/>
  <c r="W93" i="25"/>
  <c r="Y93" i="25" s="1"/>
  <c r="W101" i="25"/>
  <c r="Y101" i="25" s="1"/>
  <c r="AC22" i="25"/>
  <c r="AA23" i="25"/>
  <c r="AD27" i="25"/>
  <c r="AD31" i="25"/>
  <c r="AC32" i="25"/>
  <c r="W72" i="25"/>
  <c r="AC55" i="25"/>
  <c r="AC65" i="25"/>
  <c r="L100" i="25"/>
  <c r="S93" i="25"/>
  <c r="AA93" i="25" s="1"/>
  <c r="S97" i="25"/>
  <c r="AA97" i="25" s="1"/>
  <c r="S101" i="25"/>
  <c r="AA101" i="25" s="1"/>
  <c r="S105" i="25"/>
  <c r="AA105" i="25" s="1"/>
  <c r="V91" i="25"/>
  <c r="AA91" i="25" s="1"/>
  <c r="W96" i="25"/>
  <c r="Y96" i="25" s="1"/>
  <c r="AD96" i="25" s="1"/>
  <c r="W100" i="25"/>
  <c r="AD29" i="25"/>
  <c r="AA31" i="25"/>
  <c r="AD55" i="25"/>
  <c r="AC63" i="25"/>
  <c r="P93" i="25"/>
  <c r="P98" i="25"/>
  <c r="P100" i="25"/>
  <c r="AC100" i="25" s="1"/>
  <c r="P102" i="25"/>
  <c r="K98" i="25"/>
  <c r="N100" i="25"/>
  <c r="S94" i="25"/>
  <c r="AA94" i="25" s="1"/>
  <c r="AC94" i="25" s="1"/>
  <c r="S98" i="25"/>
  <c r="AA98" i="25" s="1"/>
  <c r="S102" i="25"/>
  <c r="AA102" i="25" s="1"/>
  <c r="AC102" i="25" s="1"/>
  <c r="V90" i="25"/>
  <c r="V106" i="25" s="1"/>
  <c r="V108" i="25" s="1"/>
  <c r="W91" i="25"/>
  <c r="Y91" i="25" s="1"/>
  <c r="AD91" i="25" s="1"/>
  <c r="W95" i="25"/>
  <c r="Y95" i="25" s="1"/>
  <c r="Y100" i="25"/>
  <c r="AD100" i="25" s="1"/>
  <c r="W103" i="25"/>
  <c r="Y103" i="25" s="1"/>
  <c r="AD99" i="25"/>
  <c r="AD95" i="25"/>
  <c r="AC91" i="25"/>
  <c r="AD101" i="25"/>
  <c r="AD92" i="25"/>
  <c r="AD103" i="25"/>
  <c r="X108" i="25"/>
  <c r="AC99" i="25"/>
  <c r="P101" i="25"/>
  <c r="AC101" i="25" s="1"/>
  <c r="P97" i="25"/>
  <c r="P105" i="25"/>
  <c r="AC105" i="25" s="1"/>
  <c r="P90" i="25"/>
  <c r="AD104" i="25"/>
  <c r="I94" i="25"/>
  <c r="P94" i="25" s="1"/>
  <c r="K106" i="25"/>
  <c r="K108" i="25" s="1"/>
  <c r="AC98" i="25"/>
  <c r="C108" i="25"/>
  <c r="AD64" i="25"/>
  <c r="AC66" i="25"/>
  <c r="AC69" i="25"/>
  <c r="AD63" i="25"/>
  <c r="AC56" i="25"/>
  <c r="AC57" i="25"/>
  <c r="AC60" i="25"/>
  <c r="AD66" i="25"/>
  <c r="AD69" i="25"/>
  <c r="AC68" i="25"/>
  <c r="AD68" i="25"/>
  <c r="C72" i="25"/>
  <c r="K70" i="25"/>
  <c r="K72" i="25" s="1"/>
  <c r="P58" i="25"/>
  <c r="AC58" i="25" s="1"/>
  <c r="AD94" i="25"/>
  <c r="AC93" i="25"/>
  <c r="I106" i="25"/>
  <c r="I108" i="25" s="1"/>
  <c r="AD58" i="25"/>
  <c r="AD60" i="25"/>
  <c r="AC64" i="25"/>
  <c r="AD65" i="25"/>
  <c r="AC67" i="25"/>
  <c r="AD54" i="25"/>
  <c r="AC51" i="25"/>
  <c r="AC59" i="25"/>
  <c r="AC62" i="25"/>
  <c r="AD67" i="25"/>
  <c r="L70" i="25"/>
  <c r="S70" i="25"/>
  <c r="S72" i="25" s="1"/>
  <c r="Y54" i="25"/>
  <c r="Y70" i="25" s="1"/>
  <c r="Y72" i="25" s="1"/>
  <c r="I70" i="25"/>
  <c r="I72" i="25" s="1"/>
  <c r="C37" i="25"/>
  <c r="P23" i="25"/>
  <c r="AC23" i="25" s="1"/>
  <c r="AD25" i="25"/>
  <c r="AC26" i="25"/>
  <c r="AC28" i="25"/>
  <c r="AD32" i="25"/>
  <c r="AC33" i="25"/>
  <c r="L37" i="25"/>
  <c r="N35" i="25"/>
  <c r="N37" i="25" s="1"/>
  <c r="AC20" i="25"/>
  <c r="AD23" i="25"/>
  <c r="AD24" i="25"/>
  <c r="Y35" i="25"/>
  <c r="Y37" i="25" s="1"/>
  <c r="AC34" i="25"/>
  <c r="N22" i="25"/>
  <c r="AD22" i="25" s="1"/>
  <c r="AD35" i="25" s="1"/>
  <c r="AD37" i="25" s="1"/>
  <c r="G35" i="25"/>
  <c r="S35" i="25"/>
  <c r="S37" i="25" s="1"/>
  <c r="AA35" i="25" l="1"/>
  <c r="AA37" i="25" s="1"/>
  <c r="AD102" i="25"/>
  <c r="AC54" i="25"/>
  <c r="L106" i="25"/>
  <c r="L108" i="25" s="1"/>
  <c r="AD98" i="25"/>
  <c r="S106" i="25"/>
  <c r="S108" i="25" s="1"/>
  <c r="P35" i="25"/>
  <c r="P37" i="25" s="1"/>
  <c r="AA90" i="25"/>
  <c r="AA106" i="25" s="1"/>
  <c r="AA108" i="25" s="1"/>
  <c r="AC19" i="25"/>
  <c r="Y90" i="25"/>
  <c r="W106" i="25"/>
  <c r="W108" i="25" s="1"/>
  <c r="AC97" i="25"/>
  <c r="AC31" i="25"/>
  <c r="P106" i="25"/>
  <c r="P108" i="25" s="1"/>
  <c r="AD70" i="25"/>
  <c r="AD72" i="25" s="1"/>
  <c r="AC70" i="25"/>
  <c r="AC72" i="25" s="1"/>
  <c r="P70" i="25"/>
  <c r="P72" i="25" s="1"/>
  <c r="L72" i="25"/>
  <c r="N70" i="25"/>
  <c r="N72" i="25" s="1"/>
  <c r="G37" i="25"/>
  <c r="I35" i="25"/>
  <c r="I37" i="25" s="1"/>
  <c r="N106" i="25" l="1"/>
  <c r="N108" i="25" s="1"/>
  <c r="AC35" i="25"/>
  <c r="AC37" i="25" s="1"/>
  <c r="AC90" i="25"/>
  <c r="AC106" i="25" s="1"/>
  <c r="AC108" i="25" s="1"/>
  <c r="AD90" i="25"/>
  <c r="AD106" i="25" s="1"/>
  <c r="AD108" i="25" s="1"/>
  <c r="Y106" i="25"/>
  <c r="Y108" i="25" s="1"/>
  <c r="W74" i="1"/>
  <c r="C82" i="1" l="1"/>
  <c r="S30" i="24" s="1"/>
  <c r="W32" i="24"/>
  <c r="M16" i="24"/>
  <c r="L16" i="24"/>
  <c r="W31" i="24"/>
  <c r="L39" i="24"/>
  <c r="S31" i="24" s="1"/>
  <c r="C11" i="18"/>
  <c r="C10" i="18"/>
  <c r="Q61" i="24"/>
  <c r="R61" i="24" s="1"/>
  <c r="Q59" i="24"/>
  <c r="Q57" i="24"/>
  <c r="Q55" i="24"/>
  <c r="C12" i="18"/>
  <c r="C13" i="18"/>
  <c r="C14" i="18"/>
  <c r="T30" i="24" l="1"/>
  <c r="U30" i="24" s="1"/>
  <c r="R57" i="24"/>
  <c r="R55" i="24"/>
  <c r="W28" i="24" s="1"/>
  <c r="R59" i="24"/>
  <c r="T11" i="24"/>
  <c r="S11" i="24"/>
  <c r="R17" i="24" s="1"/>
  <c r="W18" i="24"/>
  <c r="Z18" i="24" s="1"/>
  <c r="T10" i="24"/>
  <c r="Q18" i="24"/>
  <c r="T18" i="24" s="1"/>
  <c r="M19" i="24"/>
  <c r="L19" i="24"/>
  <c r="K18" i="24"/>
  <c r="N18" i="24" s="1"/>
  <c r="K17" i="24"/>
  <c r="N17" i="24" s="1"/>
  <c r="K16" i="24"/>
  <c r="S10" i="24"/>
  <c r="L9" i="24"/>
  <c r="M9" i="24"/>
  <c r="K6" i="24"/>
  <c r="N6" i="24" s="1"/>
  <c r="K7" i="24"/>
  <c r="N7" i="24" s="1"/>
  <c r="K8" i="24"/>
  <c r="N8" i="24" s="1"/>
  <c r="V30" i="24" l="1"/>
  <c r="V33" i="24" s="1"/>
  <c r="C73" i="6" s="1"/>
  <c r="U33" i="24"/>
  <c r="C66" i="6" s="1"/>
  <c r="S17" i="24"/>
  <c r="Q17" i="24" s="1"/>
  <c r="T17" i="24" s="1"/>
  <c r="M39" i="24"/>
  <c r="S16" i="24"/>
  <c r="T55" i="24"/>
  <c r="N16" i="24"/>
  <c r="N14" i="24"/>
  <c r="K9" i="24"/>
  <c r="N9" i="24" s="1"/>
  <c r="N26" i="24" s="1"/>
  <c r="X17" i="24"/>
  <c r="Y17" i="24" s="1"/>
  <c r="Z17" i="24" s="1"/>
  <c r="R16" i="24"/>
  <c r="K19" i="24"/>
  <c r="N19" i="24" s="1"/>
  <c r="O26" i="24" l="1"/>
  <c r="N36" i="24"/>
  <c r="O36" i="24" s="1"/>
  <c r="G80" i="1" s="1"/>
  <c r="N37" i="24"/>
  <c r="O37" i="24" s="1"/>
  <c r="G81" i="1" s="1"/>
  <c r="S19" i="24"/>
  <c r="C80" i="1"/>
  <c r="N31" i="24"/>
  <c r="G72" i="1"/>
  <c r="C72" i="1"/>
  <c r="N28" i="24"/>
  <c r="N34" i="24"/>
  <c r="R19" i="24"/>
  <c r="Q16" i="24"/>
  <c r="N32" i="24"/>
  <c r="N38" i="24"/>
  <c r="N33" i="24"/>
  <c r="N35" i="24"/>
  <c r="N30" i="24"/>
  <c r="N29" i="24"/>
  <c r="G23" i="9"/>
  <c r="G22" i="9"/>
  <c r="G21" i="9"/>
  <c r="G20" i="9"/>
  <c r="G19" i="9"/>
  <c r="G18" i="9"/>
  <c r="G17" i="9"/>
  <c r="G16" i="9"/>
  <c r="G15" i="9"/>
  <c r="G14" i="9"/>
  <c r="G13" i="9"/>
  <c r="G12" i="9"/>
  <c r="G11" i="9"/>
  <c r="G10" i="9"/>
  <c r="G8" i="9"/>
  <c r="G9" i="9"/>
  <c r="C81" i="1" l="1"/>
  <c r="O35" i="24"/>
  <c r="G79" i="1" s="1"/>
  <c r="C79" i="1"/>
  <c r="O30" i="24"/>
  <c r="G73" i="1" s="1"/>
  <c r="C73" i="1"/>
  <c r="O32" i="24"/>
  <c r="G76" i="1" s="1"/>
  <c r="C76" i="1"/>
  <c r="O28" i="24"/>
  <c r="C70" i="1"/>
  <c r="N39" i="24"/>
  <c r="O33" i="24"/>
  <c r="G77" i="1" s="1"/>
  <c r="C77" i="1"/>
  <c r="O29" i="24"/>
  <c r="G71" i="1" s="1"/>
  <c r="C71" i="1"/>
  <c r="O38" i="24"/>
  <c r="G83" i="1" s="1"/>
  <c r="C83" i="1"/>
  <c r="O34" i="24"/>
  <c r="G78" i="1" s="1"/>
  <c r="C78" i="1"/>
  <c r="O31" i="24"/>
  <c r="G75" i="1" s="1"/>
  <c r="C75" i="1"/>
  <c r="T16" i="24"/>
  <c r="Q19" i="24"/>
  <c r="T19" i="24" s="1"/>
  <c r="Q24" i="10"/>
  <c r="O52" i="22"/>
  <c r="G70" i="1" l="1"/>
  <c r="O39" i="24"/>
  <c r="X19" i="24"/>
  <c r="C84" i="1" s="1"/>
  <c r="W19" i="24"/>
  <c r="T32" i="24" s="1"/>
  <c r="B52" i="22"/>
  <c r="Z16" i="24" l="1"/>
  <c r="Y19" i="24"/>
  <c r="G84" i="1" s="1"/>
  <c r="B64" i="22"/>
  <c r="Z19" i="24" l="1"/>
  <c r="J14" i="22" l="1"/>
  <c r="J15" i="22"/>
  <c r="J16" i="22"/>
  <c r="J17" i="22"/>
  <c r="J18" i="22"/>
  <c r="J19" i="22"/>
  <c r="J12" i="22"/>
  <c r="J10" i="22"/>
  <c r="O10" i="22" l="1"/>
  <c r="O11" i="22"/>
  <c r="O12" i="22"/>
  <c r="O14" i="22"/>
  <c r="O15" i="22"/>
  <c r="O16" i="22"/>
  <c r="O17" i="22"/>
  <c r="O18" i="22"/>
  <c r="O19" i="22"/>
  <c r="J13" i="22"/>
  <c r="O13" i="22" s="1"/>
  <c r="J20" i="22"/>
  <c r="J21" i="22"/>
  <c r="T21" i="22" s="1"/>
  <c r="J22" i="22"/>
  <c r="T22" i="22" s="1"/>
  <c r="J8" i="22"/>
  <c r="J9" i="22"/>
  <c r="J7" i="22"/>
  <c r="O7" i="22" s="1"/>
  <c r="F22" i="22"/>
  <c r="F21" i="22"/>
  <c r="F20" i="22"/>
  <c r="F19" i="22"/>
  <c r="F18" i="22"/>
  <c r="F17" i="22"/>
  <c r="F16" i="22"/>
  <c r="F15" i="22"/>
  <c r="F14" i="22"/>
  <c r="F13" i="22"/>
  <c r="F12" i="22"/>
  <c r="F11" i="22"/>
  <c r="F10" i="22"/>
  <c r="F9" i="22"/>
  <c r="F8" i="22"/>
  <c r="F7" i="22"/>
  <c r="E22" i="22"/>
  <c r="E21" i="22"/>
  <c r="E20" i="22"/>
  <c r="T20" i="22" s="1"/>
  <c r="E19" i="22"/>
  <c r="E18" i="22"/>
  <c r="E17" i="22"/>
  <c r="E16" i="22"/>
  <c r="T16" i="22" s="1"/>
  <c r="E15" i="22"/>
  <c r="E14" i="22"/>
  <c r="E13" i="22"/>
  <c r="E12" i="22"/>
  <c r="T12" i="22" s="1"/>
  <c r="E11" i="22"/>
  <c r="E10" i="22"/>
  <c r="E9" i="22"/>
  <c r="E8" i="22"/>
  <c r="E7" i="22"/>
  <c r="E23" i="22" s="1"/>
  <c r="T19" i="22"/>
  <c r="T18" i="22"/>
  <c r="T17" i="22"/>
  <c r="T15" i="22"/>
  <c r="T14" i="22"/>
  <c r="T13" i="22"/>
  <c r="T11" i="22"/>
  <c r="T8" i="22" l="1"/>
  <c r="O9" i="22"/>
  <c r="T9" i="22"/>
  <c r="J23" i="22"/>
  <c r="O23" i="22" s="1"/>
  <c r="O21" i="22"/>
  <c r="O20" i="22"/>
  <c r="O8" i="22"/>
  <c r="O22" i="22"/>
  <c r="T10" i="22"/>
  <c r="T7" i="22"/>
  <c r="T23" i="22" l="1"/>
  <c r="D22" i="22"/>
  <c r="C22" i="22"/>
  <c r="B22" i="22"/>
  <c r="D21" i="22"/>
  <c r="C21" i="22"/>
  <c r="B21" i="22"/>
  <c r="D20" i="22"/>
  <c r="N20" i="22" s="1"/>
  <c r="C20" i="22"/>
  <c r="B20" i="22"/>
  <c r="D19" i="22"/>
  <c r="C19" i="22"/>
  <c r="B19" i="22"/>
  <c r="D18" i="22"/>
  <c r="C18" i="22"/>
  <c r="B18" i="22"/>
  <c r="D17" i="22"/>
  <c r="C17" i="22"/>
  <c r="B17" i="22"/>
  <c r="D16" i="22"/>
  <c r="N16" i="22" s="1"/>
  <c r="C16" i="22"/>
  <c r="B16" i="22"/>
  <c r="D15" i="22"/>
  <c r="C15" i="22"/>
  <c r="B15" i="22"/>
  <c r="D14" i="22"/>
  <c r="C14" i="22"/>
  <c r="B14" i="22"/>
  <c r="D13" i="22"/>
  <c r="C13" i="22"/>
  <c r="B13" i="22"/>
  <c r="D12" i="22"/>
  <c r="N12" i="22" s="1"/>
  <c r="C12" i="22"/>
  <c r="B12" i="22"/>
  <c r="D11" i="22"/>
  <c r="S11" i="22" s="1"/>
  <c r="C11" i="22"/>
  <c r="B11" i="22"/>
  <c r="D10" i="22"/>
  <c r="C10" i="22"/>
  <c r="B10" i="22"/>
  <c r="D9" i="22"/>
  <c r="C9" i="22"/>
  <c r="B9" i="22"/>
  <c r="D8" i="22"/>
  <c r="N8" i="22" s="1"/>
  <c r="C8" i="22"/>
  <c r="B8" i="22"/>
  <c r="D7" i="22"/>
  <c r="C7" i="22"/>
  <c r="B7" i="22"/>
  <c r="N9" i="22"/>
  <c r="N10" i="22"/>
  <c r="N11" i="22"/>
  <c r="N13" i="22"/>
  <c r="N14" i="22"/>
  <c r="N15" i="22"/>
  <c r="N17" i="22"/>
  <c r="N18" i="22"/>
  <c r="N19" i="22"/>
  <c r="N21" i="22"/>
  <c r="N22" i="22"/>
  <c r="N7" i="22"/>
  <c r="I23" i="22"/>
  <c r="S22" i="22"/>
  <c r="S21" i="22"/>
  <c r="S19" i="22"/>
  <c r="S18" i="22"/>
  <c r="S17" i="22"/>
  <c r="S15" i="22"/>
  <c r="S14" i="22"/>
  <c r="S13" i="22"/>
  <c r="S10" i="22"/>
  <c r="S9" i="22"/>
  <c r="S7" i="22"/>
  <c r="N23" i="22" l="1"/>
  <c r="S8" i="22"/>
  <c r="S12" i="22"/>
  <c r="S16" i="22"/>
  <c r="S20" i="22"/>
  <c r="D23" i="22"/>
  <c r="S23" i="22" s="1"/>
  <c r="F23" i="22" l="1"/>
  <c r="AC11" i="10" l="1"/>
  <c r="AB11" i="10"/>
  <c r="AA11" i="10"/>
  <c r="Z11" i="10"/>
  <c r="Y11" i="10"/>
  <c r="X11" i="10"/>
  <c r="X8" i="10"/>
  <c r="Y8" i="10"/>
  <c r="Z8" i="10"/>
  <c r="AA8" i="10"/>
  <c r="AB8" i="10"/>
  <c r="AC8" i="10"/>
  <c r="X9" i="10"/>
  <c r="Y9" i="10"/>
  <c r="Z9" i="10"/>
  <c r="AA9" i="10"/>
  <c r="AB9" i="10"/>
  <c r="AC9" i="10"/>
  <c r="X10" i="10"/>
  <c r="Y10" i="10"/>
  <c r="Z10" i="10"/>
  <c r="AA10" i="10"/>
  <c r="AB10" i="10"/>
  <c r="AC10" i="10"/>
  <c r="X12" i="10"/>
  <c r="Y12" i="10"/>
  <c r="Z12" i="10"/>
  <c r="AA12" i="10"/>
  <c r="AB12" i="10"/>
  <c r="AC12" i="10"/>
  <c r="X13" i="10"/>
  <c r="Y13" i="10"/>
  <c r="Z13" i="10"/>
  <c r="AA13" i="10"/>
  <c r="AB13" i="10"/>
  <c r="AC13" i="10"/>
  <c r="Y14" i="10"/>
  <c r="Z14" i="10"/>
  <c r="AA14" i="10"/>
  <c r="AB14" i="10"/>
  <c r="AC14" i="10"/>
  <c r="X15" i="10"/>
  <c r="Y15" i="10"/>
  <c r="Z15" i="10"/>
  <c r="AA15" i="10"/>
  <c r="AB15" i="10"/>
  <c r="AC15" i="10"/>
  <c r="X16" i="10"/>
  <c r="Y16" i="10"/>
  <c r="Z16" i="10"/>
  <c r="AA16" i="10"/>
  <c r="AB16" i="10"/>
  <c r="AC16" i="10"/>
  <c r="X17" i="10"/>
  <c r="Y17" i="10"/>
  <c r="Z17" i="10"/>
  <c r="AA17" i="10"/>
  <c r="AB17" i="10"/>
  <c r="AC17" i="10"/>
  <c r="X18" i="10"/>
  <c r="Y18" i="10"/>
  <c r="Z18" i="10"/>
  <c r="AA18" i="10"/>
  <c r="AB18" i="10"/>
  <c r="AC18" i="10"/>
  <c r="X19" i="10"/>
  <c r="Y19" i="10"/>
  <c r="Z19" i="10"/>
  <c r="AA19" i="10"/>
  <c r="AB19" i="10"/>
  <c r="AC19" i="10"/>
  <c r="X20" i="10"/>
  <c r="Y20" i="10"/>
  <c r="Z20" i="10"/>
  <c r="AA20" i="10"/>
  <c r="AB20" i="10"/>
  <c r="AC20" i="10"/>
  <c r="X21" i="10"/>
  <c r="Y21" i="10"/>
  <c r="Z21" i="10"/>
  <c r="AA21" i="10"/>
  <c r="AB21" i="10"/>
  <c r="AC21" i="10"/>
  <c r="X22" i="10"/>
  <c r="Y22" i="10"/>
  <c r="Z22" i="10"/>
  <c r="AA22" i="10"/>
  <c r="AB22" i="10"/>
  <c r="AC22" i="10"/>
  <c r="Y7" i="10"/>
  <c r="AA7" i="10"/>
  <c r="AB7" i="10"/>
  <c r="AC7" i="10"/>
  <c r="O29" i="22"/>
  <c r="O30" i="22"/>
  <c r="O31" i="22"/>
  <c r="O32" i="22"/>
  <c r="O33" i="22"/>
  <c r="O34" i="22"/>
  <c r="O35" i="22"/>
  <c r="O36" i="22"/>
  <c r="O37" i="22"/>
  <c r="O38" i="22"/>
  <c r="O39" i="22"/>
  <c r="O40" i="22"/>
  <c r="O41" i="22"/>
  <c r="O42" i="22"/>
  <c r="O43" i="22"/>
  <c r="O28" i="22"/>
  <c r="D44" i="22"/>
  <c r="E44" i="22"/>
  <c r="F44" i="22"/>
  <c r="G44" i="22"/>
  <c r="H44" i="22"/>
  <c r="I44" i="22"/>
  <c r="J44" i="22"/>
  <c r="K44" i="22"/>
  <c r="L44" i="22"/>
  <c r="M44" i="22"/>
  <c r="N44" i="22"/>
  <c r="C44" i="22"/>
  <c r="C23" i="22"/>
  <c r="B23" i="22"/>
  <c r="G8" i="22"/>
  <c r="H8" i="22"/>
  <c r="G9" i="22"/>
  <c r="H9" i="22"/>
  <c r="G10" i="22"/>
  <c r="H10" i="22"/>
  <c r="G11" i="22"/>
  <c r="H11" i="22"/>
  <c r="G12" i="22"/>
  <c r="H12" i="22"/>
  <c r="G13" i="22"/>
  <c r="H13" i="22"/>
  <c r="G14" i="22"/>
  <c r="H14" i="22"/>
  <c r="G15" i="22"/>
  <c r="H15" i="22"/>
  <c r="G16" i="22"/>
  <c r="H16" i="22"/>
  <c r="G17" i="22"/>
  <c r="H17" i="22"/>
  <c r="G18" i="22"/>
  <c r="H18" i="22"/>
  <c r="G19" i="22"/>
  <c r="H19" i="22"/>
  <c r="G20" i="22"/>
  <c r="H20" i="22"/>
  <c r="G21" i="22"/>
  <c r="H21" i="22"/>
  <c r="G22" i="22"/>
  <c r="H22" i="22"/>
  <c r="H7" i="22"/>
  <c r="G7" i="22"/>
  <c r="K21" i="22" l="1"/>
  <c r="P21" i="22" s="1"/>
  <c r="K19" i="22"/>
  <c r="P19" i="22" s="1"/>
  <c r="K17" i="22"/>
  <c r="P17" i="22" s="1"/>
  <c r="K15" i="22"/>
  <c r="P15" i="22" s="1"/>
  <c r="K13" i="22"/>
  <c r="P13" i="22" s="1"/>
  <c r="K11" i="22"/>
  <c r="K9" i="22"/>
  <c r="P9" i="22" s="1"/>
  <c r="AD12" i="10"/>
  <c r="AD16" i="10"/>
  <c r="AD15" i="10"/>
  <c r="AD20" i="10"/>
  <c r="AD18" i="10"/>
  <c r="AD11" i="10"/>
  <c r="K22" i="22"/>
  <c r="P22" i="22" s="1"/>
  <c r="K18" i="22"/>
  <c r="P18" i="22" s="1"/>
  <c r="K16" i="22"/>
  <c r="P16" i="22" s="1"/>
  <c r="K14" i="22"/>
  <c r="P14" i="22" s="1"/>
  <c r="K12" i="22"/>
  <c r="P12" i="22" s="1"/>
  <c r="K10" i="22"/>
  <c r="P10" i="22" s="1"/>
  <c r="K8" i="22"/>
  <c r="P8" i="22" s="1"/>
  <c r="K20" i="22"/>
  <c r="P20" i="22" s="1"/>
  <c r="K7" i="22"/>
  <c r="P7" i="22" s="1"/>
  <c r="P11" i="22"/>
  <c r="Q22" i="22"/>
  <c r="L22" i="22"/>
  <c r="L20" i="22"/>
  <c r="Q20" i="22"/>
  <c r="Q18" i="22"/>
  <c r="L18" i="22"/>
  <c r="L16" i="22"/>
  <c r="Q16" i="22"/>
  <c r="Q14" i="22"/>
  <c r="L14" i="22"/>
  <c r="L12" i="22"/>
  <c r="Q12" i="22"/>
  <c r="Q10" i="22"/>
  <c r="L10" i="22"/>
  <c r="Q8" i="22"/>
  <c r="L8" i="22"/>
  <c r="Q7" i="22"/>
  <c r="L7" i="22"/>
  <c r="M21" i="22"/>
  <c r="R21" i="22"/>
  <c r="M19" i="22"/>
  <c r="R19" i="22"/>
  <c r="R17" i="22"/>
  <c r="M17" i="22"/>
  <c r="M15" i="22"/>
  <c r="R15" i="22"/>
  <c r="R13" i="22"/>
  <c r="M13" i="22"/>
  <c r="R11" i="22"/>
  <c r="M11" i="22"/>
  <c r="M9" i="22"/>
  <c r="R9" i="22"/>
  <c r="M7" i="22"/>
  <c r="R7" i="22"/>
  <c r="Q21" i="22"/>
  <c r="L21" i="22"/>
  <c r="U19" i="22"/>
  <c r="L19" i="22"/>
  <c r="Q19" i="22"/>
  <c r="O58" i="22"/>
  <c r="Q17" i="22"/>
  <c r="L17" i="22"/>
  <c r="O56" i="22"/>
  <c r="L15" i="22"/>
  <c r="Q15" i="22"/>
  <c r="L13" i="22"/>
  <c r="Q13" i="22"/>
  <c r="L11" i="22"/>
  <c r="U11" i="22"/>
  <c r="Q11" i="22"/>
  <c r="O50" i="22"/>
  <c r="L9" i="22"/>
  <c r="Q9" i="22"/>
  <c r="R22" i="22"/>
  <c r="M22" i="22"/>
  <c r="M20" i="22"/>
  <c r="R20" i="22"/>
  <c r="M18" i="22"/>
  <c r="R18" i="22"/>
  <c r="M16" i="22"/>
  <c r="R16" i="22"/>
  <c r="M14" i="22"/>
  <c r="R14" i="22"/>
  <c r="M12" i="22"/>
  <c r="R12" i="22"/>
  <c r="R10" i="22"/>
  <c r="M10" i="22"/>
  <c r="M8" i="22"/>
  <c r="R8" i="22"/>
  <c r="O44" i="22"/>
  <c r="I64" i="22"/>
  <c r="K64" i="22"/>
  <c r="E64" i="22"/>
  <c r="E66" i="22" s="1"/>
  <c r="F64" i="22"/>
  <c r="F66" i="22" s="1"/>
  <c r="J64" i="22"/>
  <c r="G64" i="22"/>
  <c r="G66" i="22" s="1"/>
  <c r="X7" i="10"/>
  <c r="N64" i="22"/>
  <c r="AD10" i="10"/>
  <c r="L64" i="22"/>
  <c r="Z7" i="10"/>
  <c r="AD19" i="10"/>
  <c r="AD8" i="10"/>
  <c r="AD22" i="10"/>
  <c r="AD9" i="10"/>
  <c r="AD13" i="10"/>
  <c r="AD17" i="10"/>
  <c r="AD21" i="10"/>
  <c r="M64" i="22"/>
  <c r="H64" i="22"/>
  <c r="H66" i="22" s="1"/>
  <c r="H23" i="22"/>
  <c r="R23" i="22" s="1"/>
  <c r="O54" i="22"/>
  <c r="G23" i="22"/>
  <c r="Q23" i="22" s="1"/>
  <c r="U13" i="22" l="1"/>
  <c r="U9" i="22"/>
  <c r="U17" i="22"/>
  <c r="U16" i="22"/>
  <c r="U22" i="22"/>
  <c r="U21" i="22"/>
  <c r="U15" i="22"/>
  <c r="AD7" i="10"/>
  <c r="K23" i="22"/>
  <c r="P23" i="22" s="1"/>
  <c r="U12" i="22"/>
  <c r="U10" i="22"/>
  <c r="U18" i="22"/>
  <c r="U14" i="22"/>
  <c r="O62" i="22"/>
  <c r="U8" i="22"/>
  <c r="U20" i="22"/>
  <c r="D64" i="22"/>
  <c r="D66" i="22" s="1"/>
  <c r="O60" i="22"/>
  <c r="O48" i="22"/>
  <c r="O49" i="22"/>
  <c r="O51" i="22"/>
  <c r="O53" i="22"/>
  <c r="O55" i="22"/>
  <c r="O57" i="22"/>
  <c r="O59" i="22"/>
  <c r="O61" i="22"/>
  <c r="O63" i="22"/>
  <c r="L23" i="22"/>
  <c r="U23" i="22"/>
  <c r="U7" i="22"/>
  <c r="M23" i="22"/>
  <c r="C64" i="22"/>
  <c r="C66" i="22" s="1"/>
  <c r="O64" i="22" l="1"/>
  <c r="O66" i="22" s="1"/>
  <c r="AD67" i="1" l="1"/>
  <c r="AC67" i="1"/>
  <c r="W67" i="1"/>
  <c r="X67" i="1"/>
  <c r="Y67" i="1"/>
  <c r="Z67" i="1"/>
  <c r="AA67" i="1"/>
  <c r="V67" i="1"/>
  <c r="M25" i="19" l="1"/>
  <c r="M24" i="19"/>
  <c r="M23" i="19"/>
  <c r="M21" i="19"/>
  <c r="C23" i="19" l="1"/>
  <c r="F23" i="19" s="1"/>
  <c r="C29" i="19"/>
  <c r="F29" i="19" s="1"/>
  <c r="C28" i="19"/>
  <c r="F28" i="19" s="1"/>
  <c r="C27" i="19"/>
  <c r="F27" i="19" s="1"/>
  <c r="C25" i="19"/>
  <c r="F25" i="19" s="1"/>
  <c r="C24" i="19"/>
  <c r="F24" i="19" s="1"/>
  <c r="C21" i="19"/>
  <c r="F21" i="19" s="1"/>
  <c r="Q9" i="20"/>
  <c r="Q10" i="20"/>
  <c r="Q11" i="20"/>
  <c r="Q12" i="20"/>
  <c r="Q13" i="20"/>
  <c r="Q14" i="20"/>
  <c r="Q8" i="20"/>
  <c r="P9" i="20"/>
  <c r="P10" i="20"/>
  <c r="P11" i="20"/>
  <c r="P12" i="20"/>
  <c r="P13" i="20"/>
  <c r="P14" i="20"/>
  <c r="P8" i="20"/>
  <c r="J26" i="20"/>
  <c r="J27" i="20"/>
  <c r="J25" i="20"/>
  <c r="J24" i="20"/>
  <c r="J23" i="20"/>
  <c r="J22" i="20"/>
  <c r="M38" i="20"/>
  <c r="M39" i="20"/>
  <c r="M37" i="20"/>
  <c r="M35" i="20"/>
  <c r="M36" i="20"/>
  <c r="M34" i="20"/>
  <c r="I21" i="20"/>
  <c r="K28" i="20"/>
  <c r="M27" i="20"/>
  <c r="M26" i="20"/>
  <c r="M25" i="20"/>
  <c r="M24" i="20"/>
  <c r="M23" i="20"/>
  <c r="M22" i="20"/>
  <c r="M21" i="20"/>
  <c r="M16" i="20"/>
  <c r="N9" i="20"/>
  <c r="N10" i="20"/>
  <c r="N11" i="20"/>
  <c r="N12" i="20"/>
  <c r="N16" i="20" s="1"/>
  <c r="N13" i="20"/>
  <c r="N14" i="20"/>
  <c r="N15" i="20"/>
  <c r="N8" i="20"/>
  <c r="M9" i="20"/>
  <c r="M10" i="20"/>
  <c r="M11" i="20"/>
  <c r="M12" i="20"/>
  <c r="M13" i="20"/>
  <c r="M14" i="20"/>
  <c r="M8" i="20"/>
  <c r="K15" i="20"/>
  <c r="E1087" i="20"/>
  <c r="I15" i="20"/>
  <c r="I14" i="20"/>
  <c r="I13" i="20"/>
  <c r="I12" i="20"/>
  <c r="J12" i="20" s="1"/>
  <c r="I11" i="20"/>
  <c r="I10" i="20"/>
  <c r="I9" i="20"/>
  <c r="I8" i="20"/>
  <c r="J14" i="20"/>
  <c r="J15" i="20"/>
  <c r="J10" i="20"/>
  <c r="J11" i="20"/>
  <c r="J13" i="20"/>
  <c r="J9" i="20"/>
  <c r="F26" i="18"/>
  <c r="F30" i="19" l="1"/>
  <c r="G24" i="19" s="1"/>
  <c r="C30" i="19"/>
  <c r="D21" i="19" s="1"/>
  <c r="N21" i="20"/>
  <c r="M29" i="20"/>
  <c r="I16" i="20"/>
  <c r="J8" i="20"/>
  <c r="J16" i="20" s="1"/>
  <c r="G27" i="19" l="1"/>
  <c r="G23" i="19"/>
  <c r="D27" i="19"/>
  <c r="G25" i="19"/>
  <c r="G28" i="19"/>
  <c r="G29" i="19"/>
  <c r="G21" i="19"/>
  <c r="D23" i="19"/>
  <c r="D28" i="19"/>
  <c r="D24" i="19"/>
  <c r="D25" i="19"/>
  <c r="D29" i="19"/>
  <c r="D30" i="19" l="1"/>
  <c r="C26" i="18" l="1"/>
  <c r="C25" i="18"/>
  <c r="C24" i="18"/>
  <c r="C21" i="18" l="1"/>
  <c r="C15" i="18"/>
  <c r="E12" i="18" s="1"/>
  <c r="D14" i="18"/>
  <c r="B12" i="18"/>
  <c r="D12" i="18" s="1"/>
  <c r="D13" i="18"/>
  <c r="B11" i="18"/>
  <c r="B15" i="18" s="1"/>
  <c r="D10" i="18"/>
  <c r="G14" i="18" l="1"/>
  <c r="G13" i="18"/>
  <c r="E11" i="18"/>
  <c r="E25" i="18" s="1"/>
  <c r="E10" i="18"/>
  <c r="E24" i="18" s="1"/>
  <c r="D11" i="18"/>
  <c r="E14" i="18"/>
  <c r="E13" i="18"/>
  <c r="E26" i="18" l="1"/>
  <c r="E15" i="18"/>
  <c r="D15" i="18"/>
  <c r="G16" i="10" l="1"/>
  <c r="G15" i="10"/>
  <c r="G14" i="10"/>
  <c r="C16" i="10"/>
  <c r="C15" i="10"/>
  <c r="C14" i="10"/>
  <c r="AD42" i="1" l="1"/>
  <c r="W76" i="1" l="1"/>
  <c r="W75" i="1"/>
  <c r="W73" i="1"/>
  <c r="W71" i="1"/>
  <c r="W70" i="1"/>
  <c r="V76" i="1"/>
  <c r="V75" i="1"/>
  <c r="V74" i="1"/>
  <c r="V73" i="1"/>
  <c r="V71" i="1"/>
  <c r="V70" i="1"/>
  <c r="H73" i="1"/>
  <c r="H70" i="1"/>
  <c r="I11" i="9" l="1"/>
  <c r="J11" i="9" s="1"/>
  <c r="I12" i="9"/>
  <c r="J12" i="9" s="1"/>
  <c r="I15" i="9"/>
  <c r="J15" i="9" s="1"/>
  <c r="J16" i="9"/>
  <c r="I19" i="9"/>
  <c r="J19" i="9" s="1"/>
  <c r="J20" i="9"/>
  <c r="J23" i="9"/>
  <c r="I8" i="9"/>
  <c r="J8" i="9" s="1"/>
  <c r="J9" i="9"/>
  <c r="I13" i="9"/>
  <c r="J13" i="9" s="1"/>
  <c r="J14" i="9"/>
  <c r="J17" i="9"/>
  <c r="I18" i="9"/>
  <c r="J21" i="9"/>
  <c r="J22" i="9"/>
  <c r="J18" i="9"/>
  <c r="J10" i="9"/>
  <c r="B16" i="6"/>
  <c r="B8" i="14" s="1"/>
  <c r="S47" i="10" l="1"/>
  <c r="T47" i="10"/>
  <c r="U47" i="10"/>
  <c r="V47" i="10"/>
  <c r="W47" i="10"/>
  <c r="X47" i="10"/>
  <c r="Y47" i="10"/>
  <c r="Z47" i="10"/>
  <c r="AA47" i="10"/>
  <c r="AB47" i="10"/>
  <c r="AC47" i="10"/>
  <c r="R47" i="10"/>
  <c r="Y85" i="1"/>
  <c r="S85" i="1"/>
  <c r="N85" i="1"/>
  <c r="Y84" i="1"/>
  <c r="N84" i="1"/>
  <c r="W83" i="1"/>
  <c r="Y83" i="1" s="1"/>
  <c r="V83" i="1"/>
  <c r="S83" i="1"/>
  <c r="N83" i="1"/>
  <c r="W82" i="1"/>
  <c r="Y82" i="1" s="1"/>
  <c r="V82" i="1"/>
  <c r="S82" i="1"/>
  <c r="L82" i="1"/>
  <c r="N82" i="1" s="1"/>
  <c r="K82" i="1"/>
  <c r="H82" i="1"/>
  <c r="G82" i="1"/>
  <c r="W81" i="1"/>
  <c r="Y81" i="1" s="1"/>
  <c r="S81" i="1"/>
  <c r="L81" i="1"/>
  <c r="N81" i="1" s="1"/>
  <c r="K81" i="1"/>
  <c r="Y80" i="1"/>
  <c r="S80" i="1"/>
  <c r="N80" i="1"/>
  <c r="W79" i="1"/>
  <c r="Y79" i="1" s="1"/>
  <c r="V79" i="1"/>
  <c r="S79" i="1"/>
  <c r="N79" i="1"/>
  <c r="W78" i="1"/>
  <c r="Y78" i="1" s="1"/>
  <c r="V78" i="1"/>
  <c r="S78" i="1"/>
  <c r="N78" i="1"/>
  <c r="Y77" i="1"/>
  <c r="S77" i="1"/>
  <c r="N77" i="1"/>
  <c r="Y76" i="1"/>
  <c r="S76" i="1"/>
  <c r="N76" i="1"/>
  <c r="Y75" i="1"/>
  <c r="S75" i="1"/>
  <c r="N75" i="1"/>
  <c r="H75" i="1"/>
  <c r="Y74" i="1"/>
  <c r="S74" i="1"/>
  <c r="N74" i="1"/>
  <c r="S73" i="1"/>
  <c r="L73" i="1"/>
  <c r="AC49" i="10" l="1"/>
  <c r="AC50" i="10"/>
  <c r="I84" i="1"/>
  <c r="P84" i="1" s="1"/>
  <c r="I74" i="1"/>
  <c r="P74" i="1" s="1"/>
  <c r="AA74" i="1"/>
  <c r="I75" i="1"/>
  <c r="P75" i="1" s="1"/>
  <c r="AA75" i="1"/>
  <c r="AA79" i="1"/>
  <c r="AA80" i="1"/>
  <c r="AA83" i="1"/>
  <c r="I79" i="1"/>
  <c r="P79" i="1" s="1"/>
  <c r="I83" i="1"/>
  <c r="P83" i="1" s="1"/>
  <c r="I81" i="1"/>
  <c r="P81" i="1" s="1"/>
  <c r="AA81" i="1"/>
  <c r="I82" i="1"/>
  <c r="P82" i="1" s="1"/>
  <c r="AA82" i="1"/>
  <c r="I80" i="1"/>
  <c r="P80" i="1" s="1"/>
  <c r="I76" i="1"/>
  <c r="P76" i="1" s="1"/>
  <c r="AA76" i="1"/>
  <c r="I77" i="1"/>
  <c r="P77" i="1" s="1"/>
  <c r="AA77" i="1"/>
  <c r="I78" i="1"/>
  <c r="P78" i="1" s="1"/>
  <c r="AA78" i="1"/>
  <c r="AA84" i="1"/>
  <c r="I85" i="1"/>
  <c r="P85" i="1" s="1"/>
  <c r="AA85" i="1"/>
  <c r="AE55" i="10" l="1"/>
  <c r="AC51" i="10"/>
  <c r="AC52" i="10" s="1"/>
  <c r="D22" i="9"/>
  <c r="M11" i="6" l="1"/>
  <c r="M12" i="6" s="1"/>
  <c r="L11" i="6"/>
  <c r="M10" i="6"/>
  <c r="L10" i="6"/>
  <c r="K11" i="6"/>
  <c r="K10" i="6"/>
  <c r="N10" i="6" s="1"/>
  <c r="E10" i="9"/>
  <c r="K23" i="9"/>
  <c r="K22" i="9"/>
  <c r="K21" i="9"/>
  <c r="K20" i="9"/>
  <c r="K19" i="9"/>
  <c r="K18" i="9"/>
  <c r="K17" i="9"/>
  <c r="K16" i="9"/>
  <c r="K15" i="9"/>
  <c r="K14" i="9"/>
  <c r="K13" i="9"/>
  <c r="K12" i="9"/>
  <c r="K11" i="9"/>
  <c r="K10" i="9"/>
  <c r="K9" i="9"/>
  <c r="K8" i="9"/>
  <c r="M8" i="9"/>
  <c r="O8" i="9" s="1"/>
  <c r="P8" i="9" s="1"/>
  <c r="M9" i="9"/>
  <c r="O9" i="9" s="1"/>
  <c r="P9" i="9" s="1"/>
  <c r="Q9" i="9" s="1"/>
  <c r="M10" i="9"/>
  <c r="O10" i="9" s="1"/>
  <c r="P10" i="9" s="1"/>
  <c r="Q10" i="9" s="1"/>
  <c r="M11" i="9"/>
  <c r="O11" i="9" s="1"/>
  <c r="P11" i="9" s="1"/>
  <c r="S11" i="9" s="1"/>
  <c r="M12" i="9"/>
  <c r="O12" i="9" s="1"/>
  <c r="P12" i="9" s="1"/>
  <c r="Q12" i="9" s="1"/>
  <c r="M13" i="9"/>
  <c r="O13" i="9" s="1"/>
  <c r="P13" i="9" s="1"/>
  <c r="S13" i="9" s="1"/>
  <c r="M14" i="9"/>
  <c r="O14" i="9" s="1"/>
  <c r="P14" i="9" s="1"/>
  <c r="Q14" i="9" s="1"/>
  <c r="M15" i="9"/>
  <c r="O15" i="9" s="1"/>
  <c r="P15" i="9" s="1"/>
  <c r="S15" i="9" s="1"/>
  <c r="M16" i="9"/>
  <c r="O16" i="9" s="1"/>
  <c r="P16" i="9" s="1"/>
  <c r="S16" i="9" s="1"/>
  <c r="M17" i="9"/>
  <c r="O17" i="9" s="1"/>
  <c r="P17" i="9" s="1"/>
  <c r="Q17" i="9" s="1"/>
  <c r="M18" i="9"/>
  <c r="O18" i="9" s="1"/>
  <c r="P18" i="9" s="1"/>
  <c r="Q18" i="9" s="1"/>
  <c r="M19" i="9"/>
  <c r="O19" i="9" s="1"/>
  <c r="P19" i="9" s="1"/>
  <c r="S19" i="9" s="1"/>
  <c r="M20" i="9"/>
  <c r="O20" i="9" s="1"/>
  <c r="P20" i="9" s="1"/>
  <c r="Q20" i="9" s="1"/>
  <c r="M21" i="9"/>
  <c r="O21" i="9" s="1"/>
  <c r="P21" i="9" s="1"/>
  <c r="S21" i="9" s="1"/>
  <c r="M22" i="9"/>
  <c r="O22" i="9" s="1"/>
  <c r="P22" i="9" s="1"/>
  <c r="Q22" i="9" s="1"/>
  <c r="M23" i="9"/>
  <c r="O23" i="9" s="1"/>
  <c r="P23" i="9" s="1"/>
  <c r="S23" i="9" s="1"/>
  <c r="J25" i="9"/>
  <c r="I25" i="9"/>
  <c r="B17" i="6" s="1"/>
  <c r="D25" i="9"/>
  <c r="C25" i="9"/>
  <c r="E25" i="9" s="1"/>
  <c r="D24" i="6"/>
  <c r="L19" i="6"/>
  <c r="M19" i="6"/>
  <c r="N14" i="6"/>
  <c r="N15" i="6"/>
  <c r="N16" i="6"/>
  <c r="N17" i="6"/>
  <c r="N18" i="6"/>
  <c r="K19" i="6"/>
  <c r="N8" i="6"/>
  <c r="N7" i="6"/>
  <c r="N9" i="6"/>
  <c r="C31" i="8"/>
  <c r="C32" i="8"/>
  <c r="C33" i="8"/>
  <c r="C37" i="8"/>
  <c r="C38" i="8"/>
  <c r="C40" i="8"/>
  <c r="C41" i="8"/>
  <c r="C44" i="8"/>
  <c r="E9" i="9"/>
  <c r="E11" i="9"/>
  <c r="E12" i="9"/>
  <c r="E13" i="9"/>
  <c r="E14" i="9"/>
  <c r="E15" i="9"/>
  <c r="E16" i="9"/>
  <c r="E17" i="9"/>
  <c r="E18" i="9"/>
  <c r="E19" i="9"/>
  <c r="E20" i="9"/>
  <c r="E21" i="9"/>
  <c r="E22" i="9"/>
  <c r="E23" i="9"/>
  <c r="E8" i="9"/>
  <c r="D17" i="10"/>
  <c r="Y26" i="1"/>
  <c r="Z26" i="1" s="1"/>
  <c r="T26" i="1"/>
  <c r="N26" i="1"/>
  <c r="O26" i="1" s="1"/>
  <c r="I26" i="1"/>
  <c r="D26" i="1"/>
  <c r="AD83" i="1"/>
  <c r="AC83" i="1"/>
  <c r="AD79" i="1"/>
  <c r="AC79" i="1"/>
  <c r="AD78" i="1"/>
  <c r="AC77" i="1"/>
  <c r="Y72" i="1"/>
  <c r="V86" i="1"/>
  <c r="E14" i="19" s="1"/>
  <c r="N72" i="1"/>
  <c r="I72" i="1"/>
  <c r="P72" i="1" s="1"/>
  <c r="Y37" i="1"/>
  <c r="Z37" i="1" s="1"/>
  <c r="T37" i="1"/>
  <c r="N37" i="1"/>
  <c r="O37" i="1" s="1"/>
  <c r="I37" i="1"/>
  <c r="D37" i="1"/>
  <c r="Y33" i="1"/>
  <c r="Z33" i="1" s="1"/>
  <c r="T33" i="1"/>
  <c r="N33" i="1"/>
  <c r="O33" i="1" s="1"/>
  <c r="I33" i="1"/>
  <c r="D33" i="1"/>
  <c r="Y32" i="1"/>
  <c r="Z32" i="1" s="1"/>
  <c r="T32" i="1"/>
  <c r="N32" i="1"/>
  <c r="O32" i="1" s="1"/>
  <c r="I32" i="1"/>
  <c r="D32" i="1"/>
  <c r="Y31" i="1"/>
  <c r="Z31" i="1" s="1"/>
  <c r="T31" i="1"/>
  <c r="AA31" i="1" s="1"/>
  <c r="N31" i="1"/>
  <c r="O31" i="1" s="1"/>
  <c r="I31" i="1"/>
  <c r="D31" i="1"/>
  <c r="U40" i="1"/>
  <c r="U42" i="1" s="1"/>
  <c r="I17" i="10"/>
  <c r="R24" i="10"/>
  <c r="S24" i="10"/>
  <c r="AD31" i="10"/>
  <c r="AD32" i="10"/>
  <c r="AD33" i="10"/>
  <c r="AD34" i="10"/>
  <c r="AD35" i="10"/>
  <c r="AD36" i="10"/>
  <c r="AD37" i="10"/>
  <c r="C33" i="10"/>
  <c r="D36" i="10" s="1"/>
  <c r="D33" i="10"/>
  <c r="AD38" i="10"/>
  <c r="AD39" i="10"/>
  <c r="AD40" i="10"/>
  <c r="AD41" i="10"/>
  <c r="AD42" i="10"/>
  <c r="AD43" i="10"/>
  <c r="AD44" i="10"/>
  <c r="AD45" i="10"/>
  <c r="D18" i="1"/>
  <c r="I18" i="1"/>
  <c r="N18" i="1"/>
  <c r="O18" i="1" s="1"/>
  <c r="T18" i="1"/>
  <c r="Y18" i="1"/>
  <c r="Z18" i="1" s="1"/>
  <c r="AA18" i="1" s="1"/>
  <c r="D19" i="1"/>
  <c r="I19" i="1"/>
  <c r="N19" i="1"/>
  <c r="O19" i="1" s="1"/>
  <c r="T19" i="1"/>
  <c r="Y19" i="1"/>
  <c r="I21" i="1"/>
  <c r="T21" i="1"/>
  <c r="D24" i="1"/>
  <c r="I24" i="1"/>
  <c r="N24" i="1"/>
  <c r="O24" i="1" s="1"/>
  <c r="T24" i="1"/>
  <c r="Y24" i="1"/>
  <c r="Z24" i="1" s="1"/>
  <c r="D25" i="1"/>
  <c r="I25" i="1"/>
  <c r="N25" i="1"/>
  <c r="O25" i="1" s="1"/>
  <c r="T25" i="1"/>
  <c r="Y25" i="1"/>
  <c r="Z25" i="1" s="1"/>
  <c r="D27" i="1"/>
  <c r="I27" i="1"/>
  <c r="N27" i="1"/>
  <c r="O27" i="1" s="1"/>
  <c r="T27" i="1"/>
  <c r="Y27" i="1"/>
  <c r="Z27" i="1" s="1"/>
  <c r="D28" i="1"/>
  <c r="I28" i="1"/>
  <c r="N28" i="1"/>
  <c r="O28" i="1" s="1"/>
  <c r="T28" i="1"/>
  <c r="Y28" i="1"/>
  <c r="Z28" i="1" s="1"/>
  <c r="D29" i="1"/>
  <c r="I29" i="1"/>
  <c r="N29" i="1"/>
  <c r="O29" i="1" s="1"/>
  <c r="T29" i="1"/>
  <c r="Y29" i="1"/>
  <c r="Z29" i="1" s="1"/>
  <c r="D30" i="1"/>
  <c r="I30" i="1"/>
  <c r="N30" i="1"/>
  <c r="O30" i="1" s="1"/>
  <c r="T30" i="1"/>
  <c r="Y30" i="1"/>
  <c r="Z30" i="1" s="1"/>
  <c r="D34" i="1"/>
  <c r="I34" i="1"/>
  <c r="N34" i="1"/>
  <c r="O34" i="1" s="1"/>
  <c r="T34" i="1"/>
  <c r="Y34" i="1"/>
  <c r="Z34" i="1" s="1"/>
  <c r="D35" i="1"/>
  <c r="I35" i="1"/>
  <c r="N35" i="1"/>
  <c r="O35" i="1" s="1"/>
  <c r="T35" i="1"/>
  <c r="Y35" i="1"/>
  <c r="Z35" i="1" s="1"/>
  <c r="AA35" i="1" s="1"/>
  <c r="D36" i="1"/>
  <c r="I36" i="1"/>
  <c r="N36" i="1"/>
  <c r="O36" i="1" s="1"/>
  <c r="T36" i="1"/>
  <c r="Y36" i="1"/>
  <c r="Z36" i="1" s="1"/>
  <c r="D38" i="1"/>
  <c r="I38" i="1"/>
  <c r="N38" i="1"/>
  <c r="O38" i="1" s="1"/>
  <c r="T38" i="1"/>
  <c r="Y38" i="1"/>
  <c r="Z38" i="1" s="1"/>
  <c r="D39" i="1"/>
  <c r="I39" i="1"/>
  <c r="N39" i="1"/>
  <c r="O39" i="1" s="1"/>
  <c r="T39" i="1"/>
  <c r="Y39" i="1"/>
  <c r="Z39" i="1"/>
  <c r="B40" i="1"/>
  <c r="C40" i="1"/>
  <c r="F40" i="1"/>
  <c r="F42" i="1" s="1"/>
  <c r="G40" i="1"/>
  <c r="H40" i="1"/>
  <c r="J40" i="1"/>
  <c r="J42" i="1" s="1"/>
  <c r="K40" i="1"/>
  <c r="L40" i="1"/>
  <c r="M40" i="1"/>
  <c r="M42" i="1" s="1"/>
  <c r="R40" i="1"/>
  <c r="R42" i="1" s="1"/>
  <c r="S40" i="1"/>
  <c r="V40" i="1"/>
  <c r="W40" i="1"/>
  <c r="X40" i="1"/>
  <c r="X42" i="1" s="1"/>
  <c r="AB40" i="1"/>
  <c r="AB42" i="1" s="1"/>
  <c r="AD40" i="1"/>
  <c r="AB48" i="1"/>
  <c r="I64" i="1"/>
  <c r="P64" i="1" s="1"/>
  <c r="N64" i="1"/>
  <c r="Y64" i="1"/>
  <c r="AA64" i="1"/>
  <c r="Y65" i="1"/>
  <c r="AD65" i="1" s="1"/>
  <c r="AA65" i="1"/>
  <c r="AC65" i="1" s="1"/>
  <c r="C67" i="1"/>
  <c r="I67" i="1"/>
  <c r="P67" i="1" s="1"/>
  <c r="N67" i="1"/>
  <c r="S67" i="1"/>
  <c r="I70" i="1"/>
  <c r="P70" i="1" s="1"/>
  <c r="N70" i="1"/>
  <c r="Y70" i="1"/>
  <c r="AA70" i="1"/>
  <c r="I71" i="1"/>
  <c r="P71" i="1" s="1"/>
  <c r="N71" i="1"/>
  <c r="Y71" i="1"/>
  <c r="AA71" i="1"/>
  <c r="I73" i="1"/>
  <c r="N73" i="1"/>
  <c r="Y73" i="1"/>
  <c r="AA73" i="1"/>
  <c r="AD74" i="1"/>
  <c r="AC75" i="1"/>
  <c r="AD75" i="1"/>
  <c r="AC76" i="1"/>
  <c r="AD76" i="1"/>
  <c r="AC80" i="1"/>
  <c r="AD80" i="1"/>
  <c r="AC81" i="1"/>
  <c r="AD81" i="1"/>
  <c r="AD82" i="1"/>
  <c r="AD84" i="1"/>
  <c r="AC84" i="1"/>
  <c r="AD85" i="1"/>
  <c r="G86" i="1"/>
  <c r="G88" i="1" s="1"/>
  <c r="H86" i="1"/>
  <c r="L86" i="1"/>
  <c r="M86" i="1"/>
  <c r="M88" i="1" s="1"/>
  <c r="S86" i="1"/>
  <c r="W86" i="1"/>
  <c r="X86" i="1"/>
  <c r="AB86" i="1"/>
  <c r="P91" i="1"/>
  <c r="AB93" i="1"/>
  <c r="AC82" i="1"/>
  <c r="AA72" i="1"/>
  <c r="AD77" i="1"/>
  <c r="AC78" i="1"/>
  <c r="C17" i="10"/>
  <c r="U24" i="10"/>
  <c r="W24" i="10"/>
  <c r="T24" i="10"/>
  <c r="V24" i="10"/>
  <c r="E15" i="19" l="1"/>
  <c r="K77" i="6"/>
  <c r="O38" i="8"/>
  <c r="F38" i="8"/>
  <c r="H38" i="8"/>
  <c r="I38" i="8" s="1"/>
  <c r="F44" i="8"/>
  <c r="H44" i="8"/>
  <c r="I44" i="8" s="1"/>
  <c r="O41" i="8"/>
  <c r="F41" i="8"/>
  <c r="L41" i="8" s="1"/>
  <c r="H41" i="8"/>
  <c r="I41" i="8" s="1"/>
  <c r="F33" i="8"/>
  <c r="H33" i="8"/>
  <c r="I33" i="8" s="1"/>
  <c r="F31" i="8"/>
  <c r="H31" i="8"/>
  <c r="I31" i="8" s="1"/>
  <c r="F37" i="8"/>
  <c r="H37" i="8"/>
  <c r="I37" i="8" s="1"/>
  <c r="F40" i="8"/>
  <c r="H40" i="8"/>
  <c r="I40" i="8" s="1"/>
  <c r="F32" i="8"/>
  <c r="H32" i="8"/>
  <c r="I32" i="8" s="1"/>
  <c r="L38" i="8"/>
  <c r="D35" i="10"/>
  <c r="D37" i="10" s="1"/>
  <c r="K33" i="10" s="1"/>
  <c r="B22" i="14" s="1"/>
  <c r="G33" i="10"/>
  <c r="E13" i="19"/>
  <c r="AG84" i="1"/>
  <c r="AF84" i="1"/>
  <c r="C13" i="19"/>
  <c r="S42" i="1"/>
  <c r="AG82" i="1"/>
  <c r="AF82" i="1"/>
  <c r="AF83" i="1"/>
  <c r="AG83" i="1"/>
  <c r="AF81" i="1"/>
  <c r="AG81" i="1"/>
  <c r="AF79" i="1"/>
  <c r="AG79" i="1"/>
  <c r="AF76" i="1"/>
  <c r="AG76" i="1"/>
  <c r="AF77" i="1"/>
  <c r="AG77" i="1"/>
  <c r="AG78" i="1"/>
  <c r="AF78" i="1"/>
  <c r="AF80" i="1"/>
  <c r="AG80" i="1"/>
  <c r="AG75" i="1"/>
  <c r="AF75" i="1"/>
  <c r="S22" i="9"/>
  <c r="S27" i="10"/>
  <c r="S26" i="10"/>
  <c r="R27" i="10"/>
  <c r="R26" i="10"/>
  <c r="T26" i="10"/>
  <c r="T27" i="10"/>
  <c r="E29" i="19"/>
  <c r="F15" i="19"/>
  <c r="E11" i="19"/>
  <c r="E28" i="19"/>
  <c r="F14" i="19"/>
  <c r="H88" i="1"/>
  <c r="H93" i="1" s="1"/>
  <c r="C72" i="6"/>
  <c r="C15" i="19"/>
  <c r="W42" i="1"/>
  <c r="C14" i="19"/>
  <c r="V42" i="1"/>
  <c r="B124" i="6" s="1"/>
  <c r="C11" i="19"/>
  <c r="L42" i="1"/>
  <c r="C10" i="19"/>
  <c r="K42" i="1"/>
  <c r="B107" i="6" s="1"/>
  <c r="H44" i="1"/>
  <c r="H48" i="1" s="1"/>
  <c r="H42" i="1"/>
  <c r="C9" i="19"/>
  <c r="G42" i="1"/>
  <c r="C7" i="19"/>
  <c r="C42" i="1"/>
  <c r="D40" i="1"/>
  <c r="B42" i="1"/>
  <c r="V26" i="10"/>
  <c r="V27" i="10"/>
  <c r="W26" i="10"/>
  <c r="W27" i="10"/>
  <c r="U27" i="10"/>
  <c r="U26" i="10"/>
  <c r="Q11" i="9"/>
  <c r="Q15" i="9"/>
  <c r="S14" i="9"/>
  <c r="Q19" i="9"/>
  <c r="S18" i="9"/>
  <c r="S10" i="9"/>
  <c r="Q23" i="9"/>
  <c r="M21" i="6"/>
  <c r="L12" i="6"/>
  <c r="L21" i="6" s="1"/>
  <c r="N11" i="6"/>
  <c r="N12" i="6" s="1"/>
  <c r="N19" i="6"/>
  <c r="K12" i="6"/>
  <c r="AA37" i="1"/>
  <c r="P39" i="1"/>
  <c r="V88" i="1"/>
  <c r="T40" i="1"/>
  <c r="T42" i="1" s="1"/>
  <c r="AA30" i="1"/>
  <c r="AD71" i="1"/>
  <c r="P30" i="1"/>
  <c r="AC30" i="1" s="1"/>
  <c r="P28" i="1"/>
  <c r="N21" i="1"/>
  <c r="AC72" i="1"/>
  <c r="AD70" i="1"/>
  <c r="AA39" i="1"/>
  <c r="AC39" i="1" s="1"/>
  <c r="AA28" i="1"/>
  <c r="P26" i="1"/>
  <c r="N40" i="1"/>
  <c r="O40" i="1" s="1"/>
  <c r="O42" i="1" s="1"/>
  <c r="AD64" i="1"/>
  <c r="P33" i="1"/>
  <c r="P37" i="1"/>
  <c r="AC37" i="1" s="1"/>
  <c r="P18" i="1"/>
  <c r="P21" i="1" s="1"/>
  <c r="O21" i="1"/>
  <c r="P24" i="1"/>
  <c r="AA32" i="1"/>
  <c r="AA26" i="1"/>
  <c r="AC64" i="1"/>
  <c r="AA24" i="1"/>
  <c r="AA38" i="1"/>
  <c r="P36" i="1"/>
  <c r="P34" i="1"/>
  <c r="AA29" i="1"/>
  <c r="P25" i="1"/>
  <c r="P31" i="1"/>
  <c r="AC31" i="1" s="1"/>
  <c r="AA33" i="1"/>
  <c r="AD72" i="1"/>
  <c r="P35" i="1"/>
  <c r="AC35" i="1" s="1"/>
  <c r="AA25" i="1"/>
  <c r="P32" i="1"/>
  <c r="AC32" i="1" s="1"/>
  <c r="AA86" i="1"/>
  <c r="Y40" i="1"/>
  <c r="Y42" i="1" s="1"/>
  <c r="AA34" i="1"/>
  <c r="P29" i="1"/>
  <c r="AA27" i="1"/>
  <c r="P38" i="1"/>
  <c r="AA36" i="1"/>
  <c r="D21" i="1"/>
  <c r="P19" i="1"/>
  <c r="AC71" i="1"/>
  <c r="I40" i="1"/>
  <c r="I42" i="1" s="1"/>
  <c r="P27" i="1"/>
  <c r="Z19" i="1"/>
  <c r="Z21" i="1" s="1"/>
  <c r="Y21" i="1"/>
  <c r="N86" i="1"/>
  <c r="N88" i="1" s="1"/>
  <c r="X88" i="1"/>
  <c r="AD73" i="1"/>
  <c r="D25" i="6"/>
  <c r="P25" i="9"/>
  <c r="S17" i="9"/>
  <c r="S9" i="9"/>
  <c r="Q16" i="9"/>
  <c r="O25" i="9"/>
  <c r="S20" i="9"/>
  <c r="S12" i="9"/>
  <c r="Q13" i="9"/>
  <c r="Q21" i="9"/>
  <c r="S8" i="9"/>
  <c r="K25" i="9"/>
  <c r="Q8" i="9"/>
  <c r="M25" i="9"/>
  <c r="Y24" i="10"/>
  <c r="AD47" i="10"/>
  <c r="Z24" i="10"/>
  <c r="S88" i="1"/>
  <c r="L88" i="1"/>
  <c r="K67" i="6" s="1"/>
  <c r="K86" i="1"/>
  <c r="Y86" i="1"/>
  <c r="I86" i="1"/>
  <c r="W88" i="1"/>
  <c r="AB88" i="1"/>
  <c r="AC70" i="1"/>
  <c r="G25" i="9"/>
  <c r="B44" i="8" l="1"/>
  <c r="K44" i="8"/>
  <c r="N44" i="8" s="1"/>
  <c r="O44" i="8" s="1"/>
  <c r="L67" i="6"/>
  <c r="L68" i="6"/>
  <c r="L78" i="6"/>
  <c r="L77" i="6"/>
  <c r="G30" i="10"/>
  <c r="G31" i="10"/>
  <c r="G32" i="10"/>
  <c r="S48" i="10"/>
  <c r="W48" i="10"/>
  <c r="AA48" i="10"/>
  <c r="T48" i="10"/>
  <c r="AB48" i="10"/>
  <c r="X48" i="10"/>
  <c r="U48" i="10"/>
  <c r="Y48" i="10"/>
  <c r="AC48" i="10"/>
  <c r="V48" i="10"/>
  <c r="Z48" i="10"/>
  <c r="R48" i="10"/>
  <c r="AC34" i="1"/>
  <c r="AC24" i="1"/>
  <c r="AC33" i="1"/>
  <c r="AF72" i="1"/>
  <c r="AG72" i="1"/>
  <c r="E27" i="19"/>
  <c r="F13" i="19"/>
  <c r="AG71" i="1"/>
  <c r="AF71" i="1"/>
  <c r="AF70" i="1"/>
  <c r="AG70" i="1"/>
  <c r="Q25" i="9"/>
  <c r="K88" i="1"/>
  <c r="E10" i="19"/>
  <c r="K11" i="19"/>
  <c r="K25" i="19" s="1"/>
  <c r="F11" i="19"/>
  <c r="E25" i="19"/>
  <c r="C78" i="6"/>
  <c r="H80" i="6" s="1"/>
  <c r="E16" i="10"/>
  <c r="F16" i="10" s="1"/>
  <c r="I88" i="1"/>
  <c r="E9" i="19"/>
  <c r="N42" i="1"/>
  <c r="B110" i="6" s="1"/>
  <c r="B112" i="6" s="1"/>
  <c r="C110" i="6" s="1"/>
  <c r="D44" i="1"/>
  <c r="D48" i="1" s="1"/>
  <c r="C16" i="19"/>
  <c r="D42" i="1"/>
  <c r="H49" i="6" s="1"/>
  <c r="C18" i="6"/>
  <c r="N21" i="6"/>
  <c r="K21" i="6"/>
  <c r="AC38" i="1"/>
  <c r="AC36" i="1"/>
  <c r="AC29" i="1"/>
  <c r="AC18" i="1"/>
  <c r="AC28" i="1"/>
  <c r="AD86" i="1"/>
  <c r="AD88" i="1" s="1"/>
  <c r="AC27" i="1"/>
  <c r="AA88" i="1"/>
  <c r="AA93" i="1" s="1"/>
  <c r="AC26" i="1"/>
  <c r="AC25" i="1"/>
  <c r="AA19" i="1"/>
  <c r="AA21" i="1" s="1"/>
  <c r="P40" i="1"/>
  <c r="P42" i="1" s="1"/>
  <c r="B127" i="6"/>
  <c r="Z40" i="1"/>
  <c r="Z42" i="1" s="1"/>
  <c r="AA24" i="10"/>
  <c r="AB24" i="10"/>
  <c r="S25" i="9"/>
  <c r="D18" i="6" s="1"/>
  <c r="F33" i="10"/>
  <c r="B38" i="8"/>
  <c r="Y88" i="1"/>
  <c r="P73" i="1"/>
  <c r="L44" i="8" l="1"/>
  <c r="E24" i="19"/>
  <c r="F10" i="19"/>
  <c r="E23" i="19"/>
  <c r="F9" i="19"/>
  <c r="C107" i="6"/>
  <c r="C112" i="6" s="1"/>
  <c r="D13" i="19"/>
  <c r="D11" i="19"/>
  <c r="D10" i="19"/>
  <c r="D15" i="19"/>
  <c r="D9" i="19"/>
  <c r="D14" i="19"/>
  <c r="D7" i="19"/>
  <c r="B9" i="14"/>
  <c r="B9" i="6"/>
  <c r="AC40" i="1"/>
  <c r="AC42" i="1" s="1"/>
  <c r="AC19" i="1"/>
  <c r="AC21" i="1" s="1"/>
  <c r="P44" i="1"/>
  <c r="P48" i="1" s="1"/>
  <c r="AA40" i="1"/>
  <c r="AA42" i="1" s="1"/>
  <c r="B129" i="6"/>
  <c r="C124" i="6" s="1"/>
  <c r="AC73" i="1"/>
  <c r="P86" i="1"/>
  <c r="C71" i="6" s="1"/>
  <c r="G38" i="8"/>
  <c r="H74" i="6" l="1"/>
  <c r="G72" i="6"/>
  <c r="H72" i="6" s="1"/>
  <c r="B18" i="6"/>
  <c r="B5" i="14"/>
  <c r="AF73" i="1"/>
  <c r="AG73" i="1"/>
  <c r="E15" i="10"/>
  <c r="F15" i="10" s="1"/>
  <c r="D16" i="19"/>
  <c r="C127" i="6"/>
  <c r="C129" i="6" s="1"/>
  <c r="H51" i="6"/>
  <c r="H53" i="6" s="1"/>
  <c r="G49" i="6" s="1"/>
  <c r="AA44" i="1"/>
  <c r="AA48" i="1" s="1"/>
  <c r="AC44" i="1"/>
  <c r="AC48" i="1" s="1"/>
  <c r="P88" i="1"/>
  <c r="P93" i="1" s="1"/>
  <c r="H52" i="6" l="1"/>
  <c r="F49" i="6"/>
  <c r="G51" i="6"/>
  <c r="G50" i="6"/>
  <c r="F11" i="18" l="1"/>
  <c r="C74" i="6"/>
  <c r="C75" i="6" s="1"/>
  <c r="H75" i="6"/>
  <c r="F51" i="6"/>
  <c r="G52" i="6"/>
  <c r="F50" i="6"/>
  <c r="G53" i="6"/>
  <c r="H15" i="10"/>
  <c r="J15" i="10" s="1"/>
  <c r="B23" i="6" s="1"/>
  <c r="H16" i="10"/>
  <c r="J16" i="10" s="1"/>
  <c r="B24" i="6" s="1"/>
  <c r="F12" i="18" l="1"/>
  <c r="G12" i="18" s="1"/>
  <c r="G11" i="18"/>
  <c r="C98" i="6"/>
  <c r="F52" i="6"/>
  <c r="F53" i="6"/>
  <c r="C101" i="6" l="1"/>
  <c r="B106" i="6" l="1"/>
  <c r="K37" i="8" s="1"/>
  <c r="B32" i="8"/>
  <c r="J15" i="8" s="1"/>
  <c r="K32" i="8"/>
  <c r="C105" i="6"/>
  <c r="K9" i="19"/>
  <c r="K23" i="19" s="1"/>
  <c r="K10" i="19"/>
  <c r="K24" i="19" s="1"/>
  <c r="B37" i="8"/>
  <c r="C31" i="6"/>
  <c r="N32" i="8" l="1"/>
  <c r="O32" i="8" s="1"/>
  <c r="L32" i="8"/>
  <c r="N37" i="8"/>
  <c r="O37" i="8" s="1"/>
  <c r="N16" i="8" s="1"/>
  <c r="L37" i="8"/>
  <c r="L16" i="8" s="1"/>
  <c r="J16" i="8"/>
  <c r="J9" i="8"/>
  <c r="H14" i="10"/>
  <c r="H17" i="10" s="1"/>
  <c r="G17" i="10"/>
  <c r="L15" i="8" l="1"/>
  <c r="L9" i="8"/>
  <c r="N9" i="8"/>
  <c r="N15" i="8"/>
  <c r="G18" i="10"/>
  <c r="J14" i="10"/>
  <c r="B22" i="6" s="1"/>
  <c r="C25" i="6" l="1"/>
  <c r="J17" i="10"/>
  <c r="B21" i="6" s="1"/>
  <c r="C79" i="6" l="1"/>
  <c r="G79" i="6" s="1"/>
  <c r="H79" i="6" s="1"/>
  <c r="I22" i="20" l="1"/>
  <c r="N22" i="20" l="1"/>
  <c r="I24" i="20"/>
  <c r="N24" i="20"/>
  <c r="I23" i="20"/>
  <c r="N23" i="20" s="1"/>
  <c r="I25" i="20"/>
  <c r="N25" i="20" s="1"/>
  <c r="I27" i="20"/>
  <c r="N27" i="20" s="1"/>
  <c r="I26" i="20"/>
  <c r="N26" i="20" l="1"/>
  <c r="N28" i="20"/>
  <c r="N29" i="20" s="1"/>
  <c r="J29" i="20"/>
  <c r="J28" i="20"/>
  <c r="I29" i="20"/>
  <c r="T34" i="24" l="1"/>
  <c r="C74" i="1"/>
  <c r="AC74" i="1" l="1"/>
  <c r="AG74" i="1" l="1"/>
  <c r="AF74" i="1"/>
  <c r="C50" i="6" l="1"/>
  <c r="C51" i="6" l="1"/>
  <c r="C52" i="6" l="1"/>
  <c r="C49" i="6"/>
  <c r="B25" i="6"/>
  <c r="C53" i="6" l="1"/>
  <c r="B10" i="14"/>
  <c r="U35" i="24" l="1"/>
  <c r="C85" i="1" s="1"/>
  <c r="AC85" i="1" s="1"/>
  <c r="AF85" i="1" l="1"/>
  <c r="AC86" i="1"/>
  <c r="AC88" i="1" s="1"/>
  <c r="AC93" i="1" s="1"/>
  <c r="C86" i="1"/>
  <c r="C65" i="6" s="1"/>
  <c r="AG85" i="1"/>
  <c r="C88" i="1" l="1"/>
  <c r="E14" i="10"/>
  <c r="E7" i="19"/>
  <c r="H67" i="6" l="1"/>
  <c r="E21" i="19"/>
  <c r="F7" i="19"/>
  <c r="F16" i="19" s="1"/>
  <c r="E17" i="10"/>
  <c r="F14" i="10"/>
  <c r="F17" i="10" s="1"/>
  <c r="F10" i="18" l="1"/>
  <c r="H68" i="6"/>
  <c r="C67" i="6"/>
  <c r="C68" i="6" s="1"/>
  <c r="K31" i="8" s="1"/>
  <c r="N31" i="8" l="1"/>
  <c r="O31" i="8" s="1"/>
  <c r="L31" i="8"/>
  <c r="B31" i="8"/>
  <c r="K7" i="19"/>
  <c r="K21" i="19" s="1"/>
  <c r="F15" i="18"/>
  <c r="F25" i="18" s="1"/>
  <c r="G10" i="18"/>
  <c r="L8" i="8" l="1"/>
  <c r="L13" i="8"/>
  <c r="N13" i="8"/>
  <c r="N8" i="8"/>
  <c r="J8" i="8"/>
  <c r="J13" i="8"/>
  <c r="F24" i="18"/>
  <c r="G15" i="18"/>
  <c r="H10" i="18" s="1"/>
  <c r="H24" i="18" l="1"/>
  <c r="H14" i="18"/>
  <c r="H11" i="18"/>
  <c r="H12" i="18"/>
  <c r="H13" i="18"/>
  <c r="H26" i="18" l="1"/>
  <c r="H15" i="18"/>
  <c r="D34" i="6"/>
  <c r="H25" i="18"/>
  <c r="D36" i="6"/>
  <c r="C36" i="6" s="1"/>
  <c r="D35" i="6" l="1"/>
  <c r="C35" i="6" s="1"/>
  <c r="C34" i="6"/>
  <c r="F37" i="6"/>
  <c r="D37" i="6" l="1"/>
  <c r="C37" i="6"/>
  <c r="C39" i="6" s="1"/>
  <c r="C41" i="6" s="1"/>
  <c r="C40" i="6" l="1"/>
  <c r="X24" i="10"/>
  <c r="AD14" i="10"/>
  <c r="AD24" i="10" l="1"/>
  <c r="AE25" i="10" s="1"/>
  <c r="AC24" i="10"/>
  <c r="AC25" i="10" s="1"/>
  <c r="AD25" i="10" s="1"/>
  <c r="I32" i="10"/>
  <c r="J32" i="10" s="1"/>
  <c r="I31" i="10" l="1"/>
  <c r="J31" i="10" s="1"/>
  <c r="I30" i="10"/>
  <c r="J30" i="10" s="1"/>
  <c r="J33" i="10" l="1"/>
  <c r="I33" i="10"/>
  <c r="K32" i="10" l="1"/>
  <c r="K31" i="10"/>
  <c r="K30" i="10"/>
  <c r="L30" i="10" l="1"/>
  <c r="B28" i="6" s="1"/>
  <c r="D28" i="6"/>
  <c r="L32" i="10"/>
  <c r="D30" i="6"/>
  <c r="L31" i="10"/>
  <c r="D29" i="6"/>
  <c r="B24" i="14"/>
  <c r="B25" i="14"/>
  <c r="B26" i="14" s="1"/>
  <c r="B30" i="6" l="1"/>
  <c r="D51" i="6" s="1"/>
  <c r="B29" i="6"/>
  <c r="D50" i="6" s="1"/>
  <c r="D31" i="6"/>
  <c r="D39" i="6" s="1"/>
  <c r="D41" i="6" s="1"/>
  <c r="D40" i="6" s="1"/>
  <c r="L33" i="10"/>
  <c r="D52" i="6" l="1"/>
  <c r="B11" i="14"/>
  <c r="B27" i="6"/>
  <c r="D49" i="6" l="1"/>
  <c r="D53" i="6" s="1"/>
  <c r="B31" i="6"/>
  <c r="B33" i="6" l="1"/>
  <c r="B12" i="14"/>
  <c r="B13" i="14" s="1"/>
  <c r="B15" i="14" s="1"/>
  <c r="B35" i="6" l="1"/>
  <c r="E50" i="6" s="1"/>
  <c r="B50" i="6" s="1"/>
  <c r="D75" i="6" s="1"/>
  <c r="E75" i="6" s="1"/>
  <c r="B88" i="6" s="1"/>
  <c r="D88" i="6" s="1"/>
  <c r="B36" i="6"/>
  <c r="E51" i="6" s="1"/>
  <c r="B51" i="6" s="1"/>
  <c r="D81" i="6" s="1"/>
  <c r="B34" i="6"/>
  <c r="E49" i="6" s="1"/>
  <c r="B49" i="6" s="1"/>
  <c r="D68" i="6" s="1"/>
  <c r="B16" i="14"/>
  <c r="B17" i="14" s="1"/>
  <c r="E53" i="6" l="1"/>
  <c r="B53" i="6" s="1"/>
  <c r="B37" i="6"/>
  <c r="E52" i="6"/>
  <c r="B52" i="6" s="1"/>
  <c r="E98" i="6"/>
  <c r="C99" i="6" s="1"/>
  <c r="D83" i="6"/>
  <c r="E68" i="6"/>
  <c r="B87" i="6" s="1"/>
  <c r="D87" i="6" s="1"/>
  <c r="H81" i="6"/>
  <c r="H83" i="6" s="1"/>
  <c r="K15" i="19"/>
  <c r="C80" i="6"/>
  <c r="C81" i="6" s="1"/>
  <c r="B39" i="6" l="1"/>
  <c r="B40" i="6" s="1"/>
  <c r="B41" i="6" s="1"/>
  <c r="I7" i="19" s="1"/>
  <c r="G39" i="6"/>
  <c r="D101" i="6"/>
  <c r="E101" i="6" s="1"/>
  <c r="G32" i="8" s="1"/>
  <c r="C9" i="8"/>
  <c r="D99" i="6"/>
  <c r="C8" i="8"/>
  <c r="C115" i="6"/>
  <c r="C118" i="6" s="1"/>
  <c r="E81" i="6"/>
  <c r="B89" i="6" s="1"/>
  <c r="D89" i="6" s="1"/>
  <c r="C83" i="6"/>
  <c r="K29" i="19"/>
  <c r="B41" i="8"/>
  <c r="B123" i="6" l="1"/>
  <c r="K33" i="8"/>
  <c r="K13" i="19"/>
  <c r="C23" i="8"/>
  <c r="G23" i="8" s="1"/>
  <c r="L47" i="8"/>
  <c r="J11" i="19"/>
  <c r="L11" i="19" s="1"/>
  <c r="J9" i="19"/>
  <c r="L9" i="19" s="1"/>
  <c r="J10" i="19"/>
  <c r="L10" i="19" s="1"/>
  <c r="J15" i="19"/>
  <c r="L15" i="19" s="1"/>
  <c r="J13" i="19"/>
  <c r="J7" i="19"/>
  <c r="L7" i="19" s="1"/>
  <c r="J14" i="19"/>
  <c r="I21" i="19"/>
  <c r="J25" i="19" s="1"/>
  <c r="L25" i="19" s="1"/>
  <c r="C20" i="8"/>
  <c r="D44" i="8" s="1"/>
  <c r="D32" i="8"/>
  <c r="G9" i="8"/>
  <c r="P9" i="19"/>
  <c r="P23" i="19" s="1"/>
  <c r="D102" i="6"/>
  <c r="D110" i="6" s="1"/>
  <c r="E109" i="6" s="1"/>
  <c r="G44" i="8"/>
  <c r="G8" i="8"/>
  <c r="P7" i="19"/>
  <c r="P21" i="19" s="1"/>
  <c r="D31" i="8"/>
  <c r="G31" i="8"/>
  <c r="B40" i="8"/>
  <c r="J19" i="8" s="1"/>
  <c r="B33" i="8"/>
  <c r="D118" i="6"/>
  <c r="E118" i="6" s="1"/>
  <c r="G33" i="8" s="1"/>
  <c r="C123" i="6"/>
  <c r="K27" i="19"/>
  <c r="C10" i="8"/>
  <c r="E115" i="6"/>
  <c r="G41" i="8"/>
  <c r="B68" i="6"/>
  <c r="B75" i="6"/>
  <c r="E83" i="6"/>
  <c r="B90" i="6" s="1"/>
  <c r="D90" i="6" s="1"/>
  <c r="D116" i="6"/>
  <c r="B81" i="6"/>
  <c r="K32" i="19"/>
  <c r="L13" i="19" l="1"/>
  <c r="N33" i="8"/>
  <c r="O33" i="8" s="1"/>
  <c r="L33" i="8"/>
  <c r="K14" i="19"/>
  <c r="K28" i="19" s="1"/>
  <c r="K31" i="19" s="1"/>
  <c r="K40" i="8"/>
  <c r="K15" i="8"/>
  <c r="K13" i="8"/>
  <c r="K8" i="8"/>
  <c r="O47" i="8"/>
  <c r="J18" i="8"/>
  <c r="J20" i="8" s="1"/>
  <c r="J10" i="8"/>
  <c r="J11" i="8" s="1"/>
  <c r="J24" i="19"/>
  <c r="L24" i="19" s="1"/>
  <c r="E32" i="8"/>
  <c r="E44" i="8"/>
  <c r="J29" i="19"/>
  <c r="L29" i="19" s="1"/>
  <c r="J21" i="19"/>
  <c r="L21" i="19" s="1"/>
  <c r="S21" i="19" s="1"/>
  <c r="T21" i="19" s="1"/>
  <c r="J28" i="19"/>
  <c r="J23" i="19"/>
  <c r="L23" i="19" s="1"/>
  <c r="Q23" i="19" s="1"/>
  <c r="J27" i="19"/>
  <c r="L27" i="19" s="1"/>
  <c r="J16" i="19"/>
  <c r="G20" i="8"/>
  <c r="D107" i="6"/>
  <c r="D112" i="6" s="1"/>
  <c r="Q9" i="19"/>
  <c r="C15" i="8"/>
  <c r="Q7" i="19"/>
  <c r="E31" i="8"/>
  <c r="D119" i="6"/>
  <c r="D124" i="6" s="1"/>
  <c r="B83" i="6"/>
  <c r="P13" i="19"/>
  <c r="P27" i="19" s="1"/>
  <c r="D33" i="8"/>
  <c r="K18" i="8" s="1"/>
  <c r="G10" i="8"/>
  <c r="O46" i="8" l="1"/>
  <c r="L18" i="8"/>
  <c r="L28" i="19"/>
  <c r="N10" i="8"/>
  <c r="N11" i="8" s="1"/>
  <c r="N18" i="8"/>
  <c r="N20" i="8" s="1"/>
  <c r="N40" i="8"/>
  <c r="O40" i="8" s="1"/>
  <c r="N19" i="8" s="1"/>
  <c r="L40" i="8"/>
  <c r="L19" i="8" s="1"/>
  <c r="L14" i="19"/>
  <c r="O48" i="8"/>
  <c r="P47" i="8"/>
  <c r="M8" i="8"/>
  <c r="O8" i="8"/>
  <c r="M18" i="8"/>
  <c r="M13" i="8"/>
  <c r="O13" i="8"/>
  <c r="O15" i="8"/>
  <c r="M15" i="8"/>
  <c r="Q21" i="19"/>
  <c r="J30" i="19"/>
  <c r="S27" i="19"/>
  <c r="T27" i="19" s="1"/>
  <c r="V27" i="19" s="1"/>
  <c r="W27" i="19" s="1"/>
  <c r="S28" i="19"/>
  <c r="T28" i="19" s="1"/>
  <c r="V28" i="19" s="1"/>
  <c r="S25" i="19"/>
  <c r="T25" i="19" s="1"/>
  <c r="V25" i="19" s="1"/>
  <c r="S24" i="19"/>
  <c r="T24" i="19" s="1"/>
  <c r="V24" i="19" s="1"/>
  <c r="S29" i="19"/>
  <c r="T29" i="19" s="1"/>
  <c r="V29" i="19" s="1"/>
  <c r="S23" i="19"/>
  <c r="T23" i="19" s="1"/>
  <c r="V23" i="19" s="1"/>
  <c r="W23" i="19" s="1"/>
  <c r="D38" i="8"/>
  <c r="E106" i="6"/>
  <c r="C14" i="8" s="1"/>
  <c r="P11" i="19"/>
  <c r="G15" i="8"/>
  <c r="D127" i="6"/>
  <c r="E126" i="6" s="1"/>
  <c r="V21" i="19"/>
  <c r="W21" i="19" s="1"/>
  <c r="G37" i="8"/>
  <c r="Q13" i="19"/>
  <c r="Q27" i="19"/>
  <c r="E33" i="8"/>
  <c r="E123" i="6"/>
  <c r="O18" i="8" l="1"/>
  <c r="L20" i="8"/>
  <c r="L46" i="8"/>
  <c r="L48" i="8" s="1"/>
  <c r="L10" i="8"/>
  <c r="L11" i="8" s="1"/>
  <c r="E38" i="8"/>
  <c r="P10" i="19"/>
  <c r="P24" i="19" s="1"/>
  <c r="Q24" i="19" s="1"/>
  <c r="G14" i="8"/>
  <c r="D37" i="8"/>
  <c r="Q11" i="19"/>
  <c r="P25" i="19"/>
  <c r="Q25" i="19" s="1"/>
  <c r="C18" i="8"/>
  <c r="D129" i="6"/>
  <c r="C17" i="8"/>
  <c r="K10" i="8" l="1"/>
  <c r="K16" i="8"/>
  <c r="K9" i="8"/>
  <c r="O10" i="8"/>
  <c r="M10" i="8"/>
  <c r="Q10" i="19"/>
  <c r="W24" i="19"/>
  <c r="D41" i="8"/>
  <c r="E37" i="8"/>
  <c r="W25" i="19"/>
  <c r="P15" i="19"/>
  <c r="Q15" i="19" s="1"/>
  <c r="G18" i="8"/>
  <c r="D40" i="8"/>
  <c r="P14" i="19"/>
  <c r="G17" i="8"/>
  <c r="O16" i="8" l="1"/>
  <c r="M16" i="8"/>
  <c r="K19" i="8"/>
  <c r="K20" i="8" s="1"/>
  <c r="M9" i="8"/>
  <c r="O9" i="8"/>
  <c r="O11" i="8" s="1"/>
  <c r="K11" i="8"/>
  <c r="E41" i="8"/>
  <c r="P29" i="19"/>
  <c r="W29" i="19" s="1"/>
  <c r="G40" i="8"/>
  <c r="P28" i="19"/>
  <c r="Q14" i="19"/>
  <c r="E40" i="8"/>
  <c r="O19" i="8" l="1"/>
  <c r="O20" i="8" s="1"/>
  <c r="M19" i="8"/>
  <c r="M20" i="8" s="1"/>
  <c r="Q29" i="19"/>
  <c r="W28" i="19"/>
  <c r="Q28" i="19"/>
  <c r="M1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tc={868A9134-91CA-4557-8B61-E80A7705F4BF}</author>
    <author>tc={26F91F11-45C1-4611-8CFC-339B058E0202}</author>
  </authors>
  <commentList>
    <comment ref="C307" authorId="0" shapeId="0" xr:uid="{868A9134-91CA-4557-8B61-E80A7705F4BF}">
      <text>
        <t>[Threaded comment]
Your version of Excel allows you to read this threaded comment; however, any edits to it will get removed if the file is opened in a newer version of Excel. Learn more: https://go.microsoft.com/fwlink/?linkid=870924
Comment:
    used avg for Jan-Aug of 314 kWh per kW</t>
      </text>
    </comment>
    <comment ref="C462" authorId="1" shapeId="0" xr:uid="{26F91F11-45C1-4611-8CFC-339B058E0202}">
      <text>
        <t>[Threaded comment]
Your version of Excel allows you to read this threaded comment; however, any edits to it will get removed if the file is opened in a newer version of Excel. Learn more: https://go.microsoft.com/fwlink/?linkid=870924
Comment:
    used avg for year of 414-was 43,179</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tc={499FC7D8-B702-42FF-AA94-4F51DCBB11AA}</author>
    <author>tc={6E71F013-C795-4AD2-9130-952D1D531953}</author>
    <author>tc={F3984526-BE22-401B-B39F-8FB6135CB3A4}</author>
    <author>tc={19462927-1F59-4F39-987E-45BE90E3122F}</author>
    <author>tc={09F3AD63-6537-4791-88E1-773B3864C08F}</author>
    <author>tc={1EE152C7-ED08-4151-9C42-4CB8DA1C87B0}</author>
    <author>tc={B23A4354-F6D3-404A-AB8D-ECC756CF372F}</author>
  </authors>
  <commentList>
    <comment ref="P11" authorId="0" shapeId="0" xr:uid="{499FC7D8-B702-42FF-AA94-4F51DCBB11AA}">
      <text>
        <t>[Threaded comment]
Your version of Excel allows you to read this threaded comment; however, any edits to it will get removed if the file is opened in a newer version of Excel. Learn more: https://go.microsoft.com/fwlink/?linkid=870924
Comment:
    https://www.nrel.gov/docs/fy07osti/41219.pdf</t>
      </text>
    </comment>
    <comment ref="R17" authorId="1" shapeId="0" xr:uid="{6E71F013-C795-4AD2-9130-952D1D531953}">
      <text>
        <t>[Threaded comment]
Your version of Excel allows you to read this threaded comment; however, any edits to it will get removed if the file is opened in a newer version of Excel. Learn more: https://go.microsoft.com/fwlink/?linkid=870924
Comment:
    NREL VT guide 1500 kwh per kw</t>
      </text>
    </comment>
    <comment ref="N26" authorId="2" shapeId="0" xr:uid="{F3984526-BE22-401B-B39F-8FB6135CB3A4}">
      <text>
        <t>[Threaded comment]
Your version of Excel allows you to read this threaded comment; however, any edits to it will get removed if the file is opened in a newer version of Excel. Learn more: https://go.microsoft.com/fwlink/?linkid=870924
Comment:
    Used VEC rate of res vs total installs</t>
      </text>
    </comment>
    <comment ref="L27" authorId="3" shapeId="0" xr:uid="{19462927-1F59-4F39-987E-45BE90E3122F}">
      <text>
        <t>[Threaded comment]
Your version of Excel allows you to read this threaded comment; however, any edits to it will get removed if the file is opened in a newer version of Excel. Learn more: https://go.microsoft.com/fwlink/?linkid=870924
Comment:
    for systems smaller than 15kW-assumed that all demand and large arrays are before the meter so customer sales already included in the DU reported sales values</t>
      </text>
    </comment>
    <comment ref="G53" authorId="4" shapeId="0" xr:uid="{09F3AD63-6537-4791-88E1-773B3864C08F}">
      <text>
        <t>[Threaded comment]
Your version of Excel allows you to read this threaded comment; however, any edits to it will get removed if the file is opened in a newer version of Excel. Learn more: https://go.microsoft.com/fwlink/?linkid=870924
Comment:
    &lt;= 2016</t>
      </text>
    </comment>
    <comment ref="I53" authorId="5" shapeId="0" xr:uid="{1EE152C7-ED08-4151-9C42-4CB8DA1C87B0}">
      <text>
        <t>[Threaded comment]
Your version of Excel allows you to read this threaded comment; however, any edits to it will get removed if the file is opened in a newer version of Excel. Learn more: https://go.microsoft.com/fwlink/?linkid=870924
Comment:
    January 1, 2017-June 30, 2018</t>
      </text>
    </comment>
    <comment ref="K53" authorId="6" shapeId="0" xr:uid="{B23A4354-F6D3-404A-AB8D-ECC756CF372F}">
      <text>
        <t>[Threaded comment]
Your version of Excel allows you to read this threaded comment; however, any edits to it will get removed if the file is opened in a newer version of Excel. Learn more: https://go.microsoft.com/fwlink/?linkid=870924
Comment:
    &gt; July 1, 2018</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AB21" authorId="0" shapeId="0" xr:uid="{E262159C-C0FB-4E02-9B2C-F4205EC9AF33}">
      <text>
        <r>
          <rPr>
            <b/>
            <sz val="9"/>
            <color indexed="81"/>
            <rFont val="Tahoma"/>
            <family val="2"/>
          </rPr>
          <t>Jim Massie:</t>
        </r>
        <r>
          <rPr>
            <sz val="9"/>
            <color indexed="81"/>
            <rFont val="Tahoma"/>
            <family val="2"/>
          </rPr>
          <t xml:space="preserve">
don't know what this is</t>
        </r>
      </text>
    </comment>
    <comment ref="AB92" authorId="0" shapeId="0" xr:uid="{D5321175-BA41-47CD-8E02-547B40C2BAAA}">
      <text>
        <r>
          <rPr>
            <b/>
            <sz val="9"/>
            <color indexed="81"/>
            <rFont val="Tahoma"/>
            <family val="2"/>
          </rPr>
          <t>Jim Massie:</t>
        </r>
        <r>
          <rPr>
            <sz val="9"/>
            <color indexed="81"/>
            <rFont val="Tahoma"/>
            <family val="2"/>
          </rPr>
          <t xml:space="preserve">
don't know what this is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Jim Massie</author>
    <author>tc={22FCC068-CFCB-44C1-A1F9-7EE3B918ED9F}</author>
    <author>tc={31381200-9B67-46DA-B2B5-0D8456534B2A}</author>
    <author>tc={A45BADA6-9663-40FB-B723-73DFAC77E678}</author>
  </authors>
  <commentList>
    <comment ref="AB72" authorId="0" shapeId="0" xr:uid="{00000000-0006-0000-0100-000001000000}">
      <text>
        <r>
          <rPr>
            <b/>
            <sz val="9"/>
            <color indexed="81"/>
            <rFont val="Tahoma"/>
            <family val="2"/>
          </rPr>
          <t>Jim Massie:</t>
        </r>
        <r>
          <rPr>
            <sz val="9"/>
            <color indexed="81"/>
            <rFont val="Tahoma"/>
            <family val="2"/>
          </rPr>
          <t xml:space="preserve">
don't know what this is</t>
        </r>
      </text>
    </comment>
    <comment ref="G76" authorId="1" shapeId="0" xr:uid="{22FCC068-CFCB-44C1-A1F9-7EE3B918ED9F}">
      <text>
        <t>[Threaded comment]
Your version of Excel allows you to read this threaded comment; however, any edits to it will get removed if the file is opened in a newer version of Excel. Learn more: https://go.microsoft.com/fwlink/?linkid=870924
Comment:
    appears to be missing a month of data</t>
      </text>
    </comment>
    <comment ref="K76" authorId="2" shapeId="0" xr:uid="{31381200-9B67-46DA-B2B5-0D8456534B2A}">
      <text>
        <t>[Threaded comment]
Your version of Excel allows you to read this threaded comment; however, any edits to it will get removed if the file is opened in a newer version of Excel. Learn more: https://go.microsoft.com/fwlink/?linkid=870924
Comment:
    appears to be missing a month of data</t>
      </text>
    </comment>
    <comment ref="AH83" authorId="3" shapeId="0" xr:uid="{A45BADA6-9663-40FB-B723-73DFAC77E678}">
      <text>
        <t>[Threaded comment]
Your version of Excel allows you to read this threaded comment; however, any edits to it will get removed if the file is opened in a newer version of Excel. Learn more: https://go.microsoft.com/fwlink/?linkid=870924
Comment:
    Swanton is not sure why 2019 CD was so high</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C5" authorId="0" shapeId="0" xr:uid="{00000000-0006-0000-0200-000001000000}">
      <text>
        <r>
          <rPr>
            <b/>
            <sz val="9"/>
            <color indexed="81"/>
            <rFont val="Tahoma"/>
            <family val="2"/>
          </rPr>
          <t>Jim Massie:</t>
        </r>
        <r>
          <rPr>
            <sz val="9"/>
            <color indexed="81"/>
            <rFont val="Tahoma"/>
            <family val="2"/>
          </rPr>
          <t xml:space="preserve">
updated values to 2019
</t>
        </r>
      </text>
    </comment>
    <comment ref="D5" authorId="0" shapeId="0" xr:uid="{00000000-0006-0000-0200-000002000000}">
      <text>
        <r>
          <rPr>
            <b/>
            <sz val="9"/>
            <color indexed="81"/>
            <rFont val="Tahoma"/>
            <family val="2"/>
          </rPr>
          <t>Jim Massie:</t>
        </r>
        <r>
          <rPr>
            <sz val="9"/>
            <color indexed="81"/>
            <rFont val="Tahoma"/>
            <family val="2"/>
          </rPr>
          <t xml:space="preserve">
update values to 2019
</t>
        </r>
      </text>
    </comment>
    <comment ref="E5" authorId="0" shapeId="0" xr:uid="{00000000-0006-0000-0200-000003000000}">
      <text>
        <r>
          <rPr>
            <b/>
            <sz val="9"/>
            <color indexed="81"/>
            <rFont val="Tahoma"/>
            <family val="2"/>
          </rPr>
          <t>Jim Massie:</t>
        </r>
        <r>
          <rPr>
            <sz val="9"/>
            <color indexed="81"/>
            <rFont val="Tahoma"/>
            <family val="2"/>
          </rPr>
          <t xml:space="preserve">
update values to 2019
</t>
        </r>
      </text>
    </comment>
    <comment ref="G5" authorId="0" shapeId="0" xr:uid="{00000000-0006-0000-0200-000004000000}">
      <text>
        <r>
          <rPr>
            <b/>
            <sz val="9"/>
            <color indexed="81"/>
            <rFont val="Tahoma"/>
            <family val="2"/>
          </rPr>
          <t>Jim Massie:</t>
        </r>
        <r>
          <rPr>
            <sz val="9"/>
            <color indexed="81"/>
            <rFont val="Tahoma"/>
            <family val="2"/>
          </rPr>
          <t xml:space="preserve">
10x uncollecitibles for 2020 Estimate due to COVID 19</t>
        </r>
      </text>
    </comment>
    <comment ref="I5" authorId="0" shapeId="0" xr:uid="{00000000-0006-0000-0200-000005000000}">
      <text>
        <r>
          <rPr>
            <b/>
            <sz val="9"/>
            <color indexed="81"/>
            <rFont val="Tahoma"/>
            <family val="2"/>
          </rPr>
          <t>Jim Massie:</t>
        </r>
        <r>
          <rPr>
            <sz val="9"/>
            <color indexed="81"/>
            <rFont val="Tahoma"/>
            <family val="2"/>
          </rPr>
          <t xml:space="preserve">
update values to 2018</t>
        </r>
      </text>
    </comment>
    <comment ref="J5" authorId="0" shapeId="0" xr:uid="{00000000-0006-0000-0200-000006000000}">
      <text>
        <r>
          <rPr>
            <b/>
            <sz val="9"/>
            <color indexed="81"/>
            <rFont val="Tahoma"/>
            <family val="2"/>
          </rPr>
          <t>Jim Massie:</t>
        </r>
        <r>
          <rPr>
            <sz val="9"/>
            <color indexed="81"/>
            <rFont val="Tahoma"/>
            <family val="2"/>
          </rPr>
          <t xml:space="preserve">
update values to 2018</t>
        </r>
      </text>
    </comment>
    <comment ref="K5" authorId="0" shapeId="0" xr:uid="{00000000-0006-0000-0200-000007000000}">
      <text>
        <r>
          <rPr>
            <b/>
            <sz val="9"/>
            <color indexed="81"/>
            <rFont val="Tahoma"/>
            <family val="2"/>
          </rPr>
          <t>Jim Massie:</t>
        </r>
        <r>
          <rPr>
            <sz val="9"/>
            <color indexed="81"/>
            <rFont val="Tahoma"/>
            <family val="2"/>
          </rPr>
          <t xml:space="preserve">
update values to 2018</t>
        </r>
      </text>
    </comment>
    <comment ref="M5" authorId="0" shapeId="0" xr:uid="{00000000-0006-0000-0200-000008000000}">
      <text>
        <r>
          <rPr>
            <b/>
            <sz val="9"/>
            <color indexed="81"/>
            <rFont val="Tahoma"/>
            <family val="2"/>
          </rPr>
          <t>Jim Massie:</t>
        </r>
        <r>
          <rPr>
            <sz val="9"/>
            <color indexed="81"/>
            <rFont val="Tahoma"/>
            <family val="2"/>
          </rPr>
          <t xml:space="preserve">
update values to 2019</t>
        </r>
      </text>
    </comment>
    <comment ref="O5" authorId="0" shapeId="0" xr:uid="{00000000-0006-0000-0200-000009000000}">
      <text>
        <r>
          <rPr>
            <b/>
            <sz val="9"/>
            <color indexed="81"/>
            <rFont val="Tahoma"/>
            <family val="2"/>
          </rPr>
          <t>Jim Massie:</t>
        </r>
        <r>
          <rPr>
            <sz val="9"/>
            <color indexed="81"/>
            <rFont val="Tahoma"/>
            <family val="2"/>
          </rPr>
          <t xml:space="preserve">
update values to 2018</t>
        </r>
      </text>
    </comment>
    <comment ref="P5" authorId="0" shapeId="0" xr:uid="{00000000-0006-0000-0200-00000A000000}">
      <text>
        <r>
          <rPr>
            <b/>
            <sz val="9"/>
            <color indexed="81"/>
            <rFont val="Tahoma"/>
            <family val="2"/>
          </rPr>
          <t>Jim Massie:</t>
        </r>
        <r>
          <rPr>
            <sz val="9"/>
            <color indexed="81"/>
            <rFont val="Tahoma"/>
            <family val="2"/>
          </rPr>
          <t xml:space="preserve">
update values to 2018</t>
        </r>
      </text>
    </comment>
    <comment ref="Q5" authorId="0" shapeId="0" xr:uid="{00000000-0006-0000-0200-00000B000000}">
      <text>
        <r>
          <rPr>
            <b/>
            <sz val="9"/>
            <color indexed="81"/>
            <rFont val="Tahoma"/>
            <family val="2"/>
          </rPr>
          <t>Jim Massie:</t>
        </r>
        <r>
          <rPr>
            <sz val="9"/>
            <color indexed="81"/>
            <rFont val="Tahoma"/>
            <family val="2"/>
          </rPr>
          <t xml:space="preserve">
update values to 2018</t>
        </r>
      </text>
    </comment>
    <comment ref="S5" authorId="0" shapeId="0" xr:uid="{00000000-0006-0000-0200-00000C000000}">
      <text>
        <r>
          <rPr>
            <b/>
            <sz val="9"/>
            <color indexed="81"/>
            <rFont val="Tahoma"/>
            <family val="2"/>
          </rPr>
          <t>Jim Massie:</t>
        </r>
        <r>
          <rPr>
            <sz val="9"/>
            <color indexed="81"/>
            <rFont val="Tahoma"/>
            <family val="2"/>
          </rPr>
          <t xml:space="preserve">
update values to 2019</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tc={297590B8-99FC-4E66-80D4-624051554D0D}</author>
    <author>Jim Massie</author>
  </authors>
  <commentList>
    <comment ref="C9" authorId="0" shapeId="0" xr:uid="{297590B8-99FC-4E66-80D4-624051554D0D}">
      <text>
        <t>[Threaded comment]
Your version of Excel allows you to read this threaded comment; however, any edits to it will get removed if the file is opened in a newer version of Excel. Learn more: https://go.microsoft.com/fwlink/?linkid=870924
Comment:
    waiting on data back from GMP to update the allocations</t>
      </text>
    </comment>
    <comment ref="C15" authorId="1" shapeId="0" xr:uid="{E5E319AC-7321-4EBA-99E1-405F8FD21C07}">
      <text>
        <r>
          <rPr>
            <b/>
            <sz val="9"/>
            <color indexed="81"/>
            <rFont val="Tahoma"/>
            <family val="2"/>
          </rPr>
          <t>Jim Massie:</t>
        </r>
        <r>
          <rPr>
            <sz val="9"/>
            <color indexed="81"/>
            <rFont val="Tahoma"/>
            <family val="2"/>
          </rPr>
          <t xml:space="preserve">
I used only half of what EAN dashboard reports (243,000 MW) at the end of 2017. NM customers had to pay EEC after that  https://www.vtenergydashboard.org/statistics
The 243 MW matches the Itron values provided  in JP presentation to regulatory team on 6/22/20. 
Then only used 6 months for 2021 since being implemented July 1, 2021</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Jim Massie</author>
    <author>tc={2DE529A7-0EC0-4DB4-9F6C-C6217B625E00}</author>
    <author>tc={3510338A-6A28-4C07-A422-241BC76A54A5}</author>
    <author>tc={438DE5BE-F529-4E86-808F-E40E3A9529CF}</author>
    <author>tc={A67D1BFE-6932-4827-B9B7-CBE3499D1A50}</author>
    <author>tc={35CCC802-1B29-41A4-BB66-4648427AB584}</author>
    <author>tc={EF4C50C9-0931-490A-8291-8729C0B7C841}</author>
    <author>tc={DE0F6184-5C02-40C9-B431-0810F2DD11E6}</author>
    <author>tc={AA1BB81E-AB0E-4278-BDD4-0344D548A9A8}</author>
    <author>tc={634FDF29-5631-4115-AD21-177EE0F28642}</author>
    <author>tc={762B8C6E-2F3A-458B-9D5C-166180FEEFFD}</author>
    <author>tc={4498688A-B756-4AF5-834D-A1BDEC5769CA}</author>
    <author>tc={E24A4EDD-66AE-404F-9E22-F79EE7C4505C}</author>
    <author>tc={6E03ABA0-6814-480D-AC28-AEFD5D747D95}</author>
  </authors>
  <commentList>
    <comment ref="B7" authorId="0" shapeId="0" xr:uid="{00000000-0006-0000-0300-000002000000}">
      <text>
        <r>
          <rPr>
            <b/>
            <sz val="9"/>
            <color indexed="81"/>
            <rFont val="Tahoma"/>
            <family val="2"/>
          </rPr>
          <t>Jim Massie:</t>
        </r>
        <r>
          <rPr>
            <sz val="9"/>
            <color indexed="81"/>
            <rFont val="Tahoma"/>
            <family val="2"/>
          </rPr>
          <t xml:space="preserve">
change this to 2019</t>
        </r>
      </text>
    </comment>
    <comment ref="E11" authorId="1" shapeId="0" xr:uid="{2DE529A7-0EC0-4DB4-9F6C-C6217B625E00}">
      <text>
        <t>[Threaded comment]
Your version of Excel allows you to read this threaded comment; however, any edits to it will get removed if the file is opened in a newer version of Excel. Learn more: https://go.microsoft.com/fwlink/?linkid=870924
Comment:
    excludes the Other sales which are for former CVPS Claremont NH and no EEC is collected</t>
      </text>
    </comment>
    <comment ref="K11" authorId="0" shapeId="0" xr:uid="{00000000-0006-0000-0300-000005000000}">
      <text>
        <r>
          <rPr>
            <b/>
            <sz val="9"/>
            <color indexed="81"/>
            <rFont val="Tahoma"/>
            <family val="2"/>
          </rPr>
          <t>Jim Massie:</t>
        </r>
        <r>
          <rPr>
            <sz val="9"/>
            <color indexed="81"/>
            <rFont val="Tahoma"/>
            <family val="2"/>
          </rPr>
          <t xml:space="preserve">
2019 EEC Rates approved by the PUC </t>
        </r>
      </text>
    </comment>
    <comment ref="V11" authorId="2" shapeId="0" xr:uid="{3510338A-6A28-4C07-A422-241BC76A54A5}">
      <text>
        <t>[Threaded comment]
Your version of Excel allows you to read this threaded comment; however, any edits to it will get removed if the file is opened in a newer version of Excel. Learn more: https://go.microsoft.com/fwlink/?linkid=870924
Comment:
    Assumed they owe 10K per month and that even though they paid for Oct-Nov 2019 they will miss three months in 2020</t>
      </text>
    </comment>
    <comment ref="C12" authorId="3" shapeId="0" xr:uid="{438DE5BE-F529-4E86-808F-E40E3A9529CF}">
      <text>
        <t>[Threaded comment]
Your version of Excel allows you to read this threaded comment; however, any edits to it will get removed if the file is opened in a newer version of Excel. Learn more: https://go.microsoft.com/fwlink/?linkid=870924
Comment:
    the Commission ordered that residential rates decrease by 3% from 2018 and that othr rates remain flat. On July 1 a 0.25% increase was added to GRT and it was not budgeted</t>
      </text>
    </comment>
    <comment ref="F12" authorId="0" shapeId="0" xr:uid="{E6677F80-0259-49F0-B91B-54E139ADC5F7}">
      <text>
        <r>
          <rPr>
            <b/>
            <sz val="9"/>
            <color indexed="81"/>
            <rFont val="Tahoma"/>
            <family val="2"/>
          </rPr>
          <t>Jim Massie:</t>
        </r>
        <r>
          <rPr>
            <sz val="9"/>
            <color indexed="81"/>
            <rFont val="Tahoma"/>
            <family val="2"/>
          </rPr>
          <t xml:space="preserve">
Tax rate went from 1% to 1.25% in July 2019-was budgeted at 1%</t>
        </r>
      </text>
    </comment>
    <comment ref="G13" authorId="0" shapeId="0" xr:uid="{00000000-0006-0000-0300-000009000000}">
      <text>
        <r>
          <rPr>
            <b/>
            <sz val="9"/>
            <color indexed="81"/>
            <rFont val="Tahoma"/>
            <family val="2"/>
          </rPr>
          <t>Jim Massie:</t>
        </r>
        <r>
          <rPr>
            <sz val="9"/>
            <color indexed="81"/>
            <rFont val="Tahoma"/>
            <family val="2"/>
          </rPr>
          <t xml:space="preserve">
from actual Fiscal Agent Transaction Report "2019 Vermont Energy Efficiency Fund Sales by Customer Detail.xlsx"-values adjusted for additional tax that was not reported</t>
        </r>
      </text>
    </comment>
    <comment ref="C14" authorId="0" shapeId="0" xr:uid="{00000000-0006-0000-0300-00000A000000}">
      <text>
        <r>
          <rPr>
            <b/>
            <sz val="9"/>
            <color indexed="81"/>
            <rFont val="Tahoma"/>
            <family val="2"/>
          </rPr>
          <t>Jim Massie:</t>
        </r>
        <r>
          <rPr>
            <sz val="9"/>
            <color indexed="81"/>
            <rFont val="Tahoma"/>
            <family val="2"/>
          </rPr>
          <t xml:space="preserve">
from 2020 Efficiency Vermont EEC Charge Calculation "EEC Collection True-up" cell C30-however, the PUC ordered different rates in 2019 than were calculated. So multiplied the projected kWh times the approved rates</t>
        </r>
      </text>
    </comment>
    <comment ref="D14" authorId="0" shapeId="0" xr:uid="{00000000-0006-0000-0300-00000B000000}">
      <text>
        <r>
          <rPr>
            <b/>
            <sz val="9"/>
            <color indexed="81"/>
            <rFont val="Tahoma"/>
            <family val="2"/>
          </rPr>
          <t>Jim Massie:</t>
        </r>
        <r>
          <rPr>
            <sz val="9"/>
            <color indexed="81"/>
            <rFont val="Tahoma"/>
            <family val="2"/>
          </rPr>
          <t xml:space="preserve">
from 2020 Efficiency Vermont EEC Charge Calculation "EEC Collection True-up" cell D30 and PSD 2019 EEC  Calculation_DPS Final v2 "EEC Calculation" C76</t>
        </r>
      </text>
    </comment>
    <comment ref="I14" authorId="0" shapeId="0" xr:uid="{00000000-0006-0000-0300-00000C000000}">
      <text>
        <r>
          <rPr>
            <b/>
            <sz val="9"/>
            <color indexed="81"/>
            <rFont val="Tahoma"/>
            <family val="2"/>
          </rPr>
          <t>Jim Massie:</t>
        </r>
        <r>
          <rPr>
            <sz val="9"/>
            <color indexed="81"/>
            <rFont val="Tahoma"/>
            <family val="2"/>
          </rPr>
          <t xml:space="preserve">
from cell J30 of 2020 Efficiency Vermont EEC Calculation  "EEC Collection True-up"</t>
        </r>
      </text>
    </comment>
    <comment ref="K14" authorId="0" shapeId="0" xr:uid="{00000000-0006-0000-0300-00000D000000}">
      <text>
        <r>
          <rPr>
            <b/>
            <sz val="9"/>
            <color indexed="81"/>
            <rFont val="Tahoma"/>
            <family val="2"/>
          </rPr>
          <t>Jim Massie:</t>
        </r>
        <r>
          <rPr>
            <sz val="9"/>
            <color indexed="81"/>
            <rFont val="Tahoma"/>
            <family val="2"/>
          </rPr>
          <t xml:space="preserve">
2019
 EEC Rates approved by the PUC</t>
        </r>
      </text>
    </comment>
    <comment ref="C15" authorId="0" shapeId="0" xr:uid="{00000000-0006-0000-0300-00000E000000}">
      <text>
        <r>
          <rPr>
            <b/>
            <sz val="9"/>
            <color indexed="81"/>
            <rFont val="Tahoma"/>
            <family val="2"/>
          </rPr>
          <t>Jim Massie:</t>
        </r>
        <r>
          <rPr>
            <sz val="9"/>
            <color indexed="81"/>
            <rFont val="Tahoma"/>
            <family val="2"/>
          </rPr>
          <t xml:space="preserve">
from 2020 Efficiency Vermont EEC Charge Calculation "EEC Collection True-up" cell C31-however, the PUC ordered different rates in 2019 than were calculated. So multiplied the projected kWh times the approved rates avg (all revenue divided by all kWh)</t>
        </r>
      </text>
    </comment>
    <comment ref="D15" authorId="0" shapeId="0" xr:uid="{00000000-0006-0000-0300-00000F000000}">
      <text>
        <r>
          <rPr>
            <b/>
            <sz val="9"/>
            <color indexed="81"/>
            <rFont val="Tahoma"/>
            <family val="2"/>
          </rPr>
          <t>Jim Massie:</t>
        </r>
        <r>
          <rPr>
            <sz val="9"/>
            <color indexed="81"/>
            <rFont val="Tahoma"/>
            <family val="2"/>
          </rPr>
          <t xml:space="preserve">
from 2020 Efficiency Vermont EEC Charge Calculation "EEC Collection True-up" cell D31 and PSD 2019 EEC  Calculation_DPS Final v2 "EEC Calculation" C82</t>
        </r>
      </text>
    </comment>
    <comment ref="I15" authorId="0" shapeId="0" xr:uid="{00000000-0006-0000-0300-000010000000}">
      <text>
        <r>
          <rPr>
            <b/>
            <sz val="9"/>
            <color indexed="81"/>
            <rFont val="Tahoma"/>
            <family val="2"/>
          </rPr>
          <t>Jim Massie:</t>
        </r>
        <r>
          <rPr>
            <sz val="9"/>
            <color indexed="81"/>
            <rFont val="Tahoma"/>
            <family val="2"/>
          </rPr>
          <t xml:space="preserve">
from cell J31 of 2020 Efficiency Vermont EEC Calculation  "EEC Collection True-up"</t>
        </r>
      </text>
    </comment>
    <comment ref="K15" authorId="0" shapeId="0" xr:uid="{00000000-0006-0000-0300-000011000000}">
      <text>
        <r>
          <rPr>
            <b/>
            <sz val="9"/>
            <color indexed="81"/>
            <rFont val="Tahoma"/>
            <family val="2"/>
          </rPr>
          <t>Jim Massie:</t>
        </r>
        <r>
          <rPr>
            <sz val="9"/>
            <color indexed="81"/>
            <rFont val="Tahoma"/>
            <family val="2"/>
          </rPr>
          <t xml:space="preserve">
2019
 EEC Rates approved by the PUC</t>
        </r>
      </text>
    </comment>
    <comment ref="C16" authorId="0" shapeId="0" xr:uid="{F066D66F-5EB9-4319-A3FD-280C22330691}">
      <text>
        <r>
          <rPr>
            <b/>
            <sz val="9"/>
            <color indexed="81"/>
            <rFont val="Tahoma"/>
            <family val="2"/>
          </rPr>
          <t>Jim Massie:</t>
        </r>
        <r>
          <rPr>
            <sz val="9"/>
            <color indexed="81"/>
            <rFont val="Tahoma"/>
            <family val="2"/>
          </rPr>
          <t xml:space="preserve">
from 2020 Efficiency Vermont EEC Charge Calculation "EEC Collection True-up" cell C31-however, the PUC ordered different rates in 2019 than were calculated. So multiplied the projected kWh times the approved rates avg (all revenue divided by all kWh)</t>
        </r>
      </text>
    </comment>
    <comment ref="D16" authorId="0" shapeId="0" xr:uid="{00000000-0006-0000-0300-000014000000}">
      <text>
        <r>
          <rPr>
            <b/>
            <sz val="9"/>
            <color indexed="81"/>
            <rFont val="Tahoma"/>
            <family val="2"/>
          </rPr>
          <t>Jim Massie:</t>
        </r>
        <r>
          <rPr>
            <sz val="9"/>
            <color indexed="81"/>
            <rFont val="Tahoma"/>
            <family val="2"/>
          </rPr>
          <t xml:space="preserve">
from 2020 Efficiency Vermont EEC Charge Calculation "EEC Collection True-up" cell D32 and PSD 2019 EEC  Calculation_DPS Final v2 "EEC Calculation" C88</t>
        </r>
      </text>
    </comment>
    <comment ref="I16" authorId="0" shapeId="0" xr:uid="{00000000-0006-0000-0300-000015000000}">
      <text>
        <r>
          <rPr>
            <b/>
            <sz val="9"/>
            <color indexed="81"/>
            <rFont val="Tahoma"/>
            <family val="2"/>
          </rPr>
          <t>Jim Massie:</t>
        </r>
        <r>
          <rPr>
            <sz val="9"/>
            <color indexed="81"/>
            <rFont val="Tahoma"/>
            <family val="2"/>
          </rPr>
          <t xml:space="preserve">
from cell J32 of 2020 Efficiency Vermont EEC Calculation  "EEC Collection True-up"</t>
        </r>
      </text>
    </comment>
    <comment ref="K16" authorId="0" shapeId="0" xr:uid="{00000000-0006-0000-0300-000016000000}">
      <text>
        <r>
          <rPr>
            <b/>
            <sz val="9"/>
            <color indexed="81"/>
            <rFont val="Tahoma"/>
            <family val="2"/>
          </rPr>
          <t>Jim Massie:</t>
        </r>
        <r>
          <rPr>
            <sz val="9"/>
            <color indexed="81"/>
            <rFont val="Tahoma"/>
            <family val="2"/>
          </rPr>
          <t xml:space="preserve">
2019
 EEC Rates approved by the PUC</t>
        </r>
      </text>
    </comment>
    <comment ref="B23" authorId="0" shapeId="0" xr:uid="{00000000-0006-0000-0300-000017000000}">
      <text>
        <r>
          <rPr>
            <b/>
            <sz val="9"/>
            <color indexed="81"/>
            <rFont val="Tahoma"/>
            <family val="2"/>
          </rPr>
          <t>Jim Massie:</t>
        </r>
        <r>
          <rPr>
            <sz val="9"/>
            <color indexed="81"/>
            <rFont val="Tahoma"/>
            <family val="2"/>
          </rPr>
          <t xml:space="preserve">
change this to 2020</t>
        </r>
      </text>
    </comment>
    <comment ref="G26" authorId="4" shapeId="0" xr:uid="{A67D1BFE-6932-4827-B9B7-CBE3499D1A50}">
      <text>
        <t>[Threaded comment]
Your version of Excel allows you to read this threaded comment; however, any edits to it will get removed if the file is opened in a newer version of Excel. Learn more: https://go.microsoft.com/fwlink/?linkid=870924
Comment:
    net of new tax rate from 2015-2019 collections by month_082420-includes $22,012 from 2019 that is counted in 2020 due to timing</t>
      </text>
    </comment>
    <comment ref="G27" authorId="5" shapeId="0" xr:uid="{35CCC802-1B29-41A4-BB66-4648427AB584}">
      <text>
        <t>[Threaded comment]
Your version of Excel allows you to read this threaded comment; however, any edits to it will get removed if the file is opened in a newer version of Excel. Learn more: https://go.microsoft.com/fwlink/?linkid=870924
Comment:
    5.304D says to use March-June</t>
      </text>
    </comment>
    <comment ref="H27" authorId="6" shapeId="0" xr:uid="{EF4C50C9-0931-490A-8291-8729C0B7C841}">
      <text>
        <t>[Threaded comment]
Your version of Excel allows you to read this threaded comment; however, any edits to it will get removed if the file is opened in a newer version of Excel. Learn more: https://go.microsoft.com/fwlink/?linkid=870924
Comment:
    5.304D says to use Jul-Feb</t>
      </text>
    </comment>
    <comment ref="C29" authorId="7" shapeId="0" xr:uid="{DE0F6184-5C02-40C9-B431-0810F2DD11E6}">
      <text>
        <t>[Threaded comment]
Your version of Excel allows you to read this threaded comment; however, any edits to it will get removed if the file is opened in a newer version of Excel. Learn more: https://go.microsoft.com/fwlink/?linkid=870924
Comment:
    uses actual calculation from 2020 file but that has the old tax rates. It does represent the amount of funds that need to be collected</t>
      </text>
    </comment>
    <comment ref="C30" authorId="0" shapeId="0" xr:uid="{00000000-0006-0000-0300-000018000000}">
      <text>
        <r>
          <rPr>
            <b/>
            <sz val="9"/>
            <color indexed="81"/>
            <rFont val="Tahoma"/>
            <family val="2"/>
          </rPr>
          <t>Jim Massie:</t>
        </r>
        <r>
          <rPr>
            <sz val="9"/>
            <color indexed="81"/>
            <rFont val="Tahoma"/>
            <family val="2"/>
          </rPr>
          <t xml:space="preserve">
from cell D65 of 2020 Efficiency Vermont EEC Charge Calculation "EEC Calculation"</t>
        </r>
      </text>
    </comment>
    <comment ref="D30" authorId="0" shapeId="0" xr:uid="{00000000-0006-0000-0300-000019000000}">
      <text>
        <r>
          <rPr>
            <b/>
            <sz val="9"/>
            <color indexed="81"/>
            <rFont val="Tahoma"/>
            <family val="2"/>
          </rPr>
          <t>Jim Massie:</t>
        </r>
        <r>
          <rPr>
            <sz val="9"/>
            <color indexed="81"/>
            <rFont val="Tahoma"/>
            <family val="2"/>
          </rPr>
          <t xml:space="preserve">
from cell C65 of 2020 Efficiency Vermont EEC Charge Calculation "EEC Calculation"</t>
        </r>
      </text>
    </comment>
    <comment ref="H30" authorId="8" shapeId="0" xr:uid="{AA1BB81E-AB0E-4278-BDD4-0344D548A9A8}">
      <text>
        <t>[Threaded comment]
Your version of Excel allows you to read this threaded comment; however, any edits to it will get removed if the file is opened in a newer version of Excel. Learn more: https://go.microsoft.com/fwlink/?linkid=870924
Comment:
    from forecast tool</t>
      </text>
    </comment>
    <comment ref="C31" authorId="0" shapeId="0" xr:uid="{00000000-0006-0000-0300-00001B000000}">
      <text>
        <r>
          <rPr>
            <b/>
            <sz val="9"/>
            <color indexed="81"/>
            <rFont val="Tahoma"/>
            <family val="2"/>
          </rPr>
          <t>Jim Massie:</t>
        </r>
        <r>
          <rPr>
            <sz val="9"/>
            <color indexed="81"/>
            <rFont val="Tahoma"/>
            <family val="2"/>
          </rPr>
          <t xml:space="preserve">
from cell D71 of 2020 Efficiency Vermont EEC Charge Calculation "EEC Calculation"</t>
        </r>
      </text>
    </comment>
    <comment ref="D31" authorId="0" shapeId="0" xr:uid="{00000000-0006-0000-0300-00001C000000}">
      <text>
        <r>
          <rPr>
            <b/>
            <sz val="9"/>
            <color indexed="81"/>
            <rFont val="Tahoma"/>
            <family val="2"/>
          </rPr>
          <t>Jim Massie:</t>
        </r>
        <r>
          <rPr>
            <sz val="9"/>
            <color indexed="81"/>
            <rFont val="Tahoma"/>
            <family val="2"/>
          </rPr>
          <t xml:space="preserve">
from cell C71 of 2020 Efficiency Vermont EEC Charge Calculation "EEC Calculation"</t>
        </r>
      </text>
    </comment>
    <comment ref="H31" authorId="9" shapeId="0" xr:uid="{634FDF29-5631-4115-AD21-177EE0F28642}">
      <text>
        <t>[Threaded comment]
Your version of Excel allows you to read this threaded comment; however, any edits to it will get removed if the file is opened in a newer version of Excel. Learn more: https://go.microsoft.com/fwlink/?linkid=870924
Comment:
    from forecast tool</t>
      </text>
    </comment>
    <comment ref="C32" authorId="0" shapeId="0" xr:uid="{00000000-0006-0000-0300-00001D000000}">
      <text>
        <r>
          <rPr>
            <b/>
            <sz val="9"/>
            <color indexed="81"/>
            <rFont val="Tahoma"/>
            <family val="2"/>
          </rPr>
          <t>Jim Massie:</t>
        </r>
        <r>
          <rPr>
            <sz val="9"/>
            <color indexed="81"/>
            <rFont val="Tahoma"/>
            <family val="2"/>
          </rPr>
          <t xml:space="preserve">
from cell D77 of 2020 Efficiency Vermont EEC Charge Calculation "EEC Calculation"</t>
        </r>
      </text>
    </comment>
    <comment ref="D32" authorId="0" shapeId="0" xr:uid="{00000000-0006-0000-0300-00001E000000}">
      <text>
        <r>
          <rPr>
            <b/>
            <sz val="9"/>
            <color indexed="81"/>
            <rFont val="Tahoma"/>
            <family val="2"/>
          </rPr>
          <t>Jim Massie:</t>
        </r>
        <r>
          <rPr>
            <sz val="9"/>
            <color indexed="81"/>
            <rFont val="Tahoma"/>
            <family val="2"/>
          </rPr>
          <t xml:space="preserve">
from cell C77 of 2020 Efficiency Vermont EEC Charge Calculation "EEC Calculation"</t>
        </r>
      </text>
    </comment>
    <comment ref="H32" authorId="10" shapeId="0" xr:uid="{762B8C6E-2F3A-458B-9D5C-166180FEEFFD}">
      <text>
        <t>[Threaded comment]
Your version of Excel allows you to read this threaded comment; however, any edits to it will get removed if the file is opened in a newer version of Excel. Learn more: https://go.microsoft.com/fwlink/?linkid=870924
Comment:
    from forecast tool</t>
      </text>
    </comment>
    <comment ref="H33" authorId="11" shapeId="0" xr:uid="{4498688A-B756-4AF5-834D-A1BDEC5769CA}">
      <text>
        <t>[Threaded comment]
Your version of Excel allows you to read this threaded comment; however, any edits to it will get removed if the file is opened in a newer version of Excel. Learn more: https://go.microsoft.com/fwlink/?linkid=870924
Comment:
    this is an alternative to 5.305</t>
      </text>
    </comment>
    <comment ref="I33" authorId="12" shapeId="0" xr:uid="{E24A4EDD-66AE-404F-9E22-F79EE7C4505C}">
      <text>
        <t>[Threaded comment]
Your version of Excel allows you to read this threaded comment; however, any edits to it will get removed if the file is opened in a newer version of Excel. Learn more: https://go.microsoft.com/fwlink/?linkid=870924
Comment:
    used new tax rate and adjusted sales down in the forecast</t>
      </text>
    </comment>
    <comment ref="J33" authorId="13" shapeId="0" xr:uid="{6E03ABA0-6814-480D-AC28-AEFD5D747D95}">
      <text>
        <t>[Threaded comment]
Your version of Excel allows you to read this threaded comment; however, any edits to it will get removed if the file is opened in a newer version of Excel. Learn more: https://go.microsoft.com/fwlink/?linkid=870924
Comment:
    includes RA, DSS, Ops Fee, PI Award, DPS, FA and Audit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tc={87C9BA43-C7DD-4990-9684-86ACCB723205}</author>
  </authors>
  <commentList>
    <comment ref="B52" authorId="0" shapeId="0" xr:uid="{87C9BA43-C7DD-4990-9684-86ACCB723205}">
      <text>
        <t>[Threaded comment]
Your version of Excel allows you to read this threaded comment; however, any edits to it will get removed if the file is opened in a newer version of Excel. Learn more: https://go.microsoft.com/fwlink/?linkid=870924
Comment:
    Oct-Nov 2019</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tc={59599B66-545F-410D-A8CA-EA76E0944D1A}</author>
    <author>tc={6DF35FCA-DF44-4E3F-8EEA-129FB4D934A4}</author>
    <author>tc={C4EE4BFB-2AB4-4642-B97C-C2A73B98AB96}</author>
    <author>Jim Massie</author>
    <author>tc={472160F4-982B-46DA-9A0A-BE9E58BFDAED}</author>
    <author>tc={74A2A7A8-4355-4B22-A5C5-407F5119BC32}</author>
    <author>tc={A3247F44-42C5-41E3-BFCD-65516361CE9F}</author>
    <author>tc={0AA25532-338D-4F2B-BA51-0128D1D29964}</author>
    <author>tc={9220F9DA-ACA7-4E46-AB77-3AAAD34225BB}</author>
    <author>tc={070CE054-EEA4-43E9-9FFB-6922B07234DD}</author>
  </authors>
  <commentList>
    <comment ref="A32" authorId="0" shapeId="0" xr:uid="{59599B66-545F-410D-A8CA-EA76E0944D1A}">
      <text>
        <t>[Threaded comment]
Your version of Excel allows you to read this threaded comment; however, any edits to it will get removed if the file is opened in a newer version of Excel. Learn more: https://go.microsoft.com/fwlink/?linkid=870924
Comment:
    5.304 (E) says these are from prior performance period- If over 5% then Uncommitted equal this total. If &lt;5% then PUC process. Otherwise zero.</t>
      </text>
    </comment>
    <comment ref="F46" authorId="1" shapeId="0" xr:uid="{6DF35FCA-DF44-4E3F-8EEA-129FB4D934A4}">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G46" authorId="2" shapeId="0" xr:uid="{C4EE4BFB-2AB4-4642-B97C-C2A73B98AB96}">
      <text>
        <t>[Threaded comment]
Your version of Excel allows you to read this threaded comment; however, any edits to it will get removed if the file is opened in a newer version of Excel. Learn more: https://go.microsoft.com/fwlink/?linkid=870924
Comment:
    Rile 5.305 (E) 3.</t>
      </text>
    </comment>
    <comment ref="F47" authorId="3" shapeId="0" xr:uid="{00000000-0006-0000-0500-000007000000}">
      <text>
        <r>
          <rPr>
            <b/>
            <sz val="9"/>
            <color indexed="81"/>
            <rFont val="Tahoma"/>
            <family val="2"/>
          </rPr>
          <t>Jim Massie:</t>
        </r>
        <r>
          <rPr>
            <sz val="9"/>
            <color indexed="81"/>
            <rFont val="Tahoma"/>
            <family val="2"/>
          </rPr>
          <t xml:space="preserve">
includes uncollectibles</t>
        </r>
      </text>
    </comment>
    <comment ref="B49" authorId="3" shapeId="0" xr:uid="{00000000-0006-0000-0500-000008000000}">
      <text>
        <r>
          <rPr>
            <b/>
            <sz val="9"/>
            <color indexed="81"/>
            <rFont val="Tahoma"/>
            <family val="2"/>
          </rPr>
          <t>Jim Massie:</t>
        </r>
        <r>
          <rPr>
            <sz val="9"/>
            <color indexed="81"/>
            <rFont val="Tahoma"/>
            <family val="2"/>
          </rPr>
          <t xml:space="preserve">
Rule 5.305 E.4.a</t>
        </r>
      </text>
    </comment>
    <comment ref="G49" authorId="3" shapeId="0" xr:uid="{00000000-0006-0000-0500-000009000000}">
      <text>
        <r>
          <rPr>
            <b/>
            <sz val="9"/>
            <color indexed="81"/>
            <rFont val="Tahoma"/>
            <family val="2"/>
          </rPr>
          <t>Jim Massie:</t>
        </r>
        <r>
          <rPr>
            <sz val="9"/>
            <color indexed="81"/>
            <rFont val="Tahoma"/>
            <family val="2"/>
          </rPr>
          <t xml:space="preserve">
Rule 5.305 E.3.a</t>
        </r>
      </text>
    </comment>
    <comment ref="B50" authorId="3" shapeId="0" xr:uid="{00000000-0006-0000-0500-00000A000000}">
      <text>
        <r>
          <rPr>
            <b/>
            <sz val="9"/>
            <color indexed="81"/>
            <rFont val="Tahoma"/>
            <family val="2"/>
          </rPr>
          <t>Jim Massie:</t>
        </r>
        <r>
          <rPr>
            <sz val="9"/>
            <color indexed="81"/>
            <rFont val="Tahoma"/>
            <family val="2"/>
          </rPr>
          <t xml:space="preserve">
Rule 5.305 E.4.b</t>
        </r>
      </text>
    </comment>
    <comment ref="G50" authorId="3" shapeId="0" xr:uid="{00000000-0006-0000-0500-00000B000000}">
      <text>
        <r>
          <rPr>
            <b/>
            <sz val="9"/>
            <color indexed="81"/>
            <rFont val="Tahoma"/>
            <family val="2"/>
          </rPr>
          <t>Jim Massie:</t>
        </r>
        <r>
          <rPr>
            <sz val="9"/>
            <color indexed="81"/>
            <rFont val="Tahoma"/>
            <family val="2"/>
          </rPr>
          <t xml:space="preserve">
Rule 5.305 E.3.b</t>
        </r>
      </text>
    </comment>
    <comment ref="B51" authorId="3" shapeId="0" xr:uid="{00000000-0006-0000-0500-00000C000000}">
      <text>
        <r>
          <rPr>
            <b/>
            <sz val="9"/>
            <color indexed="81"/>
            <rFont val="Tahoma"/>
            <family val="2"/>
          </rPr>
          <t>Jim Massie:</t>
        </r>
        <r>
          <rPr>
            <sz val="9"/>
            <color indexed="81"/>
            <rFont val="Tahoma"/>
            <family val="2"/>
          </rPr>
          <t xml:space="preserve">
Rule 5.305 E.4.c</t>
        </r>
      </text>
    </comment>
    <comment ref="G51" authorId="3" shapeId="0" xr:uid="{00000000-0006-0000-0500-00000D000000}">
      <text>
        <r>
          <rPr>
            <b/>
            <sz val="9"/>
            <color indexed="81"/>
            <rFont val="Tahoma"/>
            <family val="2"/>
          </rPr>
          <t>Jim Massie:</t>
        </r>
        <r>
          <rPr>
            <sz val="9"/>
            <color indexed="81"/>
            <rFont val="Tahoma"/>
            <family val="2"/>
          </rPr>
          <t xml:space="preserve">
Rule 5.305 E.3.c</t>
        </r>
      </text>
    </comment>
    <comment ref="F53" authorId="4" shapeId="0" xr:uid="{472160F4-982B-46DA-9A0A-BE9E58BFDAED}">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C61" authorId="3" shapeId="0" xr:uid="{00000000-0006-0000-0500-00000E000000}">
      <text>
        <r>
          <rPr>
            <b/>
            <sz val="9"/>
            <color indexed="81"/>
            <rFont val="Tahoma"/>
            <family val="2"/>
          </rPr>
          <t>Jim Massie:</t>
        </r>
        <r>
          <rPr>
            <sz val="9"/>
            <color indexed="81"/>
            <rFont val="Tahoma"/>
            <family val="2"/>
          </rPr>
          <t xml:space="preserve">
uses 2019 data
</t>
        </r>
      </text>
    </comment>
    <comment ref="A64" authorId="3" shapeId="0" xr:uid="{00000000-0006-0000-0500-00000F000000}">
      <text>
        <r>
          <rPr>
            <b/>
            <sz val="9"/>
            <color indexed="81"/>
            <rFont val="Tahoma"/>
            <family val="2"/>
          </rPr>
          <t>Jim Massie:</t>
        </r>
        <r>
          <rPr>
            <sz val="9"/>
            <color indexed="81"/>
            <rFont val="Tahoma"/>
            <family val="2"/>
          </rPr>
          <t xml:space="preserve">
5.305 E.5.a</t>
        </r>
      </text>
    </comment>
    <comment ref="F67" authorId="5" shapeId="0" xr:uid="{74A2A7A8-4355-4B22-A5C5-407F5119BC32}">
      <text>
        <t>[Threaded comment]
Your version of Excel allows you to read this threaded comment; however, any edits to it will get removed if the file is opened in a newer version of Excel. Learn more: https://go.microsoft.com/fwlink/?linkid=870924
Comment:
    Source: DU Collection data-change from 18-19 was 2.5% drop-2020 is forecasted to be up 10%. So used 0% for 2021</t>
      </text>
    </comment>
    <comment ref="G67" authorId="3" shapeId="0" xr:uid="{BC9A5D87-3223-4259-B601-F43118D0AB01}">
      <text>
        <r>
          <rPr>
            <b/>
            <sz val="9"/>
            <color indexed="81"/>
            <rFont val="Tahoma"/>
            <family val="2"/>
          </rPr>
          <t>Jim Massie:</t>
        </r>
        <r>
          <rPr>
            <sz val="9"/>
            <color indexed="81"/>
            <rFont val="Tahoma"/>
            <family val="2"/>
          </rPr>
          <t xml:space="preserve">
assumed one year because Covid increases residential so flat in 2020</t>
        </r>
      </text>
    </comment>
    <comment ref="A70" authorId="3" shapeId="0" xr:uid="{00000000-0006-0000-0500-000010000000}">
      <text>
        <r>
          <rPr>
            <b/>
            <sz val="9"/>
            <color indexed="81"/>
            <rFont val="Tahoma"/>
            <family val="2"/>
          </rPr>
          <t>Jim Massie:</t>
        </r>
        <r>
          <rPr>
            <sz val="9"/>
            <color indexed="81"/>
            <rFont val="Tahoma"/>
            <family val="2"/>
          </rPr>
          <t xml:space="preserve">
5.305 E.5.b</t>
        </r>
      </text>
    </comment>
    <comment ref="K70" authorId="6" shapeId="0" xr:uid="{A3247F44-42C5-41E3-BFCD-65516361CE9F}">
      <text>
        <t>[Threaded comment]
Your version of Excel allows you to read this threaded comment; however, any edits to it will get removed if the file is opened in a newer version of Excel. Learn more: https://go.microsoft.com/fwlink/?linkid=870924
Comment:
    from 2020 forecasted saled in 2015-2019 collections by month</t>
      </text>
    </comment>
    <comment ref="F74" authorId="7" shapeId="0" xr:uid="{0AA25532-338D-4F2B-BA51-0128D1D29964}">
      <text>
        <t>[Threaded comment]
Your version of Excel allows you to read this threaded comment; however, any edits to it will get removed if the file is opened in a newer version of Excel. Learn more: https://go.microsoft.com/fwlink/?linkid=870924
Comment:
    Source: DU Collection data-change from 18-19 was 2.1% drop, 2020 is forecasted to be down another 7.7%. at a 7.7% reduction adjustment for 2021, the adjusted kwh is 0.7% higher than 2020 which might make sense if things come back some post Covid</t>
      </text>
    </comment>
    <comment ref="G74" authorId="8" shapeId="0" xr:uid="{9220F9DA-ACA7-4E46-AB77-3AAAD34225BB}">
      <text>
        <t>[Threaded comment]
Your version of Excel allows you to read this threaded comment; however, any edits to it will get removed if the file is opened in a newer version of Excel. Learn more: https://go.microsoft.com/fwlink/?linkid=870924
Comment:
    assumed 2 years - history for 2019 and covid for 2020</t>
      </text>
    </comment>
    <comment ref="A77" authorId="3" shapeId="0" xr:uid="{00000000-0006-0000-0500-000011000000}">
      <text>
        <r>
          <rPr>
            <b/>
            <sz val="9"/>
            <color indexed="81"/>
            <rFont val="Tahoma"/>
            <family val="2"/>
          </rPr>
          <t>Jim Massie:</t>
        </r>
        <r>
          <rPr>
            <sz val="9"/>
            <color indexed="81"/>
            <rFont val="Tahoma"/>
            <family val="2"/>
          </rPr>
          <t xml:space="preserve">
5.305 E.5.c.</t>
        </r>
      </text>
    </comment>
    <comment ref="F80" authorId="9" shapeId="0" xr:uid="{070CE054-EEA4-43E9-9FFB-6922B07234DD}">
      <text>
        <t>[Threaded comment]
Your version of Excel allows you to read this threaded comment; however, any edits to it will get removed if the file is opened in a newer version of Excel. Learn more: https://go.microsoft.com/fwlink/?linkid=870924
Comment:
    18 to 19 was up 1.8%, 19-20 is expected to be down 7.0% but it could be just snow related-used 3.5%. The resulting value is 3.3% higher than projected 2020 kWh</t>
      </text>
    </comment>
    <comment ref="C107" authorId="3" shapeId="0" xr:uid="{00000000-0006-0000-0500-000012000000}">
      <text>
        <r>
          <rPr>
            <b/>
            <sz val="9"/>
            <color indexed="81"/>
            <rFont val="Tahoma"/>
            <family val="2"/>
          </rPr>
          <t>Jim Massie:</t>
        </r>
        <r>
          <rPr>
            <sz val="9"/>
            <color indexed="81"/>
            <rFont val="Tahoma"/>
            <family val="2"/>
          </rPr>
          <t xml:space="preserve">
5.305 E.6.a.</t>
        </r>
      </text>
    </comment>
    <comment ref="C110" authorId="3" shapeId="0" xr:uid="{00000000-0006-0000-0500-000013000000}">
      <text>
        <r>
          <rPr>
            <b/>
            <sz val="9"/>
            <color indexed="81"/>
            <rFont val="Tahoma"/>
            <family val="2"/>
          </rPr>
          <t>Jim Massie:</t>
        </r>
        <r>
          <rPr>
            <sz val="9"/>
            <color indexed="81"/>
            <rFont val="Tahoma"/>
            <family val="2"/>
          </rPr>
          <t xml:space="preserve">
5.305 E.6.b.</t>
        </r>
      </text>
    </comment>
    <comment ref="C124" authorId="3" shapeId="0" xr:uid="{00000000-0006-0000-0500-000014000000}">
      <text>
        <r>
          <rPr>
            <b/>
            <sz val="9"/>
            <color indexed="81"/>
            <rFont val="Tahoma"/>
            <family val="2"/>
          </rPr>
          <t>Jim Massie:</t>
        </r>
        <r>
          <rPr>
            <sz val="9"/>
            <color indexed="81"/>
            <rFont val="Tahoma"/>
            <family val="2"/>
          </rPr>
          <t xml:space="preserve">
5.305 E.6.c</t>
        </r>
      </text>
    </comment>
    <comment ref="C127" authorId="3" shapeId="0" xr:uid="{00000000-0006-0000-0500-000015000000}">
      <text>
        <r>
          <rPr>
            <b/>
            <sz val="9"/>
            <color indexed="81"/>
            <rFont val="Tahoma"/>
            <family val="2"/>
          </rPr>
          <t>Jim Massie:</t>
        </r>
        <r>
          <rPr>
            <sz val="9"/>
            <color indexed="81"/>
            <rFont val="Tahoma"/>
            <family val="2"/>
          </rPr>
          <t xml:space="preserve">
5.305 E.6.d.</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C5" authorId="0" shapeId="0" xr:uid="{00000000-0006-0000-0600-000001000000}">
      <text>
        <r>
          <rPr>
            <b/>
            <sz val="9"/>
            <color indexed="81"/>
            <rFont val="Tahoma"/>
            <family val="2"/>
          </rPr>
          <t>Jim Massie:</t>
        </r>
        <r>
          <rPr>
            <sz val="9"/>
            <color indexed="81"/>
            <rFont val="Tahoma"/>
            <family val="2"/>
          </rPr>
          <t xml:space="preserve">
see alternative methodology results in column V to the right</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tc={B96362F6-865D-4C37-ADD3-89C83D4DC5E4}</author>
    <author>tc={6337CA83-7977-435B-B9F7-5FF65AC5D2BE}</author>
  </authors>
  <commentList>
    <comment ref="A10" authorId="0" shapeId="0" xr:uid="{B96362F6-865D-4C37-ADD3-89C83D4DC5E4}">
      <text>
        <t>[Threaded comment]
Your version of Excel allows you to read this threaded comment; however, any edits to it will get removed if the file is opened in a newer version of Excel. Learn more: https://go.microsoft.com/fwlink/?linkid=870924
Comment:
    the rate changed from 1% to 1.025% on July 1, 2019 but the FA did not make the change and it was not budgeted in 2019 or 2020</t>
      </text>
    </comment>
    <comment ref="B21" authorId="1" shapeId="0" xr:uid="{6337CA83-7977-435B-B9F7-5FF65AC5D2BE}">
      <text>
        <t>[Threaded comment]
Your version of Excel allows you to read this threaded comment; however, any edits to it will get removed if the file is opened in a newer version of Excel. Learn more: https://go.microsoft.com/fwlink/?linkid=870924
Comment:
    Per DPS Petition in 20-2241-PET</t>
      </text>
    </comment>
  </commentList>
</comments>
</file>

<file path=xl/sharedStrings.xml><?xml version="1.0" encoding="utf-8"?>
<sst xmlns="http://schemas.openxmlformats.org/spreadsheetml/2006/main" count="3873" uniqueCount="688">
  <si>
    <t>Revenue</t>
  </si>
  <si>
    <t>kWh</t>
  </si>
  <si>
    <t>kW</t>
  </si>
  <si>
    <t>Residential</t>
  </si>
  <si>
    <t>Commercial</t>
  </si>
  <si>
    <t>Non Demand</t>
  </si>
  <si>
    <t>Energy</t>
  </si>
  <si>
    <t>Capacity</t>
  </si>
  <si>
    <t>Total Demand</t>
  </si>
  <si>
    <t>Total Company</t>
  </si>
  <si>
    <t>Total</t>
  </si>
  <si>
    <t>Company</t>
  </si>
  <si>
    <t>Demand Customers</t>
  </si>
  <si>
    <t>Commercial (less than 1,000 kw)</t>
  </si>
  <si>
    <t>Industrial (1,000 or greater kW)</t>
  </si>
  <si>
    <t xml:space="preserve">Industrial </t>
  </si>
  <si>
    <t>Other</t>
  </si>
  <si>
    <t>Difference</t>
  </si>
  <si>
    <t xml:space="preserve">kWh </t>
  </si>
  <si>
    <t>xxx</t>
  </si>
  <si>
    <t>ENERGY EFFICIENCY CHARGE</t>
  </si>
  <si>
    <t>$</t>
  </si>
  <si>
    <t>Non Demand Customers</t>
  </si>
  <si>
    <t xml:space="preserve">Lights </t>
  </si>
  <si>
    <t>Customer</t>
  </si>
  <si>
    <t>Charge</t>
  </si>
  <si>
    <t>Energy and</t>
  </si>
  <si>
    <t xml:space="preserve">Total </t>
  </si>
  <si>
    <t xml:space="preserve">Customer </t>
  </si>
  <si>
    <t xml:space="preserve">Energy &amp; </t>
  </si>
  <si>
    <t>Authorized EEC Exclusions</t>
  </si>
  <si>
    <t>Barton</t>
  </si>
  <si>
    <t>Enosburg Falls</t>
  </si>
  <si>
    <t>Green Mountain Power</t>
  </si>
  <si>
    <t>Hardwick</t>
  </si>
  <si>
    <t>Hyde Park</t>
  </si>
  <si>
    <t>Jacksonville</t>
  </si>
  <si>
    <t>Johnson</t>
  </si>
  <si>
    <t>Ludlow</t>
  </si>
  <si>
    <t>Lyndonville</t>
  </si>
  <si>
    <t>Morrisville</t>
  </si>
  <si>
    <t>Northfield</t>
  </si>
  <si>
    <t>Orleans</t>
  </si>
  <si>
    <t>Stowe</t>
  </si>
  <si>
    <t>Swanton</t>
  </si>
  <si>
    <t>Vermont Electric Coop (VEC).</t>
  </si>
  <si>
    <t xml:space="preserve">Washington Electric Coop (WEC) </t>
  </si>
  <si>
    <t>Industrial</t>
  </si>
  <si>
    <t>kwh</t>
  </si>
  <si>
    <t>EEC</t>
  </si>
  <si>
    <t>Total kWh</t>
  </si>
  <si>
    <t>Gross Revenue &amp; Weather Tax</t>
  </si>
  <si>
    <t xml:space="preserve">EEC To Be </t>
  </si>
  <si>
    <t>Adjusted</t>
  </si>
  <si>
    <t>% of</t>
  </si>
  <si>
    <t>By Rate Class</t>
  </si>
  <si>
    <t>Rate Rev</t>
  </si>
  <si>
    <t xml:space="preserve">     Sub Total Com and Industrial</t>
  </si>
  <si>
    <t>Volumetric Rate Development for energy (kWh) and demand/capacity (kw)</t>
  </si>
  <si>
    <t>Rate (Customer) Class kWh Sales</t>
  </si>
  <si>
    <t>RATE</t>
  </si>
  <si>
    <t xml:space="preserve">per kWh </t>
  </si>
  <si>
    <t xml:space="preserve">% of Total kWh </t>
  </si>
  <si>
    <t>w/o Tax</t>
  </si>
  <si>
    <t>Net Residential</t>
  </si>
  <si>
    <t>Non EEU Sales are Exclusions</t>
  </si>
  <si>
    <t>Net Industrial</t>
  </si>
  <si>
    <t>$/kWh</t>
  </si>
  <si>
    <t>Average kWh rate all classes</t>
  </si>
  <si>
    <t>kWh Sales</t>
  </si>
  <si>
    <t>Reported Energy Revenue</t>
  </si>
  <si>
    <t>Reported kW Revenue (total)</t>
  </si>
  <si>
    <t>EEC To Be</t>
  </si>
  <si>
    <t>COMMERCIAL CUSTOMERS</t>
  </si>
  <si>
    <t>EEC Rate</t>
  </si>
  <si>
    <t>Billing Unit</t>
  </si>
  <si>
    <t>Apportion Balance of EEC To Be Collected Between kWh and kW</t>
  </si>
  <si>
    <t>billed kW Sales (peak)</t>
  </si>
  <si>
    <t xml:space="preserve">     Total Revenue</t>
  </si>
  <si>
    <t>INDUSTRIAL CUSTOMERS</t>
  </si>
  <si>
    <t>Apportion Balance EEC To Be Collected Between kWh and kW</t>
  </si>
  <si>
    <t xml:space="preserve">  (see Summary-Rev and Units Worksheet)</t>
  </si>
  <si>
    <t>Excludes Non EEU Sales:</t>
  </si>
  <si>
    <t>Net Commercial</t>
  </si>
  <si>
    <t>Total kWh for demand and non-demand customers</t>
  </si>
  <si>
    <t>EEC Charge for non-demand customers</t>
  </si>
  <si>
    <t>Balance To Be Collected from Commercial Demand Customers</t>
  </si>
  <si>
    <t>EEC Charge demand customers</t>
  </si>
  <si>
    <t xml:space="preserve">Amount To Be Collected From Commercial Customers </t>
  </si>
  <si>
    <t>Amount to be collected from Industrial Customers</t>
  </si>
  <si>
    <t>Balance To Be Collected from Industrial Demand Customers</t>
  </si>
  <si>
    <t>Source: EEC Template submitted by each utility</t>
  </si>
  <si>
    <t>Rate</t>
  </si>
  <si>
    <t>Unit</t>
  </si>
  <si>
    <t>$/kW</t>
  </si>
  <si>
    <t xml:space="preserve">Amount To Be Billed To Each Rate Class </t>
  </si>
  <si>
    <t>Billed</t>
  </si>
  <si>
    <t>EEU Charge To Be Billed</t>
  </si>
  <si>
    <t>Revenue Based EEC Allocation</t>
  </si>
  <si>
    <t>INFORMATION REQUIREMENT SUMMARY</t>
  </si>
  <si>
    <t>STATEWIDE SUMMARY</t>
  </si>
  <si>
    <t xml:space="preserve">A </t>
  </si>
  <si>
    <t>B</t>
  </si>
  <si>
    <t xml:space="preserve">C </t>
  </si>
  <si>
    <t>D</t>
  </si>
  <si>
    <t>E</t>
  </si>
  <si>
    <t>F</t>
  </si>
  <si>
    <t>G</t>
  </si>
  <si>
    <t>H</t>
  </si>
  <si>
    <t>I</t>
  </si>
  <si>
    <t>J</t>
  </si>
  <si>
    <t>K</t>
  </si>
  <si>
    <t>L</t>
  </si>
  <si>
    <t>M</t>
  </si>
  <si>
    <t>N</t>
  </si>
  <si>
    <t>O</t>
  </si>
  <si>
    <t>P</t>
  </si>
  <si>
    <t>Q</t>
  </si>
  <si>
    <t>R</t>
  </si>
  <si>
    <t>S</t>
  </si>
  <si>
    <t xml:space="preserve">T </t>
  </si>
  <si>
    <t>U</t>
  </si>
  <si>
    <t>V.</t>
  </si>
  <si>
    <t>W</t>
  </si>
  <si>
    <t>X</t>
  </si>
  <si>
    <t>Y</t>
  </si>
  <si>
    <t>Z</t>
  </si>
  <si>
    <t>AA</t>
  </si>
  <si>
    <t>AB</t>
  </si>
  <si>
    <t>AC</t>
  </si>
  <si>
    <t>AD</t>
  </si>
  <si>
    <t>Commercial (less than 1,000 kW)</t>
  </si>
  <si>
    <t>Annual</t>
  </si>
  <si>
    <t>Capacity (Billed)</t>
  </si>
  <si>
    <t>Report and or</t>
  </si>
  <si>
    <t>On-Peak</t>
  </si>
  <si>
    <t>Off Peak</t>
  </si>
  <si>
    <t>FERC Form 1</t>
  </si>
  <si>
    <t xml:space="preserve">Unit of Measure </t>
  </si>
  <si>
    <t>Cell Formula</t>
  </si>
  <si>
    <t>B+C</t>
  </si>
  <si>
    <t>F+G+H</t>
  </si>
  <si>
    <t>L+M</t>
  </si>
  <si>
    <t>J+K+N</t>
  </si>
  <si>
    <t>I+O</t>
  </si>
  <si>
    <t>R+S</t>
  </si>
  <si>
    <t>W+X</t>
  </si>
  <si>
    <t>U+V+Y</t>
  </si>
  <si>
    <t>T+Z</t>
  </si>
  <si>
    <t>D+P+AA+AB</t>
  </si>
  <si>
    <t>Retail Sales Subject To EEC Charge:</t>
  </si>
  <si>
    <t>Total Subject to EEC Charge</t>
  </si>
  <si>
    <t xml:space="preserve">All Other Utilities </t>
  </si>
  <si>
    <t xml:space="preserve">Total Statewide </t>
  </si>
  <si>
    <t>As Reported To FERC/Annual Report</t>
  </si>
  <si>
    <t xml:space="preserve">Capacity (Billed) </t>
  </si>
  <si>
    <t>G+H</t>
  </si>
  <si>
    <t xml:space="preserve">S+V </t>
  </si>
  <si>
    <t>C+P+AA+AB</t>
  </si>
  <si>
    <t>N+Y</t>
  </si>
  <si>
    <t>kWh and kW Subject To EEC Charge:</t>
  </si>
  <si>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</si>
  <si>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t xml:space="preserve">   Sub Total-Amount To Be Allocated to Rate Class </t>
  </si>
  <si>
    <t>Rate Classifications</t>
  </si>
  <si>
    <t xml:space="preserve">Proposed Budget </t>
  </si>
  <si>
    <t xml:space="preserve">           Residential</t>
  </si>
  <si>
    <t xml:space="preserve">           Commercial</t>
  </si>
  <si>
    <t xml:space="preserve">           Industrial</t>
  </si>
  <si>
    <t>Initial EEC to be Billed to Rate Class</t>
  </si>
  <si>
    <t>Percent of EEC Related Rate Revenues</t>
  </si>
  <si>
    <t xml:space="preserve">Electric Resource Acquisition </t>
  </si>
  <si>
    <t xml:space="preserve">Operations Fees </t>
  </si>
  <si>
    <t xml:space="preserve">EEU Fund Audit </t>
  </si>
  <si>
    <t xml:space="preserve">Stowe </t>
  </si>
  <si>
    <t>Total EEC to be Billed By Vermont Utilities</t>
  </si>
  <si>
    <t>I+K</t>
  </si>
  <si>
    <t>Over/under-collection</t>
  </si>
  <si>
    <t xml:space="preserve">Projected </t>
  </si>
  <si>
    <t>Actual</t>
  </si>
  <si>
    <t>EEC calculation</t>
  </si>
  <si>
    <t>Collection</t>
  </si>
  <si>
    <t>Residential EEC</t>
  </si>
  <si>
    <t>Commercial EEC</t>
  </si>
  <si>
    <t>Industrial EEC</t>
  </si>
  <si>
    <t>Note: A Negative Difference indicates a need to increase collections by that amount.</t>
  </si>
  <si>
    <t>Over/under-collection estimate</t>
  </si>
  <si>
    <t>Estimated</t>
  </si>
  <si>
    <t>Jul - Dec</t>
  </si>
  <si>
    <t>Note: A Positive Difference indicates a need to decrease collections by that amount.</t>
  </si>
  <si>
    <t>(Note A)</t>
  </si>
  <si>
    <t>Note (B)</t>
  </si>
  <si>
    <t>Note (C)</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</si>
  <si>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</si>
  <si>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</si>
  <si>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</si>
  <si>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</si>
  <si>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</si>
  <si>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</si>
  <si>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</si>
  <si>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</si>
  <si>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</si>
  <si>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</si>
  <si>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</si>
  <si>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</si>
  <si>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</si>
  <si>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</si>
  <si>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</si>
  <si>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Note A</t>
  </si>
  <si>
    <t>From Utility Invoice</t>
  </si>
  <si>
    <t>Note B</t>
  </si>
  <si>
    <t>Negative Difference indicates a need to increase collections by that amount.</t>
  </si>
  <si>
    <t>Note C</t>
  </si>
  <si>
    <t>Positive Difference indicates a need to decrease collections by that amount.</t>
  </si>
  <si>
    <t>True-Up</t>
  </si>
  <si>
    <t>Other Adjustments</t>
  </si>
  <si>
    <t>(1)  Uncollectible</t>
  </si>
  <si>
    <t>Variance</t>
  </si>
  <si>
    <t>GMP</t>
  </si>
  <si>
    <t>Note (D)</t>
  </si>
  <si>
    <t>Note D</t>
  </si>
  <si>
    <t>From prior year EEC calculation</t>
  </si>
  <si>
    <t>Source</t>
  </si>
  <si>
    <t>VTEEU</t>
  </si>
  <si>
    <t>Fiscal Year</t>
  </si>
  <si>
    <t>CODE</t>
  </si>
  <si>
    <t>NAME</t>
  </si>
  <si>
    <t>True-ups</t>
  </si>
  <si>
    <t>JAN</t>
  </si>
  <si>
    <t>FEB</t>
  </si>
  <si>
    <t>MAR</t>
  </si>
  <si>
    <t>APR</t>
  </si>
  <si>
    <t>MAY</t>
  </si>
  <si>
    <t>JUN</t>
  </si>
  <si>
    <t>JUL</t>
  </si>
  <si>
    <t>AUG</t>
  </si>
  <si>
    <t>SEP</t>
  </si>
  <si>
    <t>OCT</t>
  </si>
  <si>
    <t>NOV</t>
  </si>
  <si>
    <t>DEC</t>
  </si>
  <si>
    <t>To Date</t>
  </si>
  <si>
    <t>VTE001</t>
  </si>
  <si>
    <t>Barton Village, Inc. Electric Dept.</t>
  </si>
  <si>
    <t>VTE005</t>
  </si>
  <si>
    <t>Enosburg Falls Water &amp; Light Dept.</t>
  </si>
  <si>
    <t>VTE006</t>
  </si>
  <si>
    <t>Green Mountain Power Corporation</t>
  </si>
  <si>
    <t>VTE007</t>
  </si>
  <si>
    <t>Hardwick Electric Dept., Town of</t>
  </si>
  <si>
    <t>VTE008</t>
  </si>
  <si>
    <t>Hyde Park Electric Dept., Village of</t>
  </si>
  <si>
    <t>VTE009</t>
  </si>
  <si>
    <t>Jacksonville Electric Company, Village of</t>
  </si>
  <si>
    <t>VTE010</t>
  </si>
  <si>
    <t>Johnson Water &amp; Light Dept., Village of</t>
  </si>
  <si>
    <t>VTE011</t>
  </si>
  <si>
    <t>Ludlow Electric Light Dept., Village of</t>
  </si>
  <si>
    <t>VTE012</t>
  </si>
  <si>
    <t>Lyndonville Electric Dept., Village of</t>
  </si>
  <si>
    <t>VTE013</t>
  </si>
  <si>
    <t>Morrisville Water &amp; Light Dept., Village of</t>
  </si>
  <si>
    <t>VTE014</t>
  </si>
  <si>
    <t>Northfield Electric Dept., Village of</t>
  </si>
  <si>
    <t>VTE016</t>
  </si>
  <si>
    <t>Orleans Electric Dept., Village of</t>
  </si>
  <si>
    <t>VTE019</t>
  </si>
  <si>
    <t>Stowe Electric Dept., Town of</t>
  </si>
  <si>
    <t>VTE020</t>
  </si>
  <si>
    <t>Swanton Village Inc. Electric Dept.</t>
  </si>
  <si>
    <t>VTE021</t>
  </si>
  <si>
    <t>VTE022</t>
  </si>
  <si>
    <t>Washington Electric Cooperative, Inc.</t>
  </si>
  <si>
    <r>
      <t xml:space="preserve">Prior Period </t>
    </r>
    <r>
      <rPr>
        <b/>
        <sz val="11"/>
        <rFont val="Calibri"/>
        <family val="2"/>
      </rPr>
      <t>Collection</t>
    </r>
    <r>
      <rPr>
        <sz val="11"/>
        <rFont val="Calibri"/>
        <family val="2"/>
      </rPr>
      <t xml:space="preserve"> Adjustments </t>
    </r>
  </si>
  <si>
    <t>Commercial (includes Pub Street and Other)</t>
  </si>
  <si>
    <t xml:space="preserve">     Total Revenue (excluding customer chg rev)</t>
  </si>
  <si>
    <t>Vermont Electric Cooperative, Inc.</t>
  </si>
  <si>
    <t xml:space="preserve">PSD Evaluation </t>
  </si>
  <si>
    <t>Fiscal Agent Cost</t>
  </si>
  <si>
    <t>PER PUC RULE 5.300</t>
  </si>
  <si>
    <t>EEC Collection True-Up By Rate Class</t>
  </si>
  <si>
    <r>
      <t xml:space="preserve">Total Exclusions </t>
    </r>
    <r>
      <rPr>
        <b/>
        <sz val="11"/>
        <rFont val="Calibri"/>
        <family val="2"/>
      </rPr>
      <t xml:space="preserve">(see Note 2) </t>
    </r>
  </si>
  <si>
    <r>
      <t>Note 1</t>
    </r>
    <r>
      <rPr>
        <sz val="11"/>
        <rFont val="Calibri"/>
        <family val="2"/>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</si>
  <si>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t>Over/Under</t>
  </si>
  <si>
    <t>Performance Award</t>
  </si>
  <si>
    <t>Rates</t>
  </si>
  <si>
    <t>Calculated EEC</t>
  </si>
  <si>
    <t>GMP Customer 2</t>
  </si>
  <si>
    <t>Allocated Actual</t>
  </si>
  <si>
    <t>Jan</t>
  </si>
  <si>
    <t>Feb</t>
  </si>
  <si>
    <t>Mar</t>
  </si>
  <si>
    <t>Apr</t>
  </si>
  <si>
    <t>May</t>
  </si>
  <si>
    <t>Jun</t>
  </si>
  <si>
    <t xml:space="preserve">Commercial </t>
  </si>
  <si>
    <t>Allocation</t>
  </si>
  <si>
    <t>Sector</t>
  </si>
  <si>
    <t>Additional 2018</t>
  </si>
  <si>
    <t xml:space="preserve"> permitted by statute or PUC Order.</t>
  </si>
  <si>
    <t>Non-Demand</t>
  </si>
  <si>
    <t>Demand</t>
  </si>
  <si>
    <t>Budget</t>
  </si>
  <si>
    <t>Commercial Efficiency Charge</t>
  </si>
  <si>
    <t>Industrial Efficiency Charge</t>
  </si>
  <si>
    <t>Residential Efficiency Charge</t>
  </si>
  <si>
    <t>Street and Area Light Efficiency Charge</t>
  </si>
  <si>
    <t>Barton Village, Inc</t>
  </si>
  <si>
    <t>Hardwick Electric Department</t>
  </si>
  <si>
    <t>Morrisville Water &amp; Light Department</t>
  </si>
  <si>
    <t>Orleans Electric Departemnt</t>
  </si>
  <si>
    <t>Vermont Electric Cooperative</t>
  </si>
  <si>
    <t>Washington Electric Co-op, Inc</t>
  </si>
  <si>
    <t>Utility</t>
  </si>
  <si>
    <t>Note: A Negative Difference (Adjustment) indicates a need to increase collections by that amount.</t>
  </si>
  <si>
    <t>Note: A Positive Difference (Adjustment) indicates a need to decrease collections by that amount.</t>
  </si>
  <si>
    <t>2020 EVT EEC</t>
  </si>
  <si>
    <t>Efficiency Vermont</t>
  </si>
  <si>
    <t>Total Collections</t>
  </si>
  <si>
    <t xml:space="preserve">      Over collections are shown in brackets (over) and are subtracted from the amounts to be collected in 2020</t>
  </si>
  <si>
    <t xml:space="preserve">      Under collections are shown without brackets and are added to the amounts to be collected in 2020</t>
  </si>
  <si>
    <t>Projected</t>
  </si>
  <si>
    <t>Years</t>
  </si>
  <si>
    <t>Net</t>
  </si>
  <si>
    <t>Growth</t>
  </si>
  <si>
    <t>Change</t>
  </si>
  <si>
    <t>Revenue under each Methodology</t>
  </si>
  <si>
    <t>RATE CALCULATION</t>
  </si>
  <si>
    <t>EFFICIENCY VERMONT</t>
  </si>
  <si>
    <t>Uncollectible Calculation</t>
  </si>
  <si>
    <t>Jan - Jun</t>
  </si>
  <si>
    <t>Actual/Estimated</t>
  </si>
  <si>
    <t>Over/(Under)</t>
  </si>
  <si>
    <t xml:space="preserve">Collection to be </t>
  </si>
  <si>
    <t>Adjusted in 2020</t>
  </si>
  <si>
    <t xml:space="preserve">Amounts To Be Billed for Efficiency Vermont </t>
  </si>
  <si>
    <t>Total 2019 EEC to be Billed By Utilities in Efficiency Vermont</t>
  </si>
  <si>
    <t xml:space="preserve">Efficiency Vermont Electric Budgets </t>
  </si>
  <si>
    <t>Unit kWh rate for each customer class</t>
  </si>
  <si>
    <t xml:space="preserve">     Commercial</t>
  </si>
  <si>
    <t xml:space="preserve">     Industrial</t>
  </si>
  <si>
    <t xml:space="preserve">Customers Without Demand Charges </t>
  </si>
  <si>
    <t xml:space="preserve">Customers With Demand Charges </t>
  </si>
  <si>
    <t>2020 
EEC Rates</t>
  </si>
  <si>
    <t>5.300 Methodology</t>
  </si>
  <si>
    <t>% chg</t>
  </si>
  <si>
    <t xml:space="preserve">PUC Ordered </t>
  </si>
  <si>
    <t>Customers with Unmetered Street and Security Lights</t>
  </si>
  <si>
    <t>Rate 
Classifications</t>
  </si>
  <si>
    <t>Energy Savings Account</t>
  </si>
  <si>
    <t>2021-2023</t>
  </si>
  <si>
    <t>Triennial Audit</t>
  </si>
  <si>
    <t>Total to Efficiency Vermont</t>
  </si>
  <si>
    <t>EEU Advertising</t>
  </si>
  <si>
    <t>Total Other</t>
  </si>
  <si>
    <t>Development &amp; Support Services</t>
  </si>
  <si>
    <t>Total Budget for EEC Calculation</t>
  </si>
  <si>
    <t>EEC Rates for the Calendar Year 2021-2023</t>
  </si>
  <si>
    <t>EEC to be Collected</t>
  </si>
  <si>
    <t>Total of all Elec. Utilities</t>
  </si>
  <si>
    <t>2021-2023 EEC Rate Calculation</t>
  </si>
  <si>
    <t>Total Budget Adjustments</t>
  </si>
  <si>
    <t>C</t>
  </si>
  <si>
    <t>2021 Projected Retail Sales</t>
  </si>
  <si>
    <t>2015-2017 Carryover (DPS)</t>
  </si>
  <si>
    <t>Actual 2019</t>
  </si>
  <si>
    <t>Proposed 2021 Budget</t>
  </si>
  <si>
    <t>Budget Adjustments (positive value means lower collections have to be added back to collections)</t>
  </si>
  <si>
    <t>2019 Estimated Results</t>
  </si>
  <si>
    <t>2019 Estimate in</t>
  </si>
  <si>
    <t>2019 EEC calculation</t>
  </si>
  <si>
    <t>2020 EEC Calculation</t>
  </si>
  <si>
    <t>FY 1/20 - 12/20</t>
  </si>
  <si>
    <t>FY 1/19 - 12/19 - Collections (Net of Taxes)</t>
  </si>
  <si>
    <t>2019 Consumption Data</t>
  </si>
  <si>
    <t>Distribution Utility</t>
  </si>
  <si>
    <t>Residential 
kWh</t>
  </si>
  <si>
    <t>Commercial Non-Demand kWh</t>
  </si>
  <si>
    <t>Industrial Non-Demand kWh</t>
  </si>
  <si>
    <t>Streetlights kWh</t>
  </si>
  <si>
    <t>Barton Villlage, Inc Electric Department</t>
  </si>
  <si>
    <t>Hardwick Electric Dept, Town of</t>
  </si>
  <si>
    <t>Village of Ludlow Electric Light Dept</t>
  </si>
  <si>
    <t>Northfield Elevtric Dept., Village of</t>
  </si>
  <si>
    <t>Stowe Electric Dept., Village of</t>
  </si>
  <si>
    <t>Commercial 
Demand 
kWh</t>
  </si>
  <si>
    <t>Commercial Demand 
kW</t>
  </si>
  <si>
    <t>Industrial Demand 
kWh</t>
  </si>
  <si>
    <t>Industrial Demand 
kW</t>
  </si>
  <si>
    <t>RATE YEAR 2021</t>
  </si>
  <si>
    <t>2019 REVENUES (See Note 1)</t>
  </si>
  <si>
    <t>2019 BILLING DETERMINANTS  (See Note 1)</t>
  </si>
  <si>
    <t>EEU Fiscal Agent December 2019 Financial Report</t>
  </si>
  <si>
    <t xml:space="preserve">          2019 True-Up</t>
  </si>
  <si>
    <t xml:space="preserve">          2020 Estimate</t>
  </si>
  <si>
    <t>(2)  2019 Collections True Up (Over) Under Collections Actuals (from Column J of "EEC Collection True-Up")</t>
  </si>
  <si>
    <t>(3)  2020 Collections True-Up (Over) Under Collections Estimate  (from Column J of "EEC Collection True-Up")</t>
  </si>
  <si>
    <t>EEF Fiscal Agent June 2020 Financial Report</t>
  </si>
  <si>
    <t xml:space="preserve">   TOTAL CONTRIBUTIONS</t>
  </si>
  <si>
    <t>Additional 2019</t>
  </si>
  <si>
    <t>Jul-Dec</t>
  </si>
  <si>
    <t>w/ Tax</t>
  </si>
  <si>
    <t>Sales Forecast Adjustment (2019-2021)</t>
  </si>
  <si>
    <t>(w/o Tax)</t>
  </si>
  <si>
    <t xml:space="preserve">Source:  EEC Summary Template reconciled with FERC Annual Report ( Adjusted for Non EEU Sales)  </t>
  </si>
  <si>
    <t>Adjustments</t>
  </si>
  <si>
    <t>2021 EVT EEC</t>
  </si>
  <si>
    <t>Use Trend Forecast 0=N, 1=Y</t>
  </si>
  <si>
    <t>EVT</t>
  </si>
  <si>
    <t>Net Meter Customer Adjustment</t>
  </si>
  <si>
    <t>Impact</t>
  </si>
  <si>
    <t>to Sales</t>
  </si>
  <si>
    <t>2020 Efficiency Vermont RA Underspend</t>
  </si>
  <si>
    <t>Oct</t>
  </si>
  <si>
    <t>Nov</t>
  </si>
  <si>
    <t>Jul-Dec w/o Tax (new  rate)</t>
  </si>
  <si>
    <t>Unbudgeted tax</t>
  </si>
  <si>
    <t>Jul-Dec w/o Tax Budget (old rate)</t>
  </si>
  <si>
    <t>Jul-Dec Budget w/Tax</t>
  </si>
  <si>
    <t>2020 Operations Fee from underspend</t>
  </si>
  <si>
    <t>Estimated Impact on the EEC rates from adding Net Metered kWh sales back into EEC collections</t>
  </si>
  <si>
    <t>2019 kWh Sales</t>
  </si>
  <si>
    <t>Est Net Metered kWh</t>
  </si>
  <si>
    <t>Gross Sales</t>
  </si>
  <si>
    <t>% Change</t>
  </si>
  <si>
    <t>Commercial Non Demand</t>
  </si>
  <si>
    <t>Industrial Non Demand</t>
  </si>
  <si>
    <t>Commercial Demand</t>
  </si>
  <si>
    <t>Industrial Demand</t>
  </si>
  <si>
    <t>Applied Weighting of NM capacity</t>
  </si>
  <si>
    <t>Sites</t>
  </si>
  <si>
    <t>According to EAN dashboard, solar PV installed at the end of 2017 equaled:</t>
  </si>
  <si>
    <t>Avg kW per site</t>
  </si>
  <si>
    <t>Use Gross kWh 0=N, 1=Y</t>
  </si>
  <si>
    <t>.</t>
  </si>
  <si>
    <t>Uncollectibles 2019</t>
  </si>
  <si>
    <t>Uncollectibles 2020</t>
  </si>
  <si>
    <t>Gross Revenue and Weatherization Tax (1.025%)</t>
  </si>
  <si>
    <t>Actual 2019 True up (includes tax error)</t>
  </si>
  <si>
    <t>Estimated 2020 True up (includes tax error and sales drops)</t>
  </si>
  <si>
    <t>Total to be Collected by Utilities with Tax</t>
  </si>
  <si>
    <t>Total Collections Net of Tax</t>
  </si>
  <si>
    <t>Total Rate Adjusters</t>
  </si>
  <si>
    <t>2021 EEC Rate Comparison</t>
  </si>
  <si>
    <t>Street and Security Lights</t>
  </si>
  <si>
    <t>Commercial (excluding street lights)</t>
  </si>
  <si>
    <t>2019 True-up</t>
  </si>
  <si>
    <t>2020 True-up</t>
  </si>
  <si>
    <t>Adjusted Sales</t>
  </si>
  <si>
    <t>Adjusted Sales Allocation</t>
  </si>
  <si>
    <t>Forecasted Declines from 2019 Sales</t>
  </si>
  <si>
    <t>Units</t>
  </si>
  <si>
    <t>Consumption</t>
  </si>
  <si>
    <t>% Revenue by Sector</t>
  </si>
  <si>
    <t>Totals</t>
  </si>
  <si>
    <t>Collections by Sector</t>
  </si>
  <si>
    <t>2020 Rates</t>
  </si>
  <si>
    <t xml:space="preserve">2019 Electric Sales </t>
  </si>
  <si>
    <t>2021 EEC Rate Calculation</t>
  </si>
  <si>
    <t xml:space="preserve">2019 EEC Sales </t>
  </si>
  <si>
    <t>Commercial Efficiency Charge b</t>
  </si>
  <si>
    <t>Commercial Efficiency Charge c</t>
  </si>
  <si>
    <t>Commercial Efficiency Charge d</t>
  </si>
  <si>
    <t>Street and Area Light Efficienc</t>
  </si>
  <si>
    <t>Industrial Efficiency Charge g</t>
  </si>
  <si>
    <t>Industrial Efficiency Charge f</t>
  </si>
  <si>
    <t>Industrial Efficiency Charge e</t>
  </si>
  <si>
    <t>Commercial Non-Demand</t>
  </si>
  <si>
    <t>Commecrial Demand kWh</t>
  </si>
  <si>
    <t>Commercial Demand kW</t>
  </si>
  <si>
    <t>Industrial Non-Demand</t>
  </si>
  <si>
    <t>Industrial Demand kWh</t>
  </si>
  <si>
    <t>Industrial Demand kW</t>
  </si>
  <si>
    <t>Street Lights</t>
  </si>
  <si>
    <t>With Tax</t>
  </si>
  <si>
    <t>No Tax</t>
  </si>
  <si>
    <t>2019 Approved Budgets</t>
  </si>
  <si>
    <t>2019 Actual Revenue</t>
  </si>
  <si>
    <t>2020 Actual Revenue</t>
  </si>
  <si>
    <t>2020 Approved Budgets</t>
  </si>
  <si>
    <t>CND</t>
  </si>
  <si>
    <t>CD kW</t>
  </si>
  <si>
    <t>CD kWh</t>
  </si>
  <si>
    <t>I ND</t>
  </si>
  <si>
    <t>I D kWh</t>
  </si>
  <si>
    <t>I D kW</t>
  </si>
  <si>
    <t>Budgets</t>
  </si>
  <si>
    <t>% Consumption by Sector</t>
  </si>
  <si>
    <t>Consumption Change %</t>
  </si>
  <si>
    <t>Sector Shifts</t>
  </si>
  <si>
    <t>Intra-Sector Shifts</t>
  </si>
  <si>
    <t>These values are net of taxes at the new rate of 1.025%</t>
  </si>
  <si>
    <t>Actual Values</t>
  </si>
  <si>
    <t>Vermont Electric Cooperative,Inc.</t>
  </si>
  <si>
    <t>% of Budget</t>
  </si>
  <si>
    <t>2019 Calculated Revenue by Sector</t>
  </si>
  <si>
    <t>Net of Tax</t>
  </si>
  <si>
    <t>Commercial Demand (kWh)</t>
  </si>
  <si>
    <t>Commercial Demand (kW)</t>
  </si>
  <si>
    <t>Industrial Demand (kWh)</t>
  </si>
  <si>
    <t>Industrial Demand (kW)</t>
  </si>
  <si>
    <t>Street &amp; Area Lights</t>
  </si>
  <si>
    <t>YTD</t>
  </si>
  <si>
    <t>% Over / (Under) Budget</t>
  </si>
  <si>
    <t>$ Over / (Under) Budget</t>
  </si>
  <si>
    <r>
      <t xml:space="preserve">2020 </t>
    </r>
    <r>
      <rPr>
        <b/>
        <u/>
        <sz val="10"/>
        <rFont val="Arial"/>
        <family val="2"/>
      </rPr>
      <t>Budgeted</t>
    </r>
    <r>
      <rPr>
        <b/>
        <sz val="10"/>
        <rFont val="Arial"/>
        <family val="2"/>
      </rPr>
      <t xml:space="preserve"> Collections $ by Month (net of taxes) at the OLD tax rates</t>
    </r>
  </si>
  <si>
    <r>
      <t xml:space="preserve">2020 </t>
    </r>
    <r>
      <rPr>
        <b/>
        <u/>
        <sz val="10"/>
        <rFont val="Arial"/>
        <family val="2"/>
      </rPr>
      <t>Forecasted</t>
    </r>
    <r>
      <rPr>
        <b/>
        <sz val="10"/>
        <rFont val="Arial"/>
        <family val="2"/>
      </rPr>
      <t xml:space="preserve"> Collections $ by Month (net of taxes) at the New tax rates</t>
    </r>
  </si>
  <si>
    <t>Not received yet</t>
  </si>
  <si>
    <t>Actuals</t>
  </si>
  <si>
    <t>Budget at old tax rate</t>
  </si>
  <si>
    <t>All in Res</t>
  </si>
  <si>
    <t>2019 kWh</t>
  </si>
  <si>
    <t>Reason</t>
  </si>
  <si>
    <t>Change kWh</t>
  </si>
  <si>
    <t>Change %</t>
  </si>
  <si>
    <t>Res -675K; CD +270K</t>
  </si>
  <si>
    <t>EA -700K; R -225K, C -70K</t>
  </si>
  <si>
    <t xml:space="preserve">R -30M; CND +7M; CD -55M; ID +14M </t>
  </si>
  <si>
    <t>VEC NM Data</t>
  </si>
  <si>
    <t>VPPSA NM Data</t>
  </si>
  <si>
    <t>Total Gross</t>
  </si>
  <si>
    <t>CN/D</t>
  </si>
  <si>
    <t>Customers</t>
  </si>
  <si>
    <t>All</t>
  </si>
  <si>
    <t>Solar</t>
  </si>
  <si>
    <t>Wind</t>
  </si>
  <si>
    <t>Type</t>
  </si>
  <si>
    <t>C %</t>
  </si>
  <si>
    <t>Energy kWh</t>
  </si>
  <si>
    <t>kWh/kW</t>
  </si>
  <si>
    <t>Massie (W)</t>
  </si>
  <si>
    <t>% of kW</t>
  </si>
  <si>
    <t>6 months</t>
  </si>
  <si>
    <t>NREL.gov</t>
  </si>
  <si>
    <t>Total kWh added</t>
  </si>
  <si>
    <t xml:space="preserve">WEC </t>
  </si>
  <si>
    <t>Small 0-15kW</t>
  </si>
  <si>
    <t>Medium &gt;15kW – 150kW</t>
  </si>
  <si>
    <t>Large &gt;150kW and up</t>
  </si>
  <si>
    <r>
      <rPr>
        <sz val="9"/>
        <color rgb="FF445159"/>
        <rFont val="Calibri"/>
        <family val="2"/>
      </rPr>
      <t>Small</t>
    </r>
  </si>
  <si>
    <r>
      <rPr>
        <sz val="9"/>
        <color rgb="FF445159"/>
        <rFont val="Calibri"/>
        <family val="2"/>
      </rPr>
      <t>Active</t>
    </r>
  </si>
  <si>
    <r>
      <rPr>
        <sz val="9"/>
        <color rgb="FF445159"/>
        <rFont val="Calibri"/>
        <family val="2"/>
      </rPr>
      <t>Proposed</t>
    </r>
  </si>
  <si>
    <r>
      <rPr>
        <sz val="9"/>
        <color rgb="FF445159"/>
        <rFont val="Calibri"/>
        <family val="2"/>
      </rPr>
      <t>Medium</t>
    </r>
  </si>
  <si>
    <r>
      <rPr>
        <sz val="9"/>
        <color rgb="FF445159"/>
        <rFont val="Calibri"/>
        <family val="2"/>
      </rPr>
      <t>Large</t>
    </r>
  </si>
  <si>
    <r>
      <rPr>
        <sz val="9"/>
        <color rgb="FF445159"/>
        <rFont val="Calibri"/>
        <family val="2"/>
      </rPr>
      <t>Total Active</t>
    </r>
  </si>
  <si>
    <r>
      <rPr>
        <sz val="9"/>
        <color rgb="FF445159"/>
        <rFont val="Calibri"/>
        <family val="2"/>
      </rPr>
      <t>Total Proposed</t>
    </r>
  </si>
  <si>
    <r>
      <rPr>
        <b/>
        <sz val="9"/>
        <color rgb="FF445159"/>
        <rFont val="Calibri"/>
        <family val="2"/>
      </rPr>
      <t>Combined Total</t>
    </r>
  </si>
  <si>
    <t>96% from Solar PV</t>
  </si>
  <si>
    <t>93% are "small"</t>
  </si>
  <si>
    <t>Size</t>
  </si>
  <si>
    <t>Status</t>
  </si>
  <si>
    <t>Solar NM 1.0</t>
  </si>
  <si>
    <t>Solar NM 2.0</t>
  </si>
  <si>
    <t>Solar NM 2.1</t>
  </si>
  <si>
    <t>Non-Solar NM</t>
  </si>
  <si>
    <t>NM Totals</t>
  </si>
  <si>
    <t>#</t>
  </si>
  <si>
    <t>Capacity (MW)</t>
  </si>
  <si>
    <t>kWh Prior to 7/1/18</t>
  </si>
  <si>
    <t>MW &lt;7/1/18</t>
  </si>
  <si>
    <t>Assume Small are only ones behind the meter</t>
  </si>
  <si>
    <t>VPPSA</t>
  </si>
  <si>
    <t>VEC</t>
  </si>
  <si>
    <t>Assumptions:</t>
  </si>
  <si>
    <t>&lt;15kw are behind the meter</t>
  </si>
  <si>
    <t>95% &lt;15kw are residential</t>
  </si>
  <si>
    <t>&gt;15 kw are better off in front of the meter</t>
  </si>
  <si>
    <t>Small %</t>
  </si>
  <si>
    <t>provided by VEC</t>
  </si>
  <si>
    <t>We have 8020.54 kW of systems over 15 kW in size</t>
  </si>
  <si>
    <t>6797.92 kW of what we consider commercial accounts, 44 accounts total</t>
  </si>
  <si>
    <t>1222.62 kW of residential accounts, 32 accounts total</t>
  </si>
  <si>
    <t>Energy kWh (behind the meter=56%; 6 months)</t>
  </si>
  <si>
    <t>0.6% are &gt;7/1/2018</t>
  </si>
  <si>
    <t>Data as of 11/16/18</t>
  </si>
  <si>
    <t>Capacity kW "Small" &lt;7/1/18</t>
  </si>
  <si>
    <t>provided by GMP for systems active prior to 7/1/2018</t>
  </si>
  <si>
    <t>provided by WEC all data</t>
  </si>
  <si>
    <t>estimated by VPPSA</t>
  </si>
  <si>
    <t>% of retail estimated sales</t>
  </si>
  <si>
    <t xml:space="preserve">R -3M; CN/D -3M; CD +9M; IN/D -3.2M </t>
  </si>
  <si>
    <t>Small reductions-Gross made most back</t>
  </si>
  <si>
    <t>R-0.5M; CN/D-1M; CD +5,000 kW</t>
  </si>
  <si>
    <t>R-50K; CN/D-135K; CD-4MkWh and 10K kW</t>
  </si>
  <si>
    <t xml:space="preserve">Ind </t>
  </si>
  <si>
    <t>Change from 2018 to 2019</t>
  </si>
  <si>
    <t>CN/D +1.2M; CD +1.8M</t>
  </si>
  <si>
    <t>CD +500K</t>
  </si>
  <si>
    <t>CD -35K; SL up 35K</t>
  </si>
  <si>
    <t>CN/D +75K; SL +4K; CD +60K</t>
  </si>
  <si>
    <t>R +75K; CD +320K; Ind +325K</t>
  </si>
  <si>
    <t xml:space="preserve"> GMP Customers</t>
  </si>
  <si>
    <t>R +1.3M; CN/D -400K, SL -2K; CD -260K; I -530K</t>
  </si>
  <si>
    <t xml:space="preserve">GMP Table from </t>
  </si>
  <si>
    <t>Jul</t>
  </si>
  <si>
    <t>Aug</t>
  </si>
  <si>
    <t>Sep</t>
  </si>
  <si>
    <t>Dec</t>
  </si>
  <si>
    <t>MWh Own Use</t>
  </si>
  <si>
    <t>Load Factor</t>
  </si>
  <si>
    <t>% of Total</t>
  </si>
  <si>
    <t>Month</t>
  </si>
  <si>
    <t>Sum for EEC</t>
  </si>
  <si>
    <t>2nd Half</t>
  </si>
  <si>
    <t>100% 2019 Residential Sales</t>
  </si>
  <si>
    <t xml:space="preserve">2nd half 2019 Res Sales </t>
  </si>
  <si>
    <t>Last 6 months</t>
  </si>
  <si>
    <t>estimated at 3.6% of retail residential sales</t>
  </si>
  <si>
    <t>Forecast</t>
  </si>
  <si>
    <t>Estimates</t>
  </si>
  <si>
    <t>Budget, Net of Taxes at Old Rate</t>
  </si>
  <si>
    <t>Budget, Net of Taxes at New Rate</t>
  </si>
  <si>
    <t>Jan-Jun</t>
  </si>
  <si>
    <t>&amp; Credits</t>
  </si>
  <si>
    <t>Year</t>
  </si>
  <si>
    <t>2020 kWh Splits</t>
  </si>
  <si>
    <t>%</t>
  </si>
  <si>
    <t>Commercial kW Trend</t>
  </si>
  <si>
    <t>Industrial kW Trend</t>
  </si>
  <si>
    <t>Total Collections with Old Tax Rate</t>
  </si>
  <si>
    <t>Total Collections with New Tax Rate</t>
  </si>
  <si>
    <t>Under Collection due to Tax Change</t>
  </si>
  <si>
    <t>2020 Collections w/o Tax (at new rates)</t>
  </si>
  <si>
    <t>Industrial Demand On-Peak kW</t>
  </si>
  <si>
    <t>Projected 2020</t>
  </si>
  <si>
    <t>Actual 2018</t>
  </si>
  <si>
    <t>Commercial Demand kWh</t>
  </si>
  <si>
    <t>Commercial Demand On-Peak kW</t>
  </si>
  <si>
    <t>Utility Sales Year</t>
  </si>
  <si>
    <t>(Case # 19-3402)</t>
  </si>
  <si>
    <t>Under Collections due to Tax Change</t>
  </si>
  <si>
    <t>Total Over/(Under) Collections</t>
  </si>
  <si>
    <t>Industrial Non-Demand kWh Revenue</t>
  </si>
  <si>
    <t>Industrial Demand kWh Revenue</t>
  </si>
  <si>
    <t>Industrial Demand On-Peak kW Revenue</t>
  </si>
  <si>
    <t>Commercial Non-Demand kWh Revenue</t>
  </si>
  <si>
    <t>Commercial Demand kWh Revenue</t>
  </si>
  <si>
    <t>Commercial Demand On-Peak kW Revenue</t>
  </si>
  <si>
    <t>Actual 2016</t>
  </si>
  <si>
    <t>Actual 2017</t>
  </si>
  <si>
    <t>Total Commercial kWh</t>
  </si>
  <si>
    <t>Total Industrial kWh</t>
  </si>
  <si>
    <t>kWh Change</t>
  </si>
  <si>
    <t>Total Industrial Revenue</t>
  </si>
  <si>
    <t>Total Commercial Revenue</t>
  </si>
  <si>
    <t>Revenue Change</t>
  </si>
  <si>
    <t>Sales Only</t>
  </si>
  <si>
    <t>Rule 5.304 (D)</t>
  </si>
  <si>
    <t xml:space="preserve">Rule 5.304 (D) </t>
  </si>
  <si>
    <t>Current Year</t>
  </si>
  <si>
    <t>Prior Year</t>
  </si>
  <si>
    <t>2021 Sales</t>
  </si>
  <si>
    <t>Collections</t>
  </si>
  <si>
    <t>2021 
EEC Rates</t>
  </si>
  <si>
    <t>% Change 
2020 to 2021</t>
  </si>
  <si>
    <t>% Change 2020 to 2021</t>
  </si>
  <si>
    <t>Target Budget</t>
  </si>
  <si>
    <t>Calculation of EEC Rates for 2021</t>
  </si>
  <si>
    <t>pending Commission approval in 20-2241-PET</t>
  </si>
  <si>
    <t>2020 Performance Award from under spend</t>
  </si>
  <si>
    <t>Final Rates with Gross Receipts and Wx Taxes</t>
  </si>
  <si>
    <t>Credits</t>
  </si>
  <si>
    <t>Rate Adjusters or Credits</t>
  </si>
  <si>
    <t>Using new tax rates 0.01025%</t>
  </si>
  <si>
    <t>Tax Adjustment (formula=(rate w/o tax)*1.01025)</t>
  </si>
  <si>
    <t>Forecast (did not use this-instead did custom forecast)</t>
  </si>
  <si>
    <t xml:space="preserve">Flat % </t>
  </si>
  <si>
    <t>Use Actual Collections Variance = 1</t>
  </si>
  <si>
    <t>Use Custom Allocation = 0</t>
  </si>
  <si>
    <t>Use 2019 Sales % = 1</t>
  </si>
  <si>
    <t>Alternative A</t>
  </si>
  <si>
    <t>Alternative B</t>
  </si>
  <si>
    <t>Flat % Increase
without Carryover Credit</t>
  </si>
  <si>
    <t>Flat % Increase 
All Credits Included</t>
  </si>
  <si>
    <r>
      <t xml:space="preserve">Flat % Increase </t>
    </r>
    <r>
      <rPr>
        <b/>
        <u/>
        <sz val="11"/>
        <rFont val="Times New Roman"/>
        <family val="1"/>
      </rPr>
      <t>without</t>
    </r>
    <r>
      <rPr>
        <sz val="11"/>
        <rFont val="Times New Roman"/>
        <family val="1"/>
      </rPr>
      <t xml:space="preserve"> 2015-17 Carryover Credit</t>
    </r>
  </si>
  <si>
    <t>(4)  Other: Uncommitted Funds (or Credits)</t>
  </si>
  <si>
    <t>Variance to 5.300</t>
  </si>
  <si>
    <t>Flat % Increase w/o '15-17 Carryover</t>
  </si>
  <si>
    <t>Flat % Increase w/ all Credits</t>
  </si>
  <si>
    <t>5.300 w/ all Credits</t>
  </si>
  <si>
    <t>Method:</t>
  </si>
  <si>
    <r>
      <t xml:space="preserve">Flat % Increase </t>
    </r>
    <r>
      <rPr>
        <b/>
        <u/>
        <sz val="11"/>
        <rFont val="Times New Roman"/>
        <family val="1"/>
      </rPr>
      <t>with</t>
    </r>
    <r>
      <rPr>
        <sz val="11"/>
        <rFont val="Times New Roman"/>
        <family val="1"/>
      </rPr>
      <t xml:space="preserve"> All Credits</t>
    </r>
  </si>
  <si>
    <t>5.300 Methodology 
All Credits Included</t>
  </si>
  <si>
    <t>Unbudgeted Taxes due to Tax Change July 1, 2019</t>
  </si>
  <si>
    <r>
      <t xml:space="preserve">Note 2:  </t>
    </r>
    <r>
      <rPr>
        <sz val="11"/>
        <rFont val="Calibri"/>
        <family val="2"/>
      </rPr>
      <t>Authorized Exclusions (if any) apply only where Public Utility Commission Approval has been specifically granted:</t>
    </r>
  </si>
  <si>
    <t>1= Include 2015-2017 Carryover, 0=No 2015-2017 carryover</t>
  </si>
  <si>
    <t xml:space="preserve">5.300 Carryover Rate Toggle: </t>
  </si>
  <si>
    <t>Alternative Methodology Rate Toggle:</t>
  </si>
  <si>
    <t>1= Use Alternative Method, 0=No Alternative Method</t>
  </si>
  <si>
    <t>Residential kWh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</si>
</sst>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quot;$&quot;#,##0.00000_);[Red]\(&quot;$&quot;#,##0.00000\)"/>
    <numFmt numFmtId="168" formatCode="&quot;$&quot;#,##0.000000_);[Red]\(&quot;$&quot;#,##0.000000\)"/>
    <numFmt numFmtId="169" formatCode="_(&quot;$&quot;* #,##0.0000_);_(&quot;$&quot;* \(#,##0.0000\);_(&quot;$&quot;* &quot;-&quot;??_);_(@_)"/>
    <numFmt numFmtId="170" formatCode="_(&quot;$&quot;* #,##0.00000_);_(&quot;$&quot;* \(#,##0.00000\);_(&quot;$&quot;* &quot;-&quot;??_);_(@_)"/>
    <numFmt numFmtId="171" formatCode="_(&quot;$&quot;* #,##0.000000_);_(&quot;$&quot;* \(#,##0.000000\);_(&quot;$&quot;* &quot;-&quot;??_);_(@_)"/>
    <numFmt numFmtId="172" formatCode="&quot;$&quot;#,##0.000000_);\(&quot;$&quot;#,##0.000000\)"/>
    <numFmt numFmtId="173" formatCode="0.000000"/>
    <numFmt numFmtId="174" formatCode="&quot;$&quot;#,##0.00000"/>
    <numFmt numFmtId="175" formatCode="&quot;$&quot;#,##0"/>
    <numFmt numFmtId="176" formatCode="_(&quot;$&quot;* #,##0.000000_);_(&quot;$&quot;* \(#,##0.000000\);_(&quot;$&quot;* &quot;-&quot;??????_);_(@_)"/>
    <numFmt numFmtId="177" formatCode="_-[$$-C09]* #,##0.000000_-;\-[$$-C09]* #,##0.000000_-;_-[$$-C09]* &quot;-&quot;??????_-;_-@_-"/>
    <numFmt numFmtId="178" formatCode="0.0000%"/>
    <numFmt numFmtId="179" formatCode="_(&quot;$&quot;* #,##0.00000_);_(&quot;$&quot;* \(#,##0.00000\);_(&quot;$&quot;* &quot;-&quot;??????_);_(@_)"/>
    <numFmt numFmtId="180" formatCode="_(&quot;$&quot;* #,##0.0000_);_(&quot;$&quot;* \(#,##0.0000\);_(&quot;$&quot;* &quot;-&quot;??????_);_(@_)"/>
    <numFmt numFmtId="181" formatCode="_ [$$-500A]\ * #,##0.00000_ ;_ [$$-500A]\ * \-#,##0.00000_ ;_ [$$-500A]\ * &quot;-&quot;?????_ ;_ @_ "/>
    <numFmt numFmtId="182" formatCode="_([$$-409]* #,##0.00000_);_([$$-409]* \(#,##0.00000\);_([$$-409]* &quot;-&quot;?????_);_(@_)"/>
    <numFmt numFmtId="183" formatCode="_ [$$-500A]\ * #,##0.0000_ ;_ [$$-500A]\ * \-#,##0.0000_ ;_ [$$-500A]\ * &quot;-&quot;????_ ;_ @_ "/>
    <numFmt numFmtId="184" formatCode="_([$$-409]* #,##0.0000_);_([$$-409]* \(#,##0.0000\);_([$$-409]* &quot;-&quot;????_);_(@_)"/>
    <numFmt numFmtId="185" formatCode="&quot;$&quot;#,##0.00000_);\(&quot;$&quot;#,##0.00000\)"/>
    <numFmt numFmtId="186" formatCode="_(* #,##0.0_);_(* \(#,##0.0\);_(* &quot;-&quot;??_);_(@_)"/>
    <numFmt numFmtId="187" formatCode="_([$$-409]* #,##0.00000_);_([$$-409]* \(#,##0.00000\);_([$$-409]* &quot;-&quot;????_);_(@_)"/>
    <numFmt numFmtId="188" formatCode="&quot;$&quot;#,##0.00"/>
    <numFmt numFmtId="189" formatCode="&quot;$&quot;#,##0.000_);\(&quot;$&quot;#,##0.000\)"/>
    <numFmt numFmtId="190" formatCode="#,##0.00000_);\(#,##0.00000\)"/>
    <numFmt numFmtId="191" formatCode="&quot;$&quot;#,##0.0"/>
    <numFmt numFmtId="192" formatCode="0.000%"/>
    <numFmt numFmtId="193" formatCode="0.0"/>
    <numFmt numFmtId="194" formatCode="0.00000"/>
    <numFmt numFmtId="195" formatCode="_(* #,##0.000_);_(* \(#,##0.000\);_(* &quot;-&quot;??_);_(@_)"/>
    <numFmt numFmtId="196" formatCode="&quot;$&quot;#,##0.0000"/>
  </numFmts>
  <fonts count="64" x14ac:knownFonts="1">
    <font>
      <sz val="10"/>
      <name val="Arial"/>
    </font>
    <font>
      <sz val="10"/>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b/>
      <u/>
      <sz val="11"/>
      <name val="Times New Roman"/>
      <family val="1"/>
    </font>
    <font>
      <sz val="11"/>
      <name val="Times New Roman"/>
      <family val="1"/>
    </font>
    <font>
      <b/>
      <sz val="11"/>
      <name val="Times New Roman"/>
      <family val="1"/>
    </font>
    <font>
      <u/>
      <sz val="11"/>
      <name val="Times New Roman"/>
      <family val="1"/>
    </font>
    <font>
      <sz val="12"/>
      <name val="Times New Roman"/>
      <family val="1"/>
    </font>
    <font>
      <b/>
      <u/>
      <sz val="12"/>
      <name val="Times New Roman"/>
      <family val="1"/>
    </font>
    <font>
      <u/>
      <sz val="12"/>
      <name val="Times New Roman"/>
      <family val="1"/>
    </font>
    <font>
      <b/>
      <sz val="12"/>
      <name val="Times New Roman"/>
      <family val="1"/>
    </font>
    <font>
      <sz val="11"/>
      <color theme="1"/>
      <name val="Calibri"/>
      <family val="2"/>
      <scheme val="minor"/>
    </font>
    <font>
      <b/>
      <sz val="11"/>
      <color theme="1"/>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u val="singleAccounting"/>
      <sz val="11"/>
      <name val="Calibri"/>
      <family val="2"/>
      <scheme val="minor"/>
    </font>
    <font>
      <b/>
      <u/>
      <sz val="11"/>
      <color indexed="8"/>
      <name val="Calibri"/>
      <family val="2"/>
      <scheme val="minor"/>
    </font>
    <font>
      <u/>
      <sz val="11"/>
      <color indexed="8"/>
      <name val="Calibri"/>
      <family val="2"/>
      <scheme val="minor"/>
    </font>
    <font>
      <i/>
      <sz val="11"/>
      <color rgb="FFFF0000"/>
      <name val="Calibri"/>
      <family val="2"/>
      <scheme val="minor"/>
    </font>
    <font>
      <b/>
      <sz val="11"/>
      <color rgb="FFFF0000"/>
      <name val="Calibri"/>
      <family val="2"/>
      <scheme val="minor"/>
    </font>
    <font>
      <i/>
      <u/>
      <sz val="11"/>
      <color rgb="FFFF0000"/>
      <name val="Calibri"/>
      <family val="2"/>
      <scheme val="minor"/>
    </font>
    <font>
      <u/>
      <sz val="10"/>
      <name val="Arial"/>
      <family val="2"/>
    </font>
    <font>
      <b/>
      <u/>
      <sz val="10"/>
      <name val="Arial"/>
      <family val="2"/>
    </font>
    <font>
      <u val="singleAccounting"/>
      <sz val="10"/>
      <name val="Arial"/>
      <family val="2"/>
    </font>
    <font>
      <b/>
      <u/>
      <sz val="10"/>
      <color theme="1"/>
      <name val="Arial"/>
      <family val="2"/>
    </font>
    <font>
      <u/>
      <sz val="10"/>
      <color theme="1"/>
      <name val="Arial"/>
      <family val="2"/>
    </font>
    <font>
      <b/>
      <sz val="10"/>
      <color theme="1"/>
      <name val="Arial"/>
      <family val="2"/>
    </font>
    <font>
      <sz val="9"/>
      <name val="Calibri"/>
      <family val="2"/>
    </font>
    <font>
      <sz val="9"/>
      <color rgb="FF445159"/>
      <name val="Calibri"/>
      <family val="2"/>
    </font>
    <font>
      <b/>
      <sz val="9"/>
      <name val="Calibri"/>
      <family val="2"/>
    </font>
    <font>
      <b/>
      <sz val="9"/>
      <color rgb="FF445159"/>
      <name val="Calibri"/>
      <family val="2"/>
    </font>
    <font>
      <b/>
      <i/>
      <sz val="10"/>
      <name val="Arial"/>
      <family val="2"/>
    </font>
    <font>
      <b/>
      <sz val="11"/>
      <color rgb="FF1F497D"/>
      <name val="Calibri"/>
      <family val="2"/>
    </font>
    <font>
      <b/>
      <u val="singleAccounting"/>
      <sz val="11"/>
      <name val="Calibri"/>
      <family val="2"/>
      <scheme val="minor"/>
    </font>
    <font>
      <b/>
      <i/>
      <u/>
      <sz val="11"/>
      <color rgb="FFFF0000"/>
      <name val="Calibri"/>
      <family val="2"/>
      <scheme val="minor"/>
    </font>
    <font>
      <b/>
      <u/>
      <sz val="11"/>
      <color rgb="FFFF0000"/>
      <name val="Calibri"/>
      <family val="2"/>
      <scheme val="minor"/>
    </font>
    <font>
      <b/>
      <sz val="11"/>
      <color rgb="FFFF0000"/>
      <name val="Times New Roman"/>
      <family val="1"/>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0"/>
        <bgColor indexed="64"/>
      </patternFill>
    </fill>
    <fill>
      <patternFill patternType="solid">
        <fgColor indexed="44"/>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FFFF99"/>
        <bgColor indexed="64"/>
      </patternFill>
    </fill>
    <fill>
      <patternFill patternType="solid">
        <fgColor theme="6" tint="0.59999389629810485"/>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2F2F2"/>
      </patternFill>
    </fill>
    <fill>
      <patternFill patternType="solid">
        <fgColor rgb="FFDADADA"/>
      </patternFill>
    </fill>
    <fill>
      <patternFill patternType="solid">
        <fgColor rgb="FFFBDEAE"/>
      </patternFill>
    </fill>
    <fill>
      <patternFill patternType="solid">
        <fgColor rgb="FFC5DDB2"/>
      </patternFill>
    </fill>
    <fill>
      <patternFill patternType="solid">
        <fgColor theme="9" tint="0.79998168889431442"/>
        <bgColor indexed="64"/>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top/>
      <bottom style="medium">
        <color indexed="64"/>
      </bottom>
      <diagonal/>
    </border>
    <border>
      <left/>
      <right/>
      <top style="thin">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rgb="FFFFFFFF"/>
      </right>
      <top/>
      <bottom/>
      <diagonal/>
    </border>
    <border>
      <left style="thin">
        <color rgb="FFFFFFFF"/>
      </left>
      <right style="thin">
        <color rgb="FFFFFFFF"/>
      </right>
      <top/>
      <bottom/>
      <diagonal/>
    </border>
    <border>
      <left style="thin">
        <color rgb="FFFFFFFF"/>
      </left>
      <right/>
      <top/>
      <bottom style="thin">
        <color rgb="FFFFFFFF"/>
      </bottom>
      <diagonal/>
    </border>
    <border>
      <left/>
      <right style="thin">
        <color rgb="FFFFFFFF"/>
      </right>
      <top/>
      <bottom style="thin">
        <color rgb="FFFFFFFF"/>
      </bottom>
      <diagonal/>
    </border>
    <border>
      <left/>
      <right/>
      <top/>
      <bottom style="thin">
        <color rgb="FFFFFFFF"/>
      </bottom>
      <diagonal/>
    </border>
    <border>
      <left/>
      <right style="thin">
        <color rgb="FFFFFFFF"/>
      </right>
      <top/>
      <bottom style="thin">
        <color rgb="FF000000"/>
      </bottom>
      <diagonal/>
    </border>
    <border>
      <left style="thin">
        <color rgb="FFFFFFFF"/>
      </left>
      <right style="thin">
        <color rgb="FFFFFFFF"/>
      </right>
      <top/>
      <bottom style="thin">
        <color rgb="FF000000"/>
      </bottom>
      <diagonal/>
    </border>
    <border>
      <left style="thin">
        <color rgb="FFFFFFFF"/>
      </left>
      <right style="thin">
        <color rgb="FFFFFFFF"/>
      </right>
      <top style="thin">
        <color rgb="FFFFFFFF"/>
      </top>
      <bottom style="thin">
        <color rgb="FF000000"/>
      </bottom>
      <diagonal/>
    </border>
    <border>
      <left style="thin">
        <color rgb="FFFFFFFF"/>
      </left>
      <right/>
      <top style="thin">
        <color rgb="FFFFFFFF"/>
      </top>
      <bottom style="thin">
        <color rgb="FF000000"/>
      </bottom>
      <diagonal/>
    </border>
    <border>
      <left/>
      <right style="thin">
        <color rgb="FFFFFFFF"/>
      </right>
      <top style="thin">
        <color rgb="FF000000"/>
      </top>
      <bottom/>
      <diagonal/>
    </border>
    <border>
      <left style="thin">
        <color rgb="FFFFFFFF"/>
      </left>
      <right style="thin">
        <color rgb="FFFFFFFF"/>
      </right>
      <top style="thin">
        <color rgb="FF000000"/>
      </top>
      <bottom style="thin">
        <color rgb="FF000000"/>
      </bottom>
      <diagonal/>
    </border>
    <border>
      <left style="thin">
        <color rgb="FFFFFFFF"/>
      </left>
      <right/>
      <top style="thin">
        <color rgb="FF000000"/>
      </top>
      <bottom style="thin">
        <color rgb="FF000000"/>
      </bottom>
      <diagonal/>
    </border>
    <border>
      <left/>
      <right/>
      <top style="thin">
        <color rgb="FF000000"/>
      </top>
      <bottom style="thin">
        <color rgb="FF000000"/>
      </bottom>
      <diagonal/>
    </border>
    <border>
      <left/>
      <right style="thin">
        <color rgb="FFFFFFFF"/>
      </right>
      <top style="thin">
        <color rgb="FF000000"/>
      </top>
      <bottom style="thin">
        <color rgb="FF000000"/>
      </bottom>
      <diagonal/>
    </border>
    <border>
      <left/>
      <right/>
      <top style="thin">
        <color rgb="FF000000"/>
      </top>
      <bottom/>
      <diagonal/>
    </border>
    <border>
      <left style="thin">
        <color rgb="FFFFFFFF"/>
      </left>
      <right style="thin">
        <color rgb="FFFFFFFF"/>
      </right>
      <top style="thin">
        <color rgb="FF000000"/>
      </top>
      <bottom/>
      <diagonal/>
    </border>
    <border>
      <left style="thin">
        <color rgb="FFFFFFFF"/>
      </left>
      <right/>
      <top style="thin">
        <color rgb="FF000000"/>
      </top>
      <bottom/>
      <diagonal/>
    </border>
    <border>
      <left style="thin">
        <color rgb="FFFFFFFF"/>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s>
  <cellStyleXfs count="52">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4" fillId="0" borderId="0" applyFont="0" applyFill="0" applyBorder="0" applyAlignment="0" applyProtection="0"/>
    <xf numFmtId="44" fontId="22"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2" fillId="0" borderId="0"/>
    <xf numFmtId="0" fontId="34" fillId="0" borderId="0"/>
    <xf numFmtId="0" fontId="5" fillId="23" borderId="7" applyNumberFormat="0" applyFont="0" applyAlignment="0" applyProtection="0"/>
    <xf numFmtId="0" fontId="18" fillId="20" borderId="8" applyNumberFormat="0" applyAlignment="0" applyProtection="0"/>
    <xf numFmtId="9" fontId="1" fillId="0" borderId="0" applyFon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cellStyleXfs>
  <cellXfs count="1070">
    <xf numFmtId="0" fontId="0" fillId="0" borderId="0" xfId="0"/>
    <xf numFmtId="0" fontId="36" fillId="0" borderId="0" xfId="0" applyFont="1"/>
    <xf numFmtId="175" fontId="36" fillId="0" borderId="0" xfId="0" applyNumberFormat="1" applyFont="1"/>
    <xf numFmtId="5" fontId="36" fillId="0" borderId="0" xfId="0" applyNumberFormat="1" applyFont="1"/>
    <xf numFmtId="0" fontId="37" fillId="0" borderId="0" xfId="0" applyFont="1" applyFill="1" applyBorder="1"/>
    <xf numFmtId="0" fontId="38" fillId="0" borderId="0" xfId="0" applyFont="1" applyBorder="1"/>
    <xf numFmtId="0" fontId="38" fillId="0" borderId="0" xfId="0" applyFont="1"/>
    <xf numFmtId="0" fontId="38" fillId="0" borderId="10" xfId="0" applyFont="1" applyBorder="1"/>
    <xf numFmtId="0" fontId="36" fillId="0" borderId="10" xfId="0" applyFont="1" applyBorder="1"/>
    <xf numFmtId="0" fontId="36" fillId="0" borderId="0" xfId="0" applyFont="1" applyBorder="1"/>
    <xf numFmtId="0" fontId="39" fillId="0" borderId="0" xfId="0" applyFont="1"/>
    <xf numFmtId="0" fontId="38" fillId="0" borderId="0" xfId="0" applyFont="1" applyFill="1" applyBorder="1"/>
    <xf numFmtId="0" fontId="39" fillId="0" borderId="0" xfId="0" applyFont="1" applyAlignment="1">
      <alignment horizontal="center"/>
    </xf>
    <xf numFmtId="0" fontId="36" fillId="0" borderId="0" xfId="0" applyFont="1" applyFill="1" applyBorder="1"/>
    <xf numFmtId="0" fontId="37" fillId="0" borderId="0" xfId="0" applyFont="1"/>
    <xf numFmtId="0" fontId="37" fillId="0" borderId="0" xfId="0" applyFont="1" applyFill="1" applyBorder="1" applyAlignment="1">
      <alignment horizontal="center"/>
    </xf>
    <xf numFmtId="175" fontId="38" fillId="0" borderId="0" xfId="0" applyNumberFormat="1" applyFont="1" applyFill="1" applyBorder="1" applyAlignment="1">
      <alignment horizontal="right"/>
    </xf>
    <xf numFmtId="166" fontId="38" fillId="0" borderId="0" xfId="47" applyNumberFormat="1" applyFont="1"/>
    <xf numFmtId="0" fontId="38" fillId="0" borderId="10" xfId="0" applyFont="1" applyFill="1" applyBorder="1"/>
    <xf numFmtId="175" fontId="38" fillId="0" borderId="0" xfId="0" applyNumberFormat="1" applyFont="1"/>
    <xf numFmtId="166" fontId="38" fillId="0" borderId="0" xfId="47" applyNumberFormat="1" applyFont="1" applyFill="1" applyBorder="1"/>
    <xf numFmtId="0" fontId="38" fillId="0" borderId="0" xfId="0" applyFont="1" applyFill="1"/>
    <xf numFmtId="0" fontId="39" fillId="0" borderId="0" xfId="0" applyFont="1" applyBorder="1"/>
    <xf numFmtId="0" fontId="38" fillId="0" borderId="0" xfId="0" applyFont="1" applyFill="1" applyBorder="1" applyAlignment="1">
      <alignment horizontal="center"/>
    </xf>
    <xf numFmtId="6" fontId="36" fillId="0" borderId="0" xfId="0" applyNumberFormat="1" applyFont="1"/>
    <xf numFmtId="166" fontId="36" fillId="0" borderId="0" xfId="47" applyNumberFormat="1" applyFont="1"/>
    <xf numFmtId="3" fontId="36" fillId="0" borderId="0" xfId="0" applyNumberFormat="1" applyFont="1"/>
    <xf numFmtId="175" fontId="38" fillId="0" borderId="0" xfId="0" applyNumberFormat="1" applyFont="1" applyFill="1" applyBorder="1"/>
    <xf numFmtId="165" fontId="36" fillId="0" borderId="0" xfId="28" applyNumberFormat="1" applyFont="1"/>
    <xf numFmtId="0" fontId="36" fillId="0" borderId="0" xfId="0" applyFont="1" applyAlignment="1">
      <alignment horizontal="center"/>
    </xf>
    <xf numFmtId="0" fontId="36" fillId="0" borderId="0" xfId="0" applyFont="1" applyFill="1" applyBorder="1" applyAlignment="1">
      <alignment horizontal="center"/>
    </xf>
    <xf numFmtId="0" fontId="40" fillId="0" borderId="0" xfId="0" applyFont="1" applyFill="1" applyBorder="1" applyAlignment="1">
      <alignment horizontal="center"/>
    </xf>
    <xf numFmtId="42" fontId="36" fillId="0" borderId="0" xfId="0" applyNumberFormat="1" applyFont="1"/>
    <xf numFmtId="42" fontId="36" fillId="0" borderId="0" xfId="0" applyNumberFormat="1" applyFont="1" applyFill="1"/>
    <xf numFmtId="42" fontId="36" fillId="0" borderId="0" xfId="0" applyNumberFormat="1" applyFont="1" applyFill="1" applyBorder="1"/>
    <xf numFmtId="0" fontId="36" fillId="0" borderId="0" xfId="0" applyFont="1" applyFill="1"/>
    <xf numFmtId="165" fontId="36" fillId="0" borderId="0" xfId="0" applyNumberFormat="1" applyFont="1"/>
    <xf numFmtId="0" fontId="36" fillId="0" borderId="11" xfId="0" applyFont="1" applyBorder="1"/>
    <xf numFmtId="0" fontId="36" fillId="0" borderId="0" xfId="0" applyFont="1" applyBorder="1" applyAlignment="1">
      <alignment horizontal="center"/>
    </xf>
    <xf numFmtId="0" fontId="36" fillId="0" borderId="10" xfId="0" applyFont="1" applyBorder="1" applyAlignment="1">
      <alignment horizontal="center"/>
    </xf>
    <xf numFmtId="0" fontId="36" fillId="0" borderId="12" xfId="0" applyFont="1" applyBorder="1"/>
    <xf numFmtId="164" fontId="36" fillId="0" borderId="0" xfId="29" applyNumberFormat="1" applyFont="1"/>
    <xf numFmtId="165" fontId="39" fillId="0" borderId="0" xfId="28" applyNumberFormat="1" applyFont="1"/>
    <xf numFmtId="0" fontId="38" fillId="0" borderId="0" xfId="0" applyFont="1" applyAlignment="1">
      <alignment horizontal="center"/>
    </xf>
    <xf numFmtId="0" fontId="39" fillId="0" borderId="0" xfId="0" applyFont="1" applyFill="1" applyBorder="1"/>
    <xf numFmtId="175" fontId="38" fillId="0" borderId="0" xfId="0" applyNumberFormat="1" applyFont="1" applyFill="1" applyAlignment="1">
      <alignment horizontal="center"/>
    </xf>
    <xf numFmtId="0" fontId="38" fillId="0" borderId="0" xfId="0" applyFont="1" applyFill="1" applyAlignment="1">
      <alignment horizontal="center"/>
    </xf>
    <xf numFmtId="0" fontId="36" fillId="0" borderId="0" xfId="0" applyFont="1" applyAlignment="1">
      <alignment horizontal="left"/>
    </xf>
    <xf numFmtId="42" fontId="39" fillId="0" borderId="0" xfId="0" applyNumberFormat="1" applyFont="1"/>
    <xf numFmtId="0" fontId="39" fillId="0" borderId="13" xfId="0" applyFont="1" applyBorder="1"/>
    <xf numFmtId="6" fontId="36" fillId="0" borderId="0" xfId="0" applyNumberFormat="1" applyFont="1" applyFill="1"/>
    <xf numFmtId="6" fontId="36" fillId="0" borderId="0" xfId="0" applyNumberFormat="1" applyFont="1" applyFill="1" applyBorder="1"/>
    <xf numFmtId="175" fontId="36" fillId="0" borderId="0" xfId="0" applyNumberFormat="1" applyFont="1" applyFill="1"/>
    <xf numFmtId="0" fontId="36" fillId="0" borderId="0" xfId="0" applyFont="1" applyFill="1" applyAlignment="1">
      <alignment horizontal="left"/>
    </xf>
    <xf numFmtId="6" fontId="36" fillId="0" borderId="10" xfId="0" applyNumberFormat="1" applyFont="1" applyFill="1" applyBorder="1"/>
    <xf numFmtId="6" fontId="40" fillId="0" borderId="0" xfId="0" applyNumberFormat="1" applyFont="1" applyFill="1"/>
    <xf numFmtId="0" fontId="39" fillId="0" borderId="14" xfId="0" applyFont="1" applyBorder="1"/>
    <xf numFmtId="6" fontId="36" fillId="0" borderId="14" xfId="0" applyNumberFormat="1" applyFont="1" applyFill="1" applyBorder="1"/>
    <xf numFmtId="0" fontId="39" fillId="0" borderId="0" xfId="0" applyFont="1" applyFill="1"/>
    <xf numFmtId="0" fontId="39" fillId="0" borderId="11" xfId="0" applyFont="1" applyBorder="1" applyAlignment="1">
      <alignment horizontal="center"/>
    </xf>
    <xf numFmtId="0" fontId="39" fillId="0" borderId="15" xfId="0" applyFont="1" applyBorder="1" applyAlignment="1">
      <alignment horizontal="center"/>
    </xf>
    <xf numFmtId="166" fontId="36" fillId="0" borderId="0" xfId="47" applyNumberFormat="1" applyFont="1" applyFill="1"/>
    <xf numFmtId="9" fontId="36" fillId="0" borderId="0" xfId="47" applyFont="1"/>
    <xf numFmtId="6" fontId="36" fillId="0" borderId="16" xfId="29" applyNumberFormat="1" applyFont="1" applyFill="1" applyBorder="1"/>
    <xf numFmtId="0" fontId="39" fillId="0" borderId="17" xfId="0" applyFont="1" applyBorder="1" applyAlignment="1">
      <alignment horizontal="center"/>
    </xf>
    <xf numFmtId="0" fontId="36" fillId="0" borderId="14" xfId="0" applyFont="1" applyBorder="1"/>
    <xf numFmtId="0" fontId="39" fillId="0" borderId="18" xfId="0" applyFont="1" applyBorder="1"/>
    <xf numFmtId="0" fontId="40" fillId="0" borderId="0" xfId="0" applyFont="1"/>
    <xf numFmtId="3" fontId="36" fillId="0" borderId="0" xfId="0" applyNumberFormat="1" applyFont="1" applyFill="1"/>
    <xf numFmtId="174" fontId="36" fillId="0" borderId="0" xfId="0" applyNumberFormat="1" applyFont="1" applyFill="1"/>
    <xf numFmtId="165" fontId="36" fillId="0" borderId="0" xfId="28" applyNumberFormat="1" applyFont="1" applyFill="1"/>
    <xf numFmtId="166" fontId="36" fillId="0" borderId="0" xfId="0" applyNumberFormat="1" applyFont="1" applyFill="1"/>
    <xf numFmtId="165" fontId="36" fillId="0" borderId="0" xfId="0" applyNumberFormat="1" applyFont="1" applyFill="1"/>
    <xf numFmtId="166" fontId="36" fillId="0" borderId="0" xfId="0" applyNumberFormat="1" applyFont="1"/>
    <xf numFmtId="0" fontId="39" fillId="0" borderId="19" xfId="0" applyFont="1" applyFill="1" applyBorder="1" applyAlignment="1">
      <alignment horizontal="left"/>
    </xf>
    <xf numFmtId="0" fontId="39" fillId="0" borderId="20" xfId="0" applyFont="1" applyFill="1" applyBorder="1" applyAlignment="1">
      <alignment horizontal="left"/>
    </xf>
    <xf numFmtId="0" fontId="39" fillId="0" borderId="21" xfId="0" applyFont="1" applyFill="1" applyBorder="1" applyAlignment="1">
      <alignment horizontal="left"/>
    </xf>
    <xf numFmtId="0" fontId="36" fillId="0" borderId="22" xfId="0" applyFont="1" applyFill="1" applyBorder="1"/>
    <xf numFmtId="0" fontId="39" fillId="0" borderId="23" xfId="0" applyFont="1" applyFill="1" applyBorder="1"/>
    <xf numFmtId="167" fontId="36" fillId="0" borderId="0" xfId="0" applyNumberFormat="1" applyFont="1" applyFill="1"/>
    <xf numFmtId="167" fontId="36" fillId="0" borderId="0" xfId="0" applyNumberFormat="1" applyFont="1" applyFill="1" applyBorder="1"/>
    <xf numFmtId="0" fontId="36" fillId="0" borderId="23" xfId="0" applyFont="1" applyFill="1" applyBorder="1"/>
    <xf numFmtId="167" fontId="36" fillId="0" borderId="0" xfId="0" applyNumberFormat="1" applyFont="1"/>
    <xf numFmtId="167" fontId="36" fillId="0" borderId="0" xfId="0" applyNumberFormat="1" applyFont="1" applyFill="1" applyAlignment="1">
      <alignment horizontal="right"/>
    </xf>
    <xf numFmtId="185" fontId="36" fillId="0" borderId="0" xfId="29" applyNumberFormat="1" applyFont="1" applyFill="1"/>
    <xf numFmtId="0" fontId="36" fillId="0" borderId="24" xfId="0" applyFont="1" applyFill="1" applyBorder="1"/>
    <xf numFmtId="167" fontId="36" fillId="0" borderId="13" xfId="0" applyNumberFormat="1" applyFont="1" applyFill="1" applyBorder="1"/>
    <xf numFmtId="0" fontId="36" fillId="0" borderId="25" xfId="0" applyFont="1" applyFill="1" applyBorder="1"/>
    <xf numFmtId="172" fontId="36" fillId="0" borderId="0" xfId="29" applyNumberFormat="1" applyFont="1" applyFill="1"/>
    <xf numFmtId="168" fontId="36" fillId="0" borderId="0" xfId="0" applyNumberFormat="1" applyFont="1" applyFill="1" applyBorder="1"/>
    <xf numFmtId="0" fontId="36" fillId="0" borderId="14" xfId="0" applyFont="1" applyFill="1" applyBorder="1"/>
    <xf numFmtId="8" fontId="36" fillId="0" borderId="0" xfId="0" applyNumberFormat="1" applyFont="1" applyBorder="1"/>
    <xf numFmtId="8" fontId="36" fillId="0" borderId="0" xfId="0" applyNumberFormat="1" applyFont="1"/>
    <xf numFmtId="0" fontId="41" fillId="0" borderId="0" xfId="0" applyFont="1" applyAlignment="1">
      <alignment horizontal="center"/>
    </xf>
    <xf numFmtId="0" fontId="41" fillId="0" borderId="0" xfId="0" applyFont="1"/>
    <xf numFmtId="42" fontId="36" fillId="0" borderId="0" xfId="29" applyNumberFormat="1" applyFont="1"/>
    <xf numFmtId="170" fontId="39" fillId="0" borderId="0" xfId="29" applyNumberFormat="1" applyFont="1"/>
    <xf numFmtId="37" fontId="39" fillId="0" borderId="0" xfId="0" applyNumberFormat="1" applyFont="1"/>
    <xf numFmtId="173" fontId="36" fillId="0" borderId="0" xfId="0" applyNumberFormat="1" applyFont="1" applyAlignment="1">
      <alignment horizontal="left"/>
    </xf>
    <xf numFmtId="164" fontId="36" fillId="0" borderId="0" xfId="0" applyNumberFormat="1" applyFont="1"/>
    <xf numFmtId="169" fontId="39" fillId="0" borderId="0" xfId="29" applyNumberFormat="1" applyFont="1"/>
    <xf numFmtId="171" fontId="39" fillId="0" borderId="0" xfId="29" applyNumberFormat="1" applyFont="1"/>
    <xf numFmtId="186" fontId="36" fillId="0" borderId="0" xfId="28" applyNumberFormat="1" applyFont="1"/>
    <xf numFmtId="188" fontId="36" fillId="0" borderId="0" xfId="0" applyNumberFormat="1" applyFont="1"/>
    <xf numFmtId="188" fontId="36" fillId="0" borderId="0" xfId="0" applyNumberFormat="1" applyFont="1" applyAlignment="1">
      <alignment horizontal="center"/>
    </xf>
    <xf numFmtId="188" fontId="36" fillId="0" borderId="10" xfId="0" applyNumberFormat="1" applyFont="1" applyBorder="1" applyAlignment="1">
      <alignment horizontal="center"/>
    </xf>
    <xf numFmtId="165" fontId="36" fillId="0" borderId="0" xfId="28" applyNumberFormat="1" applyFont="1" applyAlignment="1">
      <alignment horizontal="center"/>
    </xf>
    <xf numFmtId="164" fontId="36" fillId="0" borderId="0" xfId="29" applyNumberFormat="1" applyFont="1" applyAlignment="1">
      <alignment horizontal="center"/>
    </xf>
    <xf numFmtId="3" fontId="36" fillId="0" borderId="0" xfId="0" applyNumberFormat="1" applyFont="1" applyAlignment="1">
      <alignment horizontal="center"/>
    </xf>
    <xf numFmtId="0" fontId="36" fillId="0" borderId="11" xfId="0" applyFont="1" applyFill="1" applyBorder="1" applyAlignment="1">
      <alignment horizontal="center"/>
    </xf>
    <xf numFmtId="0" fontId="36" fillId="0" borderId="10" xfId="0" applyFont="1" applyFill="1" applyBorder="1" applyAlignment="1">
      <alignment horizontal="center"/>
    </xf>
    <xf numFmtId="0" fontId="36" fillId="0" borderId="26" xfId="0" applyFont="1" applyFill="1" applyBorder="1" applyAlignment="1">
      <alignment horizontal="center"/>
    </xf>
    <xf numFmtId="0" fontId="36" fillId="0" borderId="12" xfId="0" applyFont="1" applyFill="1" applyBorder="1" applyAlignment="1">
      <alignment horizontal="center"/>
    </xf>
    <xf numFmtId="165" fontId="36" fillId="0" borderId="12" xfId="28" applyNumberFormat="1" applyFont="1" applyFill="1" applyBorder="1" applyAlignment="1">
      <alignment horizontal="center"/>
    </xf>
    <xf numFmtId="0" fontId="36" fillId="0" borderId="27" xfId="0" applyFont="1" applyFill="1" applyBorder="1" applyAlignment="1">
      <alignment horizontal="center"/>
    </xf>
    <xf numFmtId="0" fontId="36" fillId="0" borderId="28" xfId="0" applyFont="1" applyFill="1" applyBorder="1"/>
    <xf numFmtId="0" fontId="40" fillId="0" borderId="11" xfId="0" applyFont="1" applyFill="1" applyBorder="1" applyAlignment="1">
      <alignment horizontal="center"/>
    </xf>
    <xf numFmtId="165" fontId="36" fillId="0" borderId="11" xfId="28" applyNumberFormat="1" applyFont="1" applyFill="1" applyBorder="1" applyAlignment="1">
      <alignment horizontal="center"/>
    </xf>
    <xf numFmtId="0" fontId="40" fillId="0" borderId="12" xfId="0" applyFont="1" applyFill="1" applyBorder="1" applyAlignment="1">
      <alignment horizontal="center"/>
    </xf>
    <xf numFmtId="0" fontId="40" fillId="0" borderId="29" xfId="0" applyFont="1" applyFill="1" applyBorder="1" applyAlignment="1">
      <alignment horizontal="center"/>
    </xf>
    <xf numFmtId="0" fontId="40" fillId="0" borderId="28" xfId="0" applyFont="1" applyFill="1" applyBorder="1" applyAlignment="1">
      <alignment horizontal="center"/>
    </xf>
    <xf numFmtId="0" fontId="40" fillId="0" borderId="0" xfId="0" applyFont="1" applyAlignment="1">
      <alignment horizontal="center"/>
    </xf>
    <xf numFmtId="165" fontId="40" fillId="0" borderId="11" xfId="28" applyNumberFormat="1" applyFont="1" applyFill="1" applyBorder="1" applyAlignment="1">
      <alignment horizontal="center"/>
    </xf>
    <xf numFmtId="0" fontId="36" fillId="0" borderId="11" xfId="0" applyFont="1" applyFill="1" applyBorder="1"/>
    <xf numFmtId="3" fontId="36" fillId="0" borderId="11" xfId="0" applyNumberFormat="1" applyFont="1" applyFill="1" applyBorder="1"/>
    <xf numFmtId="0" fontId="36" fillId="0" borderId="12" xfId="0" applyFont="1" applyFill="1" applyBorder="1"/>
    <xf numFmtId="42" fontId="36" fillId="0" borderId="30" xfId="0" applyNumberFormat="1" applyFont="1" applyFill="1" applyBorder="1"/>
    <xf numFmtId="42" fontId="36" fillId="0" borderId="11" xfId="0" applyNumberFormat="1" applyFont="1" applyFill="1" applyBorder="1"/>
    <xf numFmtId="165" fontId="36" fillId="0" borderId="11" xfId="28" applyNumberFormat="1" applyFont="1" applyFill="1" applyBorder="1"/>
    <xf numFmtId="42" fontId="36" fillId="0" borderId="12" xfId="0" applyNumberFormat="1" applyFont="1" applyFill="1" applyBorder="1"/>
    <xf numFmtId="42" fontId="36" fillId="0" borderId="11" xfId="29" applyNumberFormat="1" applyFont="1" applyFill="1" applyBorder="1"/>
    <xf numFmtId="42" fontId="36" fillId="28" borderId="11" xfId="0" applyNumberFormat="1" applyFont="1" applyFill="1" applyBorder="1"/>
    <xf numFmtId="42" fontId="36" fillId="28" borderId="0" xfId="0" applyNumberFormat="1" applyFont="1" applyFill="1" applyBorder="1"/>
    <xf numFmtId="42" fontId="36" fillId="28" borderId="12" xfId="0" applyNumberFormat="1" applyFont="1" applyFill="1" applyBorder="1"/>
    <xf numFmtId="42" fontId="36" fillId="0" borderId="31" xfId="0" applyNumberFormat="1" applyFont="1" applyFill="1" applyBorder="1"/>
    <xf numFmtId="165" fontId="36" fillId="0" borderId="31" xfId="28" applyNumberFormat="1" applyFont="1" applyFill="1" applyBorder="1"/>
    <xf numFmtId="42" fontId="36" fillId="0" borderId="31" xfId="29" applyNumberFormat="1" applyFont="1" applyFill="1" applyBorder="1"/>
    <xf numFmtId="42" fontId="36" fillId="0" borderId="11" xfId="0" applyNumberFormat="1" applyFont="1" applyBorder="1"/>
    <xf numFmtId="42" fontId="36" fillId="0" borderId="32" xfId="0" applyNumberFormat="1" applyFont="1" applyFill="1" applyBorder="1"/>
    <xf numFmtId="165" fontId="36" fillId="0" borderId="32" xfId="28" applyNumberFormat="1" applyFont="1" applyFill="1" applyBorder="1"/>
    <xf numFmtId="42" fontId="36" fillId="0" borderId="33" xfId="0" applyNumberFormat="1" applyFont="1" applyFill="1" applyBorder="1"/>
    <xf numFmtId="42" fontId="36" fillId="0" borderId="11" xfId="47" applyNumberFormat="1" applyFont="1" applyFill="1" applyBorder="1"/>
    <xf numFmtId="164" fontId="36" fillId="0" borderId="12" xfId="29" applyNumberFormat="1" applyFont="1" applyFill="1" applyBorder="1"/>
    <xf numFmtId="41" fontId="36" fillId="0" borderId="12" xfId="29" applyNumberFormat="1" applyFont="1" applyFill="1" applyBorder="1"/>
    <xf numFmtId="165" fontId="36" fillId="0" borderId="12" xfId="28" applyNumberFormat="1" applyFont="1" applyFill="1" applyBorder="1"/>
    <xf numFmtId="42" fontId="36" fillId="29" borderId="0" xfId="0" applyNumberFormat="1" applyFont="1" applyFill="1"/>
    <xf numFmtId="42" fontId="36" fillId="0" borderId="0" xfId="0" applyNumberFormat="1" applyFont="1" applyBorder="1"/>
    <xf numFmtId="42" fontId="36" fillId="24" borderId="32" xfId="0" applyNumberFormat="1" applyFont="1" applyFill="1" applyBorder="1"/>
    <xf numFmtId="42" fontId="36" fillId="30" borderId="30" xfId="0" applyNumberFormat="1" applyFont="1" applyFill="1" applyBorder="1"/>
    <xf numFmtId="42" fontId="36" fillId="0" borderId="11" xfId="0" applyNumberFormat="1" applyFont="1" applyFill="1" applyBorder="1" applyAlignment="1">
      <alignment horizontal="center"/>
    </xf>
    <xf numFmtId="42" fontId="36" fillId="0" borderId="11" xfId="29" applyNumberFormat="1" applyFont="1" applyFill="1" applyBorder="1" applyAlignment="1">
      <alignment horizontal="center"/>
    </xf>
    <xf numFmtId="41" fontId="36" fillId="0" borderId="11" xfId="0" applyNumberFormat="1" applyFont="1" applyBorder="1"/>
    <xf numFmtId="41" fontId="36" fillId="0" borderId="31" xfId="0" applyNumberFormat="1" applyFont="1" applyFill="1" applyBorder="1" applyAlignment="1">
      <alignment horizontal="center"/>
    </xf>
    <xf numFmtId="165" fontId="36" fillId="0" borderId="31" xfId="28" applyNumberFormat="1" applyFont="1" applyFill="1" applyBorder="1" applyAlignment="1">
      <alignment horizontal="center"/>
    </xf>
    <xf numFmtId="41" fontId="36" fillId="0" borderId="30" xfId="0" applyNumberFormat="1" applyFont="1" applyFill="1" applyBorder="1" applyAlignment="1">
      <alignment horizontal="center"/>
    </xf>
    <xf numFmtId="41" fontId="36" fillId="0" borderId="31" xfId="29" applyNumberFormat="1" applyFont="1" applyFill="1" applyBorder="1" applyAlignment="1">
      <alignment horizontal="center"/>
    </xf>
    <xf numFmtId="41" fontId="36" fillId="25" borderId="31" xfId="0" applyNumberFormat="1" applyFont="1" applyFill="1" applyBorder="1" applyAlignment="1">
      <alignment horizontal="center"/>
    </xf>
    <xf numFmtId="41" fontId="36" fillId="0" borderId="0" xfId="0" applyNumberFormat="1" applyFont="1" applyAlignment="1">
      <alignment horizontal="center"/>
    </xf>
    <xf numFmtId="165" fontId="36" fillId="0" borderId="11" xfId="28" applyNumberFormat="1" applyFont="1" applyBorder="1"/>
    <xf numFmtId="42" fontId="36" fillId="0" borderId="12" xfId="0" applyNumberFormat="1" applyFont="1" applyBorder="1"/>
    <xf numFmtId="42" fontId="36" fillId="0" borderId="11" xfId="29" applyNumberFormat="1" applyFont="1" applyBorder="1"/>
    <xf numFmtId="42" fontId="36" fillId="0" borderId="28" xfId="0" applyNumberFormat="1" applyFont="1" applyBorder="1"/>
    <xf numFmtId="42" fontId="36" fillId="0" borderId="34" xfId="0" applyNumberFormat="1" applyFont="1" applyBorder="1" applyAlignment="1">
      <alignment horizontal="center"/>
    </xf>
    <xf numFmtId="42" fontId="36" fillId="0" borderId="35" xfId="0" applyNumberFormat="1" applyFont="1" applyBorder="1" applyAlignment="1">
      <alignment horizontal="center"/>
    </xf>
    <xf numFmtId="165" fontId="36" fillId="0" borderId="35" xfId="28" applyNumberFormat="1" applyFont="1" applyBorder="1" applyAlignment="1">
      <alignment horizontal="center"/>
    </xf>
    <xf numFmtId="42" fontId="36" fillId="0" borderId="35" xfId="29" applyNumberFormat="1" applyFont="1" applyBorder="1" applyAlignment="1">
      <alignment horizontal="center"/>
    </xf>
    <xf numFmtId="42" fontId="36" fillId="0" borderId="0" xfId="0" applyNumberFormat="1" applyFont="1" applyAlignment="1">
      <alignment horizontal="center"/>
    </xf>
    <xf numFmtId="42" fontId="36" fillId="0" borderId="0" xfId="0" applyNumberFormat="1" applyFont="1" applyBorder="1" applyAlignment="1">
      <alignment horizontal="center"/>
    </xf>
    <xf numFmtId="165" fontId="36" fillId="0" borderId="0" xfId="28" applyNumberFormat="1" applyFont="1" applyBorder="1" applyAlignment="1">
      <alignment horizontal="center"/>
    </xf>
    <xf numFmtId="42" fontId="36" fillId="0" borderId="0" xfId="29" applyNumberFormat="1" applyFont="1" applyBorder="1" applyAlignment="1">
      <alignment horizontal="center"/>
    </xf>
    <xf numFmtId="189" fontId="36" fillId="0" borderId="0" xfId="0" applyNumberFormat="1" applyFont="1"/>
    <xf numFmtId="7" fontId="36" fillId="0" borderId="0" xfId="0" applyNumberFormat="1" applyFont="1"/>
    <xf numFmtId="0" fontId="36" fillId="0" borderId="36" xfId="0" applyFont="1" applyBorder="1" applyAlignment="1">
      <alignment horizontal="center"/>
    </xf>
    <xf numFmtId="0" fontId="36" fillId="0" borderId="37" xfId="0" applyFont="1" applyBorder="1"/>
    <xf numFmtId="0" fontId="36" fillId="0" borderId="38" xfId="0" applyFont="1" applyBorder="1"/>
    <xf numFmtId="0" fontId="36" fillId="0" borderId="11" xfId="0" applyFont="1" applyBorder="1" applyAlignment="1">
      <alignment horizontal="center"/>
    </xf>
    <xf numFmtId="165" fontId="36" fillId="0" borderId="11" xfId="28" applyNumberFormat="1" applyFont="1" applyBorder="1" applyAlignment="1">
      <alignment horizontal="center"/>
    </xf>
    <xf numFmtId="0" fontId="36" fillId="0" borderId="12" xfId="0" applyFont="1" applyBorder="1" applyAlignment="1">
      <alignment horizontal="center"/>
    </xf>
    <xf numFmtId="0" fontId="36" fillId="0" borderId="28" xfId="0" applyFont="1" applyBorder="1" applyAlignment="1">
      <alignment horizontal="center"/>
    </xf>
    <xf numFmtId="0" fontId="36" fillId="0" borderId="27" xfId="0" applyFont="1" applyBorder="1" applyAlignment="1">
      <alignment horizontal="center"/>
    </xf>
    <xf numFmtId="0" fontId="40" fillId="0" borderId="11" xfId="0" applyFont="1" applyBorder="1" applyAlignment="1">
      <alignment horizontal="center"/>
    </xf>
    <xf numFmtId="0" fontId="40" fillId="0" borderId="12" xfId="0" applyFont="1" applyBorder="1" applyAlignment="1">
      <alignment horizontal="center"/>
    </xf>
    <xf numFmtId="0" fontId="40" fillId="0" borderId="29" xfId="0" applyFont="1" applyBorder="1" applyAlignment="1">
      <alignment horizontal="center"/>
    </xf>
    <xf numFmtId="165" fontId="40" fillId="0" borderId="11" xfId="28" applyNumberFormat="1" applyFont="1" applyBorder="1" applyAlignment="1">
      <alignment horizontal="center"/>
    </xf>
    <xf numFmtId="164" fontId="36" fillId="0" borderId="11" xfId="29" applyNumberFormat="1" applyFont="1" applyBorder="1"/>
    <xf numFmtId="3" fontId="36" fillId="0" borderId="11" xfId="0" applyNumberFormat="1" applyFont="1" applyBorder="1"/>
    <xf numFmtId="43" fontId="36" fillId="0" borderId="11" xfId="28" applyFont="1" applyFill="1" applyBorder="1"/>
    <xf numFmtId="165" fontId="36" fillId="28" borderId="11" xfId="28" applyNumberFormat="1" applyFont="1" applyFill="1" applyBorder="1"/>
    <xf numFmtId="165" fontId="36" fillId="28" borderId="12" xfId="28" applyNumberFormat="1" applyFont="1" applyFill="1" applyBorder="1"/>
    <xf numFmtId="43" fontId="36" fillId="0" borderId="31" xfId="28" applyFont="1" applyBorder="1"/>
    <xf numFmtId="43" fontId="36" fillId="0" borderId="31" xfId="28" applyFont="1" applyFill="1" applyBorder="1"/>
    <xf numFmtId="165" fontId="36" fillId="0" borderId="30" xfId="28" applyNumberFormat="1" applyFont="1" applyFill="1" applyBorder="1"/>
    <xf numFmtId="165" fontId="36" fillId="0" borderId="31" xfId="28" applyNumberFormat="1" applyFont="1" applyBorder="1"/>
    <xf numFmtId="3" fontId="36" fillId="0" borderId="31" xfId="28" applyNumberFormat="1" applyFont="1" applyFill="1" applyBorder="1"/>
    <xf numFmtId="43" fontId="36" fillId="0" borderId="32" xfId="28" applyFont="1" applyBorder="1"/>
    <xf numFmtId="43" fontId="36" fillId="0" borderId="32" xfId="28" applyFont="1" applyFill="1" applyBorder="1"/>
    <xf numFmtId="165" fontId="36" fillId="0" borderId="33" xfId="28" applyNumberFormat="1" applyFont="1" applyFill="1" applyBorder="1"/>
    <xf numFmtId="43" fontId="36" fillId="0" borderId="11" xfId="28" applyFont="1" applyBorder="1"/>
    <xf numFmtId="3" fontId="36" fillId="0" borderId="11" xfId="28" applyNumberFormat="1" applyFont="1" applyFill="1" applyBorder="1"/>
    <xf numFmtId="42" fontId="36" fillId="0" borderId="30" xfId="0" applyNumberFormat="1" applyFont="1" applyBorder="1"/>
    <xf numFmtId="43" fontId="36" fillId="0" borderId="12" xfId="28" applyFont="1" applyFill="1" applyBorder="1"/>
    <xf numFmtId="43" fontId="36" fillId="26" borderId="31" xfId="28" applyFont="1" applyFill="1" applyBorder="1"/>
    <xf numFmtId="165" fontId="36" fillId="26" borderId="31" xfId="28" applyNumberFormat="1" applyFont="1" applyFill="1" applyBorder="1"/>
    <xf numFmtId="165" fontId="36" fillId="26" borderId="30" xfId="28" applyNumberFormat="1" applyFont="1" applyFill="1" applyBorder="1"/>
    <xf numFmtId="166" fontId="36" fillId="0" borderId="11" xfId="47" applyNumberFormat="1" applyFont="1" applyFill="1" applyBorder="1"/>
    <xf numFmtId="43" fontId="36" fillId="0" borderId="31" xfId="28" applyFont="1" applyFill="1" applyBorder="1" applyAlignment="1">
      <alignment horizontal="center"/>
    </xf>
    <xf numFmtId="165" fontId="36" fillId="0" borderId="30" xfId="28" applyNumberFormat="1" applyFont="1" applyFill="1" applyBorder="1" applyAlignment="1">
      <alignment horizontal="center"/>
    </xf>
    <xf numFmtId="43" fontId="36" fillId="0" borderId="30" xfId="28" applyFont="1" applyFill="1" applyBorder="1" applyAlignment="1">
      <alignment horizontal="center"/>
    </xf>
    <xf numFmtId="165" fontId="36" fillId="25" borderId="31" xfId="28" applyNumberFormat="1" applyFont="1" applyFill="1" applyBorder="1" applyAlignment="1">
      <alignment horizontal="center"/>
    </xf>
    <xf numFmtId="165" fontId="36" fillId="0" borderId="28" xfId="28" applyNumberFormat="1" applyFont="1" applyBorder="1"/>
    <xf numFmtId="43" fontId="36" fillId="0" borderId="16" xfId="28" applyFont="1" applyBorder="1"/>
    <xf numFmtId="43" fontId="36" fillId="0" borderId="29" xfId="28" applyFont="1" applyBorder="1"/>
    <xf numFmtId="43" fontId="36" fillId="0" borderId="28" xfId="28" applyFont="1" applyBorder="1"/>
    <xf numFmtId="43" fontId="36" fillId="0" borderId="12" xfId="28" applyFont="1" applyBorder="1"/>
    <xf numFmtId="0" fontId="36" fillId="0" borderId="34" xfId="0" applyFont="1" applyBorder="1" applyAlignment="1">
      <alignment horizontal="center"/>
    </xf>
    <xf numFmtId="43" fontId="36" fillId="0" borderId="35" xfId="28" applyFont="1" applyBorder="1" applyAlignment="1">
      <alignment horizontal="center"/>
    </xf>
    <xf numFmtId="165" fontId="36" fillId="0" borderId="34" xfId="28" applyNumberFormat="1" applyFont="1" applyBorder="1" applyAlignment="1">
      <alignment horizontal="right"/>
    </xf>
    <xf numFmtId="43" fontId="36" fillId="0" borderId="34" xfId="28" applyFont="1" applyBorder="1" applyAlignment="1">
      <alignment horizontal="center"/>
    </xf>
    <xf numFmtId="43" fontId="36" fillId="0" borderId="34" xfId="28" applyFont="1" applyBorder="1" applyAlignment="1">
      <alignment horizontal="right"/>
    </xf>
    <xf numFmtId="178" fontId="36" fillId="0" borderId="0" xfId="47" applyNumberFormat="1" applyFont="1"/>
    <xf numFmtId="0" fontId="39" fillId="0" borderId="0" xfId="0" applyNumberFormat="1" applyFont="1" applyBorder="1" applyAlignment="1">
      <alignment horizontal="left"/>
    </xf>
    <xf numFmtId="3" fontId="36" fillId="0" borderId="0" xfId="29" applyNumberFormat="1" applyFont="1"/>
    <xf numFmtId="0" fontId="36" fillId="0" borderId="0" xfId="0" applyNumberFormat="1" applyFont="1" applyBorder="1" applyAlignment="1">
      <alignment horizontal="left"/>
    </xf>
    <xf numFmtId="0" fontId="41" fillId="0" borderId="0" xfId="0" applyFont="1" applyFill="1" applyBorder="1" applyAlignment="1">
      <alignment horizontal="center"/>
    </xf>
    <xf numFmtId="175" fontId="36" fillId="0" borderId="0" xfId="0" applyNumberFormat="1" applyFont="1" applyFill="1" applyBorder="1"/>
    <xf numFmtId="6" fontId="38" fillId="0" borderId="0" xfId="0" applyNumberFormat="1" applyFont="1" applyFill="1" applyBorder="1" applyAlignment="1">
      <alignment horizontal="right"/>
    </xf>
    <xf numFmtId="6" fontId="38" fillId="0" borderId="0" xfId="0" applyNumberFormat="1" applyFont="1" applyBorder="1"/>
    <xf numFmtId="164" fontId="36" fillId="0" borderId="0" xfId="29" applyNumberFormat="1" applyFont="1" applyFill="1"/>
    <xf numFmtId="6" fontId="36" fillId="0" borderId="0" xfId="0" applyNumberFormat="1" applyFont="1" applyBorder="1"/>
    <xf numFmtId="42" fontId="36" fillId="32" borderId="11" xfId="0" applyNumberFormat="1" applyFont="1" applyFill="1" applyBorder="1"/>
    <xf numFmtId="42" fontId="36" fillId="32" borderId="12" xfId="0" applyNumberFormat="1" applyFont="1" applyFill="1" applyBorder="1"/>
    <xf numFmtId="42" fontId="36" fillId="32" borderId="0" xfId="0" applyNumberFormat="1" applyFont="1" applyFill="1" applyBorder="1"/>
    <xf numFmtId="10" fontId="36" fillId="0" borderId="0" xfId="47" applyNumberFormat="1" applyFont="1" applyFill="1"/>
    <xf numFmtId="42" fontId="36" fillId="0" borderId="0" xfId="29" applyNumberFormat="1" applyFont="1" applyFill="1"/>
    <xf numFmtId="44" fontId="36" fillId="0" borderId="0" xfId="0" applyNumberFormat="1" applyFont="1" applyFill="1"/>
    <xf numFmtId="42" fontId="36" fillId="0" borderId="0" xfId="29" applyNumberFormat="1" applyFont="1" applyFill="1" applyBorder="1"/>
    <xf numFmtId="10" fontId="38" fillId="0" borderId="0" xfId="47" applyNumberFormat="1" applyFont="1"/>
    <xf numFmtId="166" fontId="38" fillId="0" borderId="0" xfId="47" applyNumberFormat="1" applyFont="1" applyFill="1" applyBorder="1" applyAlignment="1">
      <alignment horizontal="right"/>
    </xf>
    <xf numFmtId="166" fontId="38" fillId="0" borderId="10" xfId="47" applyNumberFormat="1" applyFont="1" applyFill="1" applyBorder="1" applyAlignment="1">
      <alignment horizontal="right"/>
    </xf>
    <xf numFmtId="164" fontId="0" fillId="0" borderId="0" xfId="0" applyNumberFormat="1"/>
    <xf numFmtId="0" fontId="0" fillId="0" borderId="10" xfId="0" applyBorder="1"/>
    <xf numFmtId="164" fontId="38" fillId="0" borderId="0" xfId="0" applyNumberFormat="1" applyFont="1"/>
    <xf numFmtId="164" fontId="38" fillId="0" borderId="0" xfId="29" applyNumberFormat="1" applyFont="1"/>
    <xf numFmtId="9" fontId="38" fillId="0" borderId="0" xfId="47" applyFont="1"/>
    <xf numFmtId="0" fontId="25" fillId="0" borderId="0" xfId="0" applyFont="1"/>
    <xf numFmtId="191" fontId="38" fillId="0" borderId="0" xfId="0" applyNumberFormat="1" applyFont="1"/>
    <xf numFmtId="0" fontId="37" fillId="0" borderId="0" xfId="0" applyFont="1" applyFill="1"/>
    <xf numFmtId="0" fontId="36" fillId="34" borderId="0" xfId="0" applyFont="1" applyFill="1"/>
    <xf numFmtId="6" fontId="36" fillId="34" borderId="0" xfId="0" applyNumberFormat="1" applyFont="1" applyFill="1" applyAlignment="1">
      <alignment horizontal="center"/>
    </xf>
    <xf numFmtId="0" fontId="36" fillId="34" borderId="10" xfId="0" applyFont="1" applyFill="1" applyBorder="1"/>
    <xf numFmtId="6" fontId="36" fillId="34" borderId="10" xfId="0" applyNumberFormat="1" applyFont="1" applyFill="1" applyBorder="1" applyAlignment="1">
      <alignment horizontal="center"/>
    </xf>
    <xf numFmtId="188" fontId="36" fillId="34" borderId="10" xfId="0" applyNumberFormat="1" applyFont="1" applyFill="1" applyBorder="1" applyAlignment="1">
      <alignment horizontal="center"/>
    </xf>
    <xf numFmtId="175" fontId="36" fillId="34" borderId="0" xfId="0" applyNumberFormat="1" applyFont="1" applyFill="1"/>
    <xf numFmtId="0" fontId="36" fillId="34" borderId="32" xfId="0" applyFont="1" applyFill="1" applyBorder="1" applyAlignment="1">
      <alignment horizontal="left"/>
    </xf>
    <xf numFmtId="0" fontId="36" fillId="34" borderId="40" xfId="0" applyFont="1" applyFill="1" applyBorder="1"/>
    <xf numFmtId="175" fontId="36" fillId="34" borderId="40" xfId="0" applyNumberFormat="1" applyFont="1" applyFill="1" applyBorder="1"/>
    <xf numFmtId="0" fontId="36" fillId="34" borderId="0" xfId="0" applyFont="1" applyFill="1" applyAlignment="1">
      <alignment horizontal="center"/>
    </xf>
    <xf numFmtId="0" fontId="36" fillId="34" borderId="10" xfId="0" applyFont="1" applyFill="1" applyBorder="1" applyAlignment="1">
      <alignment horizontal="center"/>
    </xf>
    <xf numFmtId="0" fontId="39" fillId="0" borderId="0" xfId="0" applyFont="1" applyBorder="1" applyAlignment="1"/>
    <xf numFmtId="175" fontId="36" fillId="0" borderId="0" xfId="0" applyNumberFormat="1" applyFont="1" applyBorder="1"/>
    <xf numFmtId="0" fontId="43" fillId="0" borderId="0" xfId="0" applyFont="1" applyAlignment="1">
      <alignment horizontal="center"/>
    </xf>
    <xf numFmtId="0" fontId="44" fillId="0" borderId="0" xfId="0" applyFont="1"/>
    <xf numFmtId="164" fontId="44" fillId="0" borderId="0" xfId="29" applyNumberFormat="1" applyFont="1"/>
    <xf numFmtId="164" fontId="37" fillId="0" borderId="0" xfId="29" applyNumberFormat="1" applyFont="1"/>
    <xf numFmtId="9" fontId="44" fillId="0" borderId="0" xfId="47" applyFont="1"/>
    <xf numFmtId="0" fontId="43" fillId="0" borderId="0" xfId="0" applyFont="1"/>
    <xf numFmtId="0" fontId="39" fillId="0" borderId="0" xfId="0" applyFont="1" applyFill="1" applyBorder="1" applyAlignment="1">
      <alignment horizontal="center"/>
    </xf>
    <xf numFmtId="0" fontId="39" fillId="0" borderId="0" xfId="0" applyFont="1" applyAlignment="1"/>
    <xf numFmtId="166" fontId="36" fillId="0" borderId="0" xfId="47" applyNumberFormat="1" applyFont="1" applyFill="1" applyBorder="1"/>
    <xf numFmtId="0" fontId="39" fillId="0" borderId="0" xfId="0" applyFont="1" applyFill="1" applyBorder="1" applyAlignment="1">
      <alignment horizontal="left"/>
    </xf>
    <xf numFmtId="3" fontId="36" fillId="0" borderId="0" xfId="0" applyNumberFormat="1" applyFont="1" applyFill="1" applyBorder="1"/>
    <xf numFmtId="166" fontId="36" fillId="0" borderId="0" xfId="0" applyNumberFormat="1" applyFont="1" applyFill="1" applyBorder="1"/>
    <xf numFmtId="167" fontId="36" fillId="0" borderId="0" xfId="0" applyNumberFormat="1" applyFont="1" applyFill="1" applyBorder="1" applyAlignment="1">
      <alignment horizontal="left" indent="1"/>
    </xf>
    <xf numFmtId="167" fontId="36" fillId="0" borderId="0" xfId="29" applyNumberFormat="1" applyFont="1" applyFill="1" applyBorder="1"/>
    <xf numFmtId="172" fontId="36" fillId="0" borderId="0" xfId="29" applyNumberFormat="1" applyFont="1" applyFill="1" applyBorder="1"/>
    <xf numFmtId="8" fontId="36" fillId="0" borderId="0" xfId="0" applyNumberFormat="1" applyFont="1" applyFill="1" applyBorder="1"/>
    <xf numFmtId="164" fontId="36" fillId="0" borderId="0" xfId="0" applyNumberFormat="1" applyFont="1" applyFill="1" applyBorder="1"/>
    <xf numFmtId="6" fontId="40" fillId="0" borderId="0" xfId="0" applyNumberFormat="1" applyFont="1" applyFill="1" applyBorder="1"/>
    <xf numFmtId="0" fontId="40" fillId="0" borderId="0" xfId="0" applyFont="1" applyFill="1"/>
    <xf numFmtId="165" fontId="38" fillId="0" borderId="0" xfId="28" applyNumberFormat="1" applyFont="1"/>
    <xf numFmtId="165" fontId="38" fillId="0" borderId="0" xfId="28" applyNumberFormat="1" applyFont="1" applyFill="1"/>
    <xf numFmtId="0" fontId="39" fillId="0" borderId="12" xfId="0" applyFont="1" applyBorder="1" applyAlignment="1">
      <alignment horizontal="center"/>
    </xf>
    <xf numFmtId="170" fontId="36" fillId="0" borderId="0" xfId="29" applyNumberFormat="1" applyFont="1" applyFill="1" applyBorder="1"/>
    <xf numFmtId="0" fontId="36" fillId="0" borderId="31" xfId="0" applyFont="1" applyFill="1" applyBorder="1"/>
    <xf numFmtId="0" fontId="39" fillId="0" borderId="0" xfId="0" applyFont="1" applyFill="1" applyBorder="1" applyAlignment="1">
      <alignment horizontal="center"/>
    </xf>
    <xf numFmtId="0" fontId="26" fillId="0" borderId="29" xfId="0" applyFont="1" applyBorder="1"/>
    <xf numFmtId="0" fontId="27" fillId="0" borderId="16" xfId="0" applyFont="1" applyBorder="1"/>
    <xf numFmtId="0" fontId="26" fillId="0" borderId="11" xfId="0" applyFont="1" applyBorder="1"/>
    <xf numFmtId="0" fontId="26" fillId="0" borderId="0" xfId="0" applyFont="1" applyBorder="1" applyAlignment="1">
      <alignment horizontal="center" wrapText="1"/>
    </xf>
    <xf numFmtId="0" fontId="26" fillId="0" borderId="27" xfId="0" applyFont="1" applyBorder="1" applyAlignment="1">
      <alignment horizontal="center" wrapText="1"/>
    </xf>
    <xf numFmtId="0" fontId="27" fillId="0" borderId="11" xfId="0" applyFont="1" applyBorder="1"/>
    <xf numFmtId="0" fontId="27" fillId="0" borderId="0" xfId="0" applyFont="1" applyBorder="1"/>
    <xf numFmtId="0" fontId="27" fillId="0" borderId="27" xfId="0" applyFont="1" applyBorder="1"/>
    <xf numFmtId="0" fontId="27" fillId="0" borderId="11" xfId="0" applyFont="1" applyBorder="1" applyAlignment="1">
      <alignment horizontal="left" indent="1"/>
    </xf>
    <xf numFmtId="165" fontId="27" fillId="0" borderId="0" xfId="28" applyNumberFormat="1" applyFont="1" applyBorder="1"/>
    <xf numFmtId="170" fontId="27" fillId="0" borderId="0" xfId="29" applyNumberFormat="1" applyFont="1" applyBorder="1"/>
    <xf numFmtId="166" fontId="27" fillId="0" borderId="27" xfId="47" applyNumberFormat="1" applyFont="1" applyBorder="1"/>
    <xf numFmtId="9" fontId="27" fillId="0" borderId="27" xfId="47" applyFont="1" applyBorder="1"/>
    <xf numFmtId="0" fontId="28" fillId="0" borderId="11" xfId="0" applyFont="1" applyBorder="1"/>
    <xf numFmtId="0" fontId="27" fillId="0" borderId="31" xfId="0" applyFont="1" applyBorder="1"/>
    <xf numFmtId="0" fontId="27" fillId="0" borderId="10" xfId="0" applyFont="1" applyBorder="1"/>
    <xf numFmtId="166" fontId="28" fillId="0" borderId="10" xfId="47" applyNumberFormat="1" applyFont="1" applyBorder="1"/>
    <xf numFmtId="166" fontId="28" fillId="0" borderId="42" xfId="47" applyNumberFormat="1" applyFont="1" applyBorder="1"/>
    <xf numFmtId="0" fontId="28" fillId="0" borderId="31" xfId="0" applyNumberFormat="1" applyFont="1" applyBorder="1" applyAlignment="1">
      <alignment horizontal="center"/>
    </xf>
    <xf numFmtId="0" fontId="27" fillId="0" borderId="29" xfId="0" applyNumberFormat="1" applyFont="1" applyBorder="1"/>
    <xf numFmtId="0" fontId="27" fillId="0" borderId="11" xfId="47" applyNumberFormat="1" applyFont="1" applyBorder="1"/>
    <xf numFmtId="175" fontId="27" fillId="0" borderId="0" xfId="0" applyNumberFormat="1" applyFont="1" applyBorder="1"/>
    <xf numFmtId="0" fontId="27" fillId="0" borderId="31" xfId="47" applyNumberFormat="1" applyFont="1" applyBorder="1"/>
    <xf numFmtId="164" fontId="27" fillId="0" borderId="0" xfId="0" applyNumberFormat="1" applyFont="1" applyBorder="1"/>
    <xf numFmtId="0" fontId="28" fillId="0" borderId="29" xfId="47" applyNumberFormat="1" applyFont="1" applyBorder="1"/>
    <xf numFmtId="9" fontId="28" fillId="0" borderId="11" xfId="47" applyFont="1" applyBorder="1"/>
    <xf numFmtId="9" fontId="27" fillId="0" borderId="11" xfId="47" applyFont="1" applyBorder="1" applyAlignment="1">
      <alignment horizontal="left" indent="1"/>
    </xf>
    <xf numFmtId="166" fontId="27" fillId="0" borderId="11" xfId="47" applyNumberFormat="1" applyFont="1" applyBorder="1" applyAlignment="1">
      <alignment horizontal="left" indent="1"/>
    </xf>
    <xf numFmtId="166" fontId="28" fillId="0" borderId="11" xfId="47" applyNumberFormat="1" applyFont="1" applyBorder="1"/>
    <xf numFmtId="166" fontId="27" fillId="0" borderId="31" xfId="47" applyNumberFormat="1" applyFont="1" applyBorder="1" applyAlignment="1">
      <alignment horizontal="left" indent="1"/>
    </xf>
    <xf numFmtId="42" fontId="40" fillId="0" borderId="30" xfId="0" applyNumberFormat="1" applyFont="1" applyFill="1" applyBorder="1"/>
    <xf numFmtId="42" fontId="40" fillId="0" borderId="0" xfId="0" applyNumberFormat="1" applyFont="1" applyFill="1" applyBorder="1"/>
    <xf numFmtId="42" fontId="40" fillId="0" borderId="0" xfId="0" applyNumberFormat="1" applyFont="1" applyFill="1"/>
    <xf numFmtId="6" fontId="38" fillId="0" borderId="10" xfId="0" applyNumberFormat="1" applyFont="1" applyFill="1" applyBorder="1" applyAlignment="1">
      <alignment horizontal="right"/>
    </xf>
    <xf numFmtId="175" fontId="38" fillId="0" borderId="10" xfId="0" applyNumberFormat="1" applyFont="1" applyFill="1" applyBorder="1"/>
    <xf numFmtId="6" fontId="38" fillId="0" borderId="10" xfId="0" applyNumberFormat="1" applyFont="1" applyFill="1" applyBorder="1" applyAlignment="1"/>
    <xf numFmtId="0" fontId="39" fillId="0" borderId="11" xfId="0" applyNumberFormat="1" applyFont="1" applyBorder="1"/>
    <xf numFmtId="0" fontId="43" fillId="0" borderId="0" xfId="0" applyFont="1" applyFill="1" applyBorder="1"/>
    <xf numFmtId="0" fontId="43" fillId="0" borderId="0" xfId="0" applyFont="1" applyFill="1" applyBorder="1" applyAlignment="1">
      <alignment horizontal="center"/>
    </xf>
    <xf numFmtId="175" fontId="38" fillId="0" borderId="16" xfId="0" applyNumberFormat="1" applyFont="1" applyFill="1" applyBorder="1" applyAlignment="1">
      <alignment horizontal="right"/>
    </xf>
    <xf numFmtId="166" fontId="38" fillId="0" borderId="10" xfId="47" applyNumberFormat="1" applyFont="1" applyFill="1" applyBorder="1"/>
    <xf numFmtId="175" fontId="37" fillId="0" borderId="0" xfId="0" applyNumberFormat="1" applyFont="1" applyFill="1" applyBorder="1" applyAlignment="1">
      <alignment horizontal="right"/>
    </xf>
    <xf numFmtId="166" fontId="37" fillId="0" borderId="0" xfId="47" applyNumberFormat="1" applyFont="1" applyFill="1" applyBorder="1" applyAlignment="1">
      <alignment horizontal="right"/>
    </xf>
    <xf numFmtId="0" fontId="37" fillId="30" borderId="32" xfId="0" applyFont="1" applyFill="1" applyBorder="1"/>
    <xf numFmtId="0" fontId="37" fillId="30" borderId="40" xfId="0" applyFont="1" applyFill="1" applyBorder="1" applyAlignment="1">
      <alignment horizontal="left"/>
    </xf>
    <xf numFmtId="0" fontId="37" fillId="0" borderId="40" xfId="0" applyFont="1" applyFill="1" applyBorder="1" applyAlignment="1">
      <alignment horizontal="left"/>
    </xf>
    <xf numFmtId="0" fontId="38" fillId="0" borderId="40" xfId="0" applyFont="1" applyBorder="1"/>
    <xf numFmtId="0" fontId="36" fillId="0" borderId="40" xfId="0" applyFont="1" applyBorder="1"/>
    <xf numFmtId="0" fontId="38" fillId="0" borderId="39" xfId="0" applyFont="1" applyBorder="1"/>
    <xf numFmtId="0" fontId="38" fillId="0" borderId="11" xfId="0" applyFont="1" applyBorder="1"/>
    <xf numFmtId="0" fontId="38" fillId="0" borderId="27" xfId="0" applyFont="1" applyBorder="1"/>
    <xf numFmtId="0" fontId="37" fillId="0" borderId="0" xfId="0" applyFont="1" applyBorder="1" applyAlignment="1">
      <alignment horizontal="center"/>
    </xf>
    <xf numFmtId="0" fontId="38" fillId="0" borderId="11" xfId="0" applyFont="1" applyFill="1" applyBorder="1"/>
    <xf numFmtId="0" fontId="38" fillId="0" borderId="27" xfId="0" applyFont="1" applyFill="1" applyBorder="1"/>
    <xf numFmtId="0" fontId="38" fillId="0" borderId="31" xfId="0" applyFont="1" applyFill="1" applyBorder="1"/>
    <xf numFmtId="0" fontId="37" fillId="0" borderId="11" xfId="0" applyFont="1" applyFill="1" applyBorder="1"/>
    <xf numFmtId="165" fontId="38" fillId="0" borderId="10" xfId="28" applyNumberFormat="1" applyFont="1" applyBorder="1"/>
    <xf numFmtId="0" fontId="38" fillId="0" borderId="42" xfId="0" applyFont="1" applyFill="1" applyBorder="1"/>
    <xf numFmtId="0" fontId="38" fillId="0" borderId="41" xfId="0" applyFont="1" applyBorder="1"/>
    <xf numFmtId="0" fontId="39" fillId="0" borderId="27" xfId="0" applyFont="1" applyBorder="1"/>
    <xf numFmtId="0" fontId="38" fillId="0" borderId="0" xfId="0" applyFont="1" applyBorder="1" applyAlignment="1">
      <alignment horizontal="center"/>
    </xf>
    <xf numFmtId="0" fontId="37" fillId="0" borderId="27" xfId="0" applyFont="1" applyFill="1" applyBorder="1" applyAlignment="1">
      <alignment horizontal="center"/>
    </xf>
    <xf numFmtId="0" fontId="37" fillId="0" borderId="11" xfId="0" applyFont="1" applyFill="1" applyBorder="1" applyAlignment="1">
      <alignment horizontal="center"/>
    </xf>
    <xf numFmtId="175" fontId="38" fillId="0" borderId="11" xfId="0" applyNumberFormat="1" applyFont="1" applyFill="1" applyBorder="1" applyAlignment="1">
      <alignment horizontal="right"/>
    </xf>
    <xf numFmtId="165" fontId="38" fillId="0" borderId="27" xfId="28" applyNumberFormat="1" applyFont="1" applyFill="1" applyBorder="1" applyAlignment="1">
      <alignment horizontal="right"/>
    </xf>
    <xf numFmtId="175" fontId="38" fillId="0" borderId="31" xfId="0" applyNumberFormat="1" applyFont="1" applyFill="1" applyBorder="1" applyAlignment="1">
      <alignment horizontal="right"/>
    </xf>
    <xf numFmtId="165" fontId="38" fillId="0" borderId="42" xfId="28" applyNumberFormat="1" applyFont="1" applyFill="1" applyBorder="1" applyAlignment="1">
      <alignment horizontal="right"/>
    </xf>
    <xf numFmtId="175" fontId="37" fillId="0" borderId="31" xfId="0" applyNumberFormat="1" applyFont="1" applyFill="1" applyBorder="1" applyAlignment="1">
      <alignment horizontal="right"/>
    </xf>
    <xf numFmtId="165" fontId="37" fillId="0" borderId="42" xfId="28" applyNumberFormat="1" applyFont="1" applyFill="1" applyBorder="1" applyAlignment="1">
      <alignment horizontal="right"/>
    </xf>
    <xf numFmtId="0" fontId="37" fillId="0" borderId="27" xfId="0" applyFont="1" applyBorder="1"/>
    <xf numFmtId="6" fontId="38" fillId="0" borderId="27" xfId="0" applyNumberFormat="1" applyFont="1" applyFill="1" applyBorder="1" applyAlignment="1">
      <alignment horizontal="right"/>
    </xf>
    <xf numFmtId="175" fontId="37" fillId="0" borderId="40" xfId="0" applyNumberFormat="1" applyFont="1" applyFill="1" applyBorder="1" applyAlignment="1">
      <alignment horizontal="right"/>
    </xf>
    <xf numFmtId="6" fontId="37" fillId="0" borderId="42" xfId="0" applyNumberFormat="1" applyFont="1" applyFill="1" applyBorder="1" applyAlignment="1">
      <alignment horizontal="right"/>
    </xf>
    <xf numFmtId="0" fontId="37" fillId="0" borderId="29" xfId="0" applyFont="1" applyFill="1" applyBorder="1" applyAlignment="1">
      <alignment horizontal="center"/>
    </xf>
    <xf numFmtId="0" fontId="37" fillId="0" borderId="11" xfId="0" applyFont="1" applyBorder="1" applyAlignment="1">
      <alignment horizontal="center"/>
    </xf>
    <xf numFmtId="0" fontId="43" fillId="0" borderId="11" xfId="0" applyFont="1" applyFill="1" applyBorder="1"/>
    <xf numFmtId="170" fontId="38" fillId="0" borderId="11" xfId="29" applyNumberFormat="1" applyFont="1" applyFill="1" applyBorder="1"/>
    <xf numFmtId="0" fontId="39" fillId="0" borderId="29" xfId="0" applyFont="1" applyFill="1" applyBorder="1" applyAlignment="1">
      <alignment horizontal="center" vertical="center"/>
    </xf>
    <xf numFmtId="0" fontId="37" fillId="0" borderId="11" xfId="0" applyFont="1" applyFill="1" applyBorder="1" applyAlignment="1">
      <alignment horizontal="center" vertical="center"/>
    </xf>
    <xf numFmtId="0" fontId="37" fillId="0" borderId="11" xfId="0" applyFont="1" applyBorder="1" applyAlignment="1">
      <alignment horizontal="center" vertical="center"/>
    </xf>
    <xf numFmtId="6" fontId="38" fillId="0" borderId="11" xfId="0" applyNumberFormat="1" applyFont="1" applyFill="1" applyBorder="1" applyAlignment="1">
      <alignment horizontal="right"/>
    </xf>
    <xf numFmtId="6" fontId="37" fillId="0" borderId="31" xfId="0" applyNumberFormat="1" applyFont="1" applyFill="1" applyBorder="1" applyAlignment="1">
      <alignment horizontal="right"/>
    </xf>
    <xf numFmtId="0" fontId="38" fillId="0" borderId="27" xfId="0" applyFont="1" applyFill="1" applyBorder="1" applyAlignment="1">
      <alignment horizontal="center"/>
    </xf>
    <xf numFmtId="165" fontId="37" fillId="0" borderId="10" xfId="28" applyNumberFormat="1" applyFont="1" applyFill="1" applyBorder="1" applyAlignment="1">
      <alignment horizontal="right"/>
    </xf>
    <xf numFmtId="0" fontId="38" fillId="0" borderId="11" xfId="0" applyFont="1" applyFill="1" applyBorder="1" applyAlignment="1">
      <alignment horizontal="right"/>
    </xf>
    <xf numFmtId="0" fontId="38" fillId="0" borderId="12" xfId="0" applyFont="1" applyFill="1" applyBorder="1"/>
    <xf numFmtId="0" fontId="37" fillId="35" borderId="39" xfId="0" applyFont="1" applyFill="1" applyBorder="1" applyAlignment="1">
      <alignment horizontal="center"/>
    </xf>
    <xf numFmtId="0" fontId="39" fillId="35" borderId="27" xfId="0" applyFont="1" applyFill="1" applyBorder="1" applyAlignment="1">
      <alignment horizontal="center" vertical="center"/>
    </xf>
    <xf numFmtId="0" fontId="37" fillId="35" borderId="27" xfId="0" applyFont="1" applyFill="1" applyBorder="1" applyAlignment="1">
      <alignment horizontal="center" vertical="center"/>
    </xf>
    <xf numFmtId="0" fontId="37" fillId="35" borderId="27" xfId="0" applyFont="1" applyFill="1" applyBorder="1" applyAlignment="1">
      <alignment horizontal="center"/>
    </xf>
    <xf numFmtId="6" fontId="38" fillId="35" borderId="27" xfId="0" applyNumberFormat="1" applyFont="1" applyFill="1" applyBorder="1" applyAlignment="1">
      <alignment horizontal="right"/>
    </xf>
    <xf numFmtId="6" fontId="38" fillId="35" borderId="42" xfId="0" applyNumberFormat="1" applyFont="1" applyFill="1" applyBorder="1" applyAlignment="1">
      <alignment horizontal="right"/>
    </xf>
    <xf numFmtId="6" fontId="37" fillId="35" borderId="42" xfId="0" applyNumberFormat="1" applyFont="1" applyFill="1" applyBorder="1" applyAlignment="1">
      <alignment horizontal="right"/>
    </xf>
    <xf numFmtId="0" fontId="39" fillId="35" borderId="28" xfId="0" applyFont="1" applyFill="1" applyBorder="1" applyAlignment="1">
      <alignment horizontal="center" vertical="center"/>
    </xf>
    <xf numFmtId="0" fontId="37" fillId="35" borderId="12" xfId="0" applyFont="1" applyFill="1" applyBorder="1" applyAlignment="1">
      <alignment horizontal="center" vertical="center"/>
    </xf>
    <xf numFmtId="0" fontId="37" fillId="35" borderId="12" xfId="0" applyFont="1" applyFill="1" applyBorder="1" applyAlignment="1">
      <alignment horizontal="center"/>
    </xf>
    <xf numFmtId="6" fontId="38" fillId="35" borderId="12" xfId="0" applyNumberFormat="1" applyFont="1" applyFill="1" applyBorder="1"/>
    <xf numFmtId="6" fontId="36" fillId="35" borderId="12" xfId="0" applyNumberFormat="1" applyFont="1" applyFill="1" applyBorder="1" applyAlignment="1">
      <alignment horizontal="right"/>
    </xf>
    <xf numFmtId="6" fontId="36" fillId="35" borderId="30" xfId="0" applyNumberFormat="1" applyFont="1" applyFill="1" applyBorder="1" applyAlignment="1">
      <alignment horizontal="right"/>
    </xf>
    <xf numFmtId="6" fontId="37" fillId="35" borderId="30" xfId="0" applyNumberFormat="1" applyFont="1" applyFill="1" applyBorder="1" applyAlignment="1">
      <alignment horizontal="right"/>
    </xf>
    <xf numFmtId="0" fontId="39" fillId="0" borderId="0" xfId="0" applyFont="1" applyFill="1" applyAlignment="1">
      <alignment horizontal="center"/>
    </xf>
    <xf numFmtId="6" fontId="36" fillId="0" borderId="16" xfId="0" applyNumberFormat="1" applyFont="1" applyFill="1" applyBorder="1"/>
    <xf numFmtId="0" fontId="41" fillId="0" borderId="0" xfId="0" applyFont="1" applyFill="1"/>
    <xf numFmtId="6" fontId="39" fillId="0" borderId="0" xfId="0" applyNumberFormat="1" applyFont="1" applyFill="1"/>
    <xf numFmtId="6" fontId="39" fillId="0" borderId="14" xfId="0" applyNumberFormat="1" applyFont="1" applyFill="1" applyBorder="1"/>
    <xf numFmtId="0" fontId="39" fillId="0" borderId="12" xfId="0" applyFont="1" applyFill="1" applyBorder="1" applyAlignment="1">
      <alignment horizontal="center"/>
    </xf>
    <xf numFmtId="0" fontId="39" fillId="0" borderId="11" xfId="0" applyFont="1" applyFill="1" applyBorder="1" applyAlignment="1">
      <alignment horizontal="center"/>
    </xf>
    <xf numFmtId="0" fontId="39" fillId="0" borderId="17" xfId="0" applyFont="1" applyFill="1" applyBorder="1" applyAlignment="1">
      <alignment horizontal="center"/>
    </xf>
    <xf numFmtId="0" fontId="39" fillId="0" borderId="15" xfId="0" applyFont="1" applyFill="1" applyBorder="1" applyAlignment="1">
      <alignment horizontal="center"/>
    </xf>
    <xf numFmtId="6" fontId="36" fillId="0" borderId="0" xfId="29" applyNumberFormat="1" applyFont="1" applyFill="1"/>
    <xf numFmtId="6" fontId="40" fillId="0" borderId="0" xfId="29" applyNumberFormat="1" applyFont="1" applyFill="1"/>
    <xf numFmtId="42" fontId="40" fillId="0" borderId="0" xfId="29" applyNumberFormat="1" applyFont="1" applyFill="1"/>
    <xf numFmtId="9" fontId="36" fillId="0" borderId="16" xfId="47" applyFont="1" applyFill="1" applyBorder="1"/>
    <xf numFmtId="0" fontId="41" fillId="31" borderId="0" xfId="0" applyFont="1" applyFill="1"/>
    <xf numFmtId="164" fontId="39" fillId="0" borderId="0" xfId="0" applyNumberFormat="1" applyFont="1"/>
    <xf numFmtId="166" fontId="39" fillId="0" borderId="0" xfId="0" applyNumberFormat="1" applyFont="1"/>
    <xf numFmtId="175" fontId="39" fillId="0" borderId="0" xfId="0" applyNumberFormat="1" applyFont="1" applyFill="1"/>
    <xf numFmtId="0" fontId="27" fillId="0" borderId="11" xfId="0" applyFont="1" applyBorder="1" applyAlignment="1">
      <alignment horizontal="left" indent="3"/>
    </xf>
    <xf numFmtId="0" fontId="26" fillId="0" borderId="11" xfId="0" applyFont="1" applyBorder="1" applyAlignment="1">
      <alignment horizontal="center" wrapText="1"/>
    </xf>
    <xf numFmtId="174" fontId="27" fillId="0" borderId="11" xfId="29" applyNumberFormat="1" applyFont="1" applyBorder="1"/>
    <xf numFmtId="174" fontId="27" fillId="0" borderId="11" xfId="0" applyNumberFormat="1" applyFont="1" applyBorder="1"/>
    <xf numFmtId="166" fontId="28" fillId="0" borderId="31" xfId="47" applyNumberFormat="1" applyFont="1" applyBorder="1"/>
    <xf numFmtId="170" fontId="27" fillId="0" borderId="11" xfId="0" applyNumberFormat="1" applyFont="1" applyBorder="1"/>
    <xf numFmtId="9" fontId="27" fillId="0" borderId="11" xfId="47" applyFont="1" applyBorder="1"/>
    <xf numFmtId="0" fontId="28" fillId="0" borderId="0" xfId="0" applyFont="1" applyAlignment="1"/>
    <xf numFmtId="0" fontId="27" fillId="0" borderId="0" xfId="0" applyFont="1"/>
    <xf numFmtId="0" fontId="28" fillId="0" borderId="0" xfId="0" applyFont="1" applyFill="1" applyBorder="1" applyAlignment="1"/>
    <xf numFmtId="0" fontId="28" fillId="0" borderId="0" xfId="0" applyFont="1" applyFill="1" applyBorder="1"/>
    <xf numFmtId="0" fontId="26" fillId="0" borderId="0" xfId="0" applyFont="1" applyFill="1" applyBorder="1" applyAlignment="1">
      <alignment horizontal="center"/>
    </xf>
    <xf numFmtId="0" fontId="28" fillId="0" borderId="0" xfId="0" applyFont="1" applyBorder="1" applyAlignment="1"/>
    <xf numFmtId="0" fontId="27" fillId="0" borderId="0" xfId="0" applyFont="1" applyFill="1" applyBorder="1"/>
    <xf numFmtId="0" fontId="28" fillId="0" borderId="0" xfId="0" applyFont="1" applyBorder="1" applyAlignment="1">
      <alignment horizontal="center"/>
    </xf>
    <xf numFmtId="0" fontId="26" fillId="0" borderId="0" xfId="0" applyFont="1"/>
    <xf numFmtId="0" fontId="29" fillId="0" borderId="0" xfId="0" applyFont="1"/>
    <xf numFmtId="0" fontId="26" fillId="0" borderId="11" xfId="0" applyFont="1" applyBorder="1" applyAlignment="1">
      <alignment horizontal="center"/>
    </xf>
    <xf numFmtId="0" fontId="26" fillId="0" borderId="27" xfId="0" applyFont="1" applyBorder="1" applyAlignment="1">
      <alignment horizontal="center"/>
    </xf>
    <xf numFmtId="177" fontId="27" fillId="0" borderId="0" xfId="0" applyNumberFormat="1" applyFont="1" applyFill="1" applyBorder="1"/>
    <xf numFmtId="0" fontId="26" fillId="0" borderId="11" xfId="0" applyNumberFormat="1" applyFont="1" applyFill="1" applyBorder="1" applyAlignment="1">
      <alignment horizontal="center"/>
    </xf>
    <xf numFmtId="0" fontId="26" fillId="0" borderId="27" xfId="0" applyNumberFormat="1" applyFont="1" applyFill="1" applyBorder="1" applyAlignment="1">
      <alignment horizontal="center"/>
    </xf>
    <xf numFmtId="0" fontId="28" fillId="0" borderId="0" xfId="0" applyFont="1"/>
    <xf numFmtId="176" fontId="27" fillId="0" borderId="11" xfId="29" applyNumberFormat="1" applyFont="1" applyBorder="1"/>
    <xf numFmtId="176" fontId="27" fillId="0" borderId="11" xfId="29" applyNumberFormat="1" applyFont="1" applyFill="1" applyBorder="1"/>
    <xf numFmtId="0" fontId="27" fillId="0" borderId="27" xfId="0" applyFont="1" applyFill="1" applyBorder="1"/>
    <xf numFmtId="0" fontId="27" fillId="0" borderId="0" xfId="0" applyFont="1" applyAlignment="1">
      <alignment horizontal="left" indent="1"/>
    </xf>
    <xf numFmtId="179" fontId="27" fillId="0" borderId="11" xfId="29" applyNumberFormat="1" applyFont="1" applyBorder="1"/>
    <xf numFmtId="182" fontId="27" fillId="0" borderId="0" xfId="0" applyNumberFormat="1" applyFont="1" applyFill="1" applyBorder="1"/>
    <xf numFmtId="179" fontId="27" fillId="0" borderId="11" xfId="29" applyNumberFormat="1" applyFont="1" applyFill="1" applyBorder="1"/>
    <xf numFmtId="166" fontId="27" fillId="0" borderId="27" xfId="47" applyNumberFormat="1" applyFont="1" applyFill="1" applyBorder="1"/>
    <xf numFmtId="181" fontId="27" fillId="0" borderId="0" xfId="0" applyNumberFormat="1" applyFont="1" applyFill="1" applyBorder="1"/>
    <xf numFmtId="182" fontId="27" fillId="0" borderId="0" xfId="0" applyNumberFormat="1" applyFont="1" applyFill="1" applyBorder="1" applyAlignment="1">
      <alignment horizontal="center"/>
    </xf>
    <xf numFmtId="166" fontId="27" fillId="0" borderId="27" xfId="0" applyNumberFormat="1" applyFont="1" applyFill="1" applyBorder="1"/>
    <xf numFmtId="176" fontId="27" fillId="0" borderId="11" xfId="0" applyNumberFormat="1" applyFont="1" applyBorder="1"/>
    <xf numFmtId="176" fontId="27" fillId="0" borderId="11" xfId="0" applyNumberFormat="1" applyFont="1" applyFill="1" applyBorder="1"/>
    <xf numFmtId="180" fontId="27" fillId="0" borderId="11" xfId="29" applyNumberFormat="1" applyFont="1" applyBorder="1"/>
    <xf numFmtId="183" fontId="27" fillId="0" borderId="0" xfId="0" applyNumberFormat="1" applyFont="1" applyFill="1" applyBorder="1"/>
    <xf numFmtId="180" fontId="27" fillId="0" borderId="11" xfId="29" applyNumberFormat="1" applyFont="1" applyFill="1" applyBorder="1"/>
    <xf numFmtId="184" fontId="27" fillId="0" borderId="0" xfId="0" applyNumberFormat="1" applyFont="1" applyFill="1" applyBorder="1"/>
    <xf numFmtId="0" fontId="27" fillId="0" borderId="11" xfId="0" applyFont="1" applyFill="1" applyBorder="1"/>
    <xf numFmtId="9" fontId="28" fillId="0" borderId="0" xfId="47" applyFont="1" applyBorder="1"/>
    <xf numFmtId="187" fontId="27" fillId="0" borderId="0" xfId="0" applyNumberFormat="1" applyFont="1" applyFill="1" applyBorder="1"/>
    <xf numFmtId="9" fontId="27" fillId="0" borderId="0" xfId="47" applyFont="1" applyBorder="1" applyAlignment="1">
      <alignment horizontal="left" indent="1"/>
    </xf>
    <xf numFmtId="0" fontId="28" fillId="0" borderId="0" xfId="0" applyFont="1" applyBorder="1"/>
    <xf numFmtId="6" fontId="28" fillId="0" borderId="31" xfId="0" applyNumberFormat="1" applyFont="1" applyFill="1" applyBorder="1"/>
    <xf numFmtId="6" fontId="28" fillId="0" borderId="42" xfId="0" applyNumberFormat="1" applyFont="1" applyFill="1" applyBorder="1"/>
    <xf numFmtId="6" fontId="28" fillId="0" borderId="0" xfId="0" applyNumberFormat="1" applyFont="1" applyFill="1" applyBorder="1"/>
    <xf numFmtId="166" fontId="28" fillId="0" borderId="42" xfId="47" applyNumberFormat="1" applyFont="1" applyFill="1" applyBorder="1"/>
    <xf numFmtId="166" fontId="27" fillId="0" borderId="0" xfId="47" applyNumberFormat="1" applyFont="1" applyBorder="1" applyAlignment="1">
      <alignment horizontal="left" indent="1"/>
    </xf>
    <xf numFmtId="164" fontId="28" fillId="0" borderId="0" xfId="0" applyNumberFormat="1" applyFont="1" applyBorder="1"/>
    <xf numFmtId="0" fontId="27" fillId="0" borderId="0" xfId="0" applyFont="1" applyFill="1"/>
    <xf numFmtId="164" fontId="26" fillId="0" borderId="0" xfId="30" applyNumberFormat="1" applyFont="1" applyBorder="1"/>
    <xf numFmtId="6" fontId="27" fillId="0" borderId="0" xfId="0" applyNumberFormat="1" applyFont="1"/>
    <xf numFmtId="0" fontId="26" fillId="0" borderId="11" xfId="0" applyFont="1" applyBorder="1" applyAlignment="1">
      <alignment wrapText="1"/>
    </xf>
    <xf numFmtId="0" fontId="39" fillId="0" borderId="10" xfId="0" applyFont="1" applyBorder="1" applyAlignment="1">
      <alignment horizontal="center"/>
    </xf>
    <xf numFmtId="0" fontId="36" fillId="0" borderId="0" xfId="0" applyFont="1" applyFill="1" applyAlignment="1">
      <alignment horizontal="left" indent="1"/>
    </xf>
    <xf numFmtId="175" fontId="39" fillId="0" borderId="0" xfId="0" applyNumberFormat="1" applyFont="1" applyFill="1" applyBorder="1"/>
    <xf numFmtId="10" fontId="36" fillId="0" borderId="0" xfId="47" applyNumberFormat="1" applyFont="1" applyFill="1" applyBorder="1"/>
    <xf numFmtId="175" fontId="40" fillId="0" borderId="0" xfId="0" applyNumberFormat="1" applyFont="1" applyFill="1" applyBorder="1"/>
    <xf numFmtId="10" fontId="36" fillId="35" borderId="0" xfId="47" applyNumberFormat="1" applyFont="1" applyFill="1"/>
    <xf numFmtId="10" fontId="36" fillId="35" borderId="0" xfId="47" applyNumberFormat="1" applyFont="1" applyFill="1" applyBorder="1"/>
    <xf numFmtId="175" fontId="39" fillId="0" borderId="0" xfId="0" applyNumberFormat="1" applyFont="1" applyBorder="1"/>
    <xf numFmtId="175" fontId="36" fillId="0" borderId="0" xfId="29" applyNumberFormat="1" applyFont="1" applyFill="1" applyBorder="1"/>
    <xf numFmtId="164" fontId="36" fillId="0" borderId="0" xfId="29" applyNumberFormat="1" applyFont="1" applyFill="1" applyBorder="1"/>
    <xf numFmtId="0" fontId="41" fillId="0" borderId="0" xfId="0" applyNumberFormat="1" applyFont="1" applyFill="1" applyAlignment="1">
      <alignment horizontal="center"/>
    </xf>
    <xf numFmtId="0" fontId="41" fillId="0" borderId="0" xfId="0" applyNumberFormat="1" applyFont="1" applyAlignment="1">
      <alignment horizontal="center"/>
    </xf>
    <xf numFmtId="0" fontId="38" fillId="0" borderId="29" xfId="0" applyFont="1" applyFill="1" applyBorder="1" applyAlignment="1">
      <alignment horizontal="center"/>
    </xf>
    <xf numFmtId="0" fontId="38" fillId="0" borderId="16" xfId="0" applyFont="1" applyFill="1" applyBorder="1" applyAlignment="1">
      <alignment horizontal="center"/>
    </xf>
    <xf numFmtId="0" fontId="38" fillId="0" borderId="16" xfId="0" applyFont="1" applyFill="1" applyBorder="1"/>
    <xf numFmtId="0" fontId="38" fillId="0" borderId="39" xfId="0" applyFont="1" applyFill="1" applyBorder="1" applyAlignment="1">
      <alignment horizontal="center"/>
    </xf>
    <xf numFmtId="0" fontId="38" fillId="0" borderId="11" xfId="0" applyFont="1" applyFill="1" applyBorder="1" applyAlignment="1">
      <alignment horizontal="center"/>
    </xf>
    <xf numFmtId="175" fontId="38" fillId="0" borderId="27" xfId="0" applyNumberFormat="1" applyFont="1" applyFill="1" applyBorder="1"/>
    <xf numFmtId="175" fontId="38" fillId="0" borderId="42" xfId="0" applyNumberFormat="1" applyFont="1" applyFill="1" applyBorder="1"/>
    <xf numFmtId="6" fontId="38" fillId="0" borderId="0" xfId="0" applyNumberFormat="1" applyFont="1" applyFill="1" applyBorder="1" applyAlignment="1"/>
    <xf numFmtId="6" fontId="38" fillId="0" borderId="31" xfId="0" applyNumberFormat="1" applyFont="1" applyFill="1" applyBorder="1" applyAlignment="1"/>
    <xf numFmtId="175" fontId="38" fillId="35" borderId="27" xfId="0" applyNumberFormat="1" applyFont="1" applyFill="1" applyBorder="1"/>
    <xf numFmtId="0" fontId="38" fillId="0" borderId="29" xfId="0" applyFont="1" applyFill="1" applyBorder="1"/>
    <xf numFmtId="175" fontId="38" fillId="0" borderId="39" xfId="0" applyNumberFormat="1" applyFont="1" applyFill="1" applyBorder="1"/>
    <xf numFmtId="0" fontId="38" fillId="0" borderId="16" xfId="0" applyFont="1" applyBorder="1"/>
    <xf numFmtId="0" fontId="39" fillId="0" borderId="11" xfId="0" applyFont="1" applyFill="1" applyBorder="1"/>
    <xf numFmtId="0" fontId="39" fillId="0" borderId="31" xfId="0" applyFont="1" applyFill="1" applyBorder="1" applyAlignment="1">
      <alignment horizontal="left"/>
    </xf>
    <xf numFmtId="175" fontId="38" fillId="0" borderId="29" xfId="0" applyNumberFormat="1" applyFont="1" applyFill="1" applyBorder="1" applyAlignment="1">
      <alignment horizontal="right"/>
    </xf>
    <xf numFmtId="175" fontId="38" fillId="0" borderId="16" xfId="0" applyNumberFormat="1" applyFont="1" applyFill="1" applyBorder="1"/>
    <xf numFmtId="175" fontId="38" fillId="0" borderId="11" xfId="0" applyNumberFormat="1" applyFont="1" applyFill="1" applyBorder="1" applyAlignment="1"/>
    <xf numFmtId="175" fontId="38" fillId="0" borderId="0" xfId="0" applyNumberFormat="1" applyFont="1" applyFill="1" applyBorder="1" applyAlignment="1"/>
    <xf numFmtId="175" fontId="38" fillId="35" borderId="0" xfId="0" applyNumberFormat="1" applyFont="1" applyFill="1" applyBorder="1" applyAlignment="1"/>
    <xf numFmtId="175" fontId="38" fillId="0" borderId="16" xfId="0" applyNumberFormat="1" applyFont="1" applyBorder="1"/>
    <xf numFmtId="175" fontId="38" fillId="0" borderId="0" xfId="0" applyNumberFormat="1" applyFont="1" applyBorder="1"/>
    <xf numFmtId="0" fontId="30" fillId="0" borderId="0" xfId="0" applyFont="1"/>
    <xf numFmtId="175" fontId="30" fillId="0" borderId="0" xfId="0" applyNumberFormat="1" applyFont="1"/>
    <xf numFmtId="0" fontId="31" fillId="0" borderId="0" xfId="0" applyFont="1" applyFill="1"/>
    <xf numFmtId="0" fontId="30" fillId="0" borderId="0" xfId="0" applyFont="1" applyAlignment="1">
      <alignment horizontal="left" indent="1"/>
    </xf>
    <xf numFmtId="175" fontId="32" fillId="0" borderId="0" xfId="0" applyNumberFormat="1" applyFont="1"/>
    <xf numFmtId="175" fontId="33" fillId="0" borderId="0" xfId="0" applyNumberFormat="1" applyFont="1"/>
    <xf numFmtId="0" fontId="33" fillId="0" borderId="0" xfId="0" applyFont="1"/>
    <xf numFmtId="0" fontId="40" fillId="0" borderId="0" xfId="0" applyFont="1" applyBorder="1"/>
    <xf numFmtId="0" fontId="31" fillId="0" borderId="0" xfId="0" applyFont="1"/>
    <xf numFmtId="175" fontId="32" fillId="0" borderId="0" xfId="0" applyNumberFormat="1" applyFont="1" applyFill="1"/>
    <xf numFmtId="175" fontId="30" fillId="0" borderId="0" xfId="0" applyNumberFormat="1" applyFont="1" applyFill="1"/>
    <xf numFmtId="0" fontId="32" fillId="0" borderId="0" xfId="0" applyFont="1" applyAlignment="1">
      <alignment horizontal="left" indent="1"/>
    </xf>
    <xf numFmtId="0" fontId="30" fillId="0" borderId="0" xfId="0" applyFont="1" applyFill="1" applyBorder="1"/>
    <xf numFmtId="175" fontId="30" fillId="0" borderId="0" xfId="0" applyNumberFormat="1" applyFont="1" applyFill="1" applyBorder="1"/>
    <xf numFmtId="0" fontId="31" fillId="0" borderId="29" xfId="0" applyFont="1" applyBorder="1"/>
    <xf numFmtId="0" fontId="32" fillId="0" borderId="0" xfId="0" applyFont="1" applyFill="1" applyAlignment="1"/>
    <xf numFmtId="165" fontId="38" fillId="0" borderId="0" xfId="28" applyNumberFormat="1" applyFont="1" applyBorder="1"/>
    <xf numFmtId="165" fontId="38" fillId="0" borderId="27" xfId="0" applyNumberFormat="1" applyFont="1" applyBorder="1"/>
    <xf numFmtId="0" fontId="47" fillId="0" borderId="0" xfId="0" applyFont="1" applyAlignment="1">
      <alignment horizontal="center"/>
    </xf>
    <xf numFmtId="175" fontId="27" fillId="0" borderId="0" xfId="0" applyNumberFormat="1" applyFont="1"/>
    <xf numFmtId="175" fontId="38" fillId="31" borderId="11" xfId="0" applyNumberFormat="1" applyFont="1" applyFill="1" applyBorder="1" applyAlignment="1">
      <alignment horizontal="right"/>
    </xf>
    <xf numFmtId="175" fontId="38" fillId="31" borderId="0" xfId="0" applyNumberFormat="1" applyFont="1" applyFill="1" applyBorder="1" applyAlignment="1">
      <alignment horizontal="right"/>
    </xf>
    <xf numFmtId="175" fontId="38" fillId="31" borderId="0" xfId="0" applyNumberFormat="1" applyFont="1" applyFill="1"/>
    <xf numFmtId="0" fontId="0" fillId="0" borderId="0" xfId="0" applyAlignment="1">
      <alignment horizontal="center"/>
    </xf>
    <xf numFmtId="165" fontId="0" fillId="0" borderId="11" xfId="28" applyNumberFormat="1" applyFont="1" applyBorder="1"/>
    <xf numFmtId="165" fontId="0" fillId="0" borderId="27" xfId="28" applyNumberFormat="1" applyFont="1" applyBorder="1"/>
    <xf numFmtId="165" fontId="0" fillId="0" borderId="0" xfId="28" applyNumberFormat="1" applyFont="1" applyBorder="1"/>
    <xf numFmtId="0" fontId="48" fillId="0" borderId="0" xfId="0" applyFont="1"/>
    <xf numFmtId="165" fontId="48" fillId="0" borderId="11" xfId="28" applyNumberFormat="1" applyFont="1" applyBorder="1"/>
    <xf numFmtId="165" fontId="48" fillId="0" borderId="0" xfId="28" applyNumberFormat="1" applyFont="1" applyBorder="1"/>
    <xf numFmtId="165" fontId="48" fillId="0" borderId="27" xfId="28" applyNumberFormat="1" applyFont="1" applyBorder="1"/>
    <xf numFmtId="0" fontId="2" fillId="0" borderId="0" xfId="0" applyFont="1"/>
    <xf numFmtId="165" fontId="25" fillId="0" borderId="31" xfId="28" applyNumberFormat="1" applyFont="1" applyBorder="1"/>
    <xf numFmtId="165" fontId="25" fillId="0" borderId="10" xfId="28" applyNumberFormat="1" applyFont="1" applyBorder="1"/>
    <xf numFmtId="165" fontId="25" fillId="0" borderId="42" xfId="28" applyNumberFormat="1" applyFont="1" applyBorder="1"/>
    <xf numFmtId="0" fontId="49" fillId="0" borderId="29" xfId="0" applyFont="1" applyBorder="1" applyAlignment="1">
      <alignment horizontal="center" wrapText="1"/>
    </xf>
    <xf numFmtId="0" fontId="49" fillId="0" borderId="16" xfId="0" applyFont="1" applyBorder="1" applyAlignment="1">
      <alignment horizontal="center" wrapText="1"/>
    </xf>
    <xf numFmtId="0" fontId="49" fillId="0" borderId="39" xfId="0" applyFont="1" applyBorder="1" applyAlignment="1">
      <alignment horizontal="center" wrapText="1"/>
    </xf>
    <xf numFmtId="0" fontId="25" fillId="0" borderId="29" xfId="0" applyFont="1" applyBorder="1" applyAlignment="1">
      <alignment horizontal="center"/>
    </xf>
    <xf numFmtId="0" fontId="25" fillId="0" borderId="39" xfId="0" applyFont="1" applyBorder="1" applyAlignment="1">
      <alignment horizontal="center"/>
    </xf>
    <xf numFmtId="167" fontId="38" fillId="0" borderId="0" xfId="0" applyNumberFormat="1" applyFont="1" applyFill="1" applyBorder="1" applyAlignment="1">
      <alignment horizontal="right"/>
    </xf>
    <xf numFmtId="166" fontId="40" fillId="0" borderId="0" xfId="47" applyNumberFormat="1" applyFont="1" applyFill="1"/>
    <xf numFmtId="0" fontId="36" fillId="34" borderId="29" xfId="0" applyFont="1" applyFill="1" applyBorder="1" applyAlignment="1">
      <alignment horizontal="left"/>
    </xf>
    <xf numFmtId="5" fontId="36" fillId="34" borderId="16" xfId="0" applyNumberFormat="1" applyFont="1" applyFill="1" applyBorder="1"/>
    <xf numFmtId="175" fontId="36" fillId="34" borderId="16" xfId="0" applyNumberFormat="1" applyFont="1" applyFill="1" applyBorder="1"/>
    <xf numFmtId="175" fontId="37" fillId="0" borderId="10" xfId="0" applyNumberFormat="1" applyFont="1" applyFill="1" applyBorder="1" applyAlignment="1">
      <alignment horizontal="right"/>
    </xf>
    <xf numFmtId="175" fontId="0" fillId="0" borderId="0" xfId="0" applyNumberFormat="1"/>
    <xf numFmtId="165" fontId="0" fillId="0" borderId="0" xfId="28" applyNumberFormat="1" applyFont="1"/>
    <xf numFmtId="0" fontId="49" fillId="0" borderId="0" xfId="0" applyFont="1"/>
    <xf numFmtId="9" fontId="0" fillId="0" borderId="0" xfId="47" applyFont="1"/>
    <xf numFmtId="175" fontId="48" fillId="0" borderId="0" xfId="0" applyNumberFormat="1" applyFont="1"/>
    <xf numFmtId="175" fontId="2" fillId="0" borderId="0" xfId="0" applyNumberFormat="1" applyFont="1"/>
    <xf numFmtId="175" fontId="25" fillId="0" borderId="0" xfId="0" applyNumberFormat="1" applyFont="1"/>
    <xf numFmtId="0" fontId="49" fillId="0" borderId="0" xfId="0" applyFont="1" applyAlignment="1">
      <alignment horizontal="center" wrapText="1"/>
    </xf>
    <xf numFmtId="166" fontId="39" fillId="0" borderId="0" xfId="47" applyNumberFormat="1" applyFont="1"/>
    <xf numFmtId="174" fontId="39" fillId="0" borderId="0" xfId="0" applyNumberFormat="1" applyFont="1" applyFill="1"/>
    <xf numFmtId="166" fontId="39" fillId="0" borderId="0" xfId="47" applyNumberFormat="1" applyFont="1" applyFill="1"/>
    <xf numFmtId="0" fontId="36" fillId="34" borderId="16" xfId="0" applyFont="1" applyFill="1" applyBorder="1"/>
    <xf numFmtId="0" fontId="44" fillId="0" borderId="29" xfId="0" applyFont="1" applyBorder="1" applyAlignment="1">
      <alignment horizontal="center"/>
    </xf>
    <xf numFmtId="0" fontId="44" fillId="0" borderId="39" xfId="0" applyFont="1" applyBorder="1" applyAlignment="1">
      <alignment horizontal="center"/>
    </xf>
    <xf numFmtId="175" fontId="36" fillId="0" borderId="31" xfId="28" applyNumberFormat="1" applyFont="1" applyBorder="1"/>
    <xf numFmtId="175" fontId="36" fillId="0" borderId="42" xfId="28" applyNumberFormat="1" applyFont="1" applyBorder="1"/>
    <xf numFmtId="0" fontId="38" fillId="0" borderId="0" xfId="0" applyFont="1" applyAlignment="1">
      <alignment horizontal="right"/>
    </xf>
    <xf numFmtId="166" fontId="38" fillId="0" borderId="0" xfId="47" applyNumberFormat="1" applyFont="1" applyBorder="1"/>
    <xf numFmtId="165" fontId="2" fillId="0" borderId="0" xfId="28" applyNumberFormat="1" applyFont="1"/>
    <xf numFmtId="166" fontId="2" fillId="0" borderId="0" xfId="47" applyNumberFormat="1" applyFont="1"/>
    <xf numFmtId="165" fontId="48" fillId="0" borderId="0" xfId="28" applyNumberFormat="1" applyFont="1"/>
    <xf numFmtId="166" fontId="48" fillId="0" borderId="0" xfId="47" applyNumberFormat="1" applyFont="1"/>
    <xf numFmtId="165" fontId="25" fillId="0" borderId="0" xfId="0" applyNumberFormat="1" applyFont="1"/>
    <xf numFmtId="165" fontId="0" fillId="0" borderId="0" xfId="0" applyNumberFormat="1"/>
    <xf numFmtId="186" fontId="0" fillId="0" borderId="0" xfId="0" applyNumberFormat="1"/>
    <xf numFmtId="175" fontId="30" fillId="0" borderId="0" xfId="0" applyNumberFormat="1" applyFont="1" applyAlignment="1"/>
    <xf numFmtId="165" fontId="42" fillId="0" borderId="0" xfId="28" applyNumberFormat="1" applyFont="1" applyFill="1"/>
    <xf numFmtId="165" fontId="39" fillId="0" borderId="0" xfId="28" applyNumberFormat="1" applyFont="1" applyFill="1"/>
    <xf numFmtId="166" fontId="0" fillId="0" borderId="0" xfId="47" applyNumberFormat="1" applyFont="1"/>
    <xf numFmtId="166" fontId="0" fillId="0" borderId="0" xfId="0" applyNumberFormat="1"/>
    <xf numFmtId="166" fontId="25" fillId="0" borderId="0" xfId="0" applyNumberFormat="1" applyFont="1"/>
    <xf numFmtId="165" fontId="50" fillId="0" borderId="0" xfId="28" applyNumberFormat="1" applyFont="1"/>
    <xf numFmtId="165" fontId="25" fillId="0" borderId="0" xfId="28" applyNumberFormat="1" applyFont="1"/>
    <xf numFmtId="165" fontId="39" fillId="0" borderId="0" xfId="0" applyNumberFormat="1" applyFont="1" applyFill="1" applyBorder="1"/>
    <xf numFmtId="0" fontId="2" fillId="0" borderId="0" xfId="0" applyFont="1" applyAlignment="1">
      <alignment horizontal="left" indent="1"/>
    </xf>
    <xf numFmtId="42" fontId="0" fillId="0" borderId="0" xfId="0" applyNumberFormat="1"/>
    <xf numFmtId="0" fontId="25" fillId="0" borderId="0" xfId="0" applyFont="1" applyAlignment="1">
      <alignment horizontal="left" indent="1"/>
    </xf>
    <xf numFmtId="42" fontId="25" fillId="0" borderId="0" xfId="0" applyNumberFormat="1" applyFont="1"/>
    <xf numFmtId="0" fontId="48" fillId="0" borderId="0" xfId="0" applyFont="1" applyAlignment="1">
      <alignment horizontal="left" indent="1"/>
    </xf>
    <xf numFmtId="42" fontId="48" fillId="0" borderId="0" xfId="0" applyNumberFormat="1" applyFont="1"/>
    <xf numFmtId="6" fontId="0" fillId="0" borderId="0" xfId="0" applyNumberFormat="1"/>
    <xf numFmtId="0" fontId="25" fillId="0" borderId="0" xfId="0" applyFont="1" applyBorder="1" applyAlignment="1">
      <alignment horizontal="center"/>
    </xf>
    <xf numFmtId="174" fontId="0" fillId="0" borderId="0" xfId="0" applyNumberFormat="1"/>
    <xf numFmtId="0" fontId="2" fillId="0" borderId="0" xfId="43"/>
    <xf numFmtId="194" fontId="2" fillId="0" borderId="0" xfId="43" applyNumberFormat="1"/>
    <xf numFmtId="165" fontId="38" fillId="30" borderId="0" xfId="28" applyNumberFormat="1" applyFont="1" applyFill="1"/>
    <xf numFmtId="0" fontId="49" fillId="0" borderId="0" xfId="0" applyFont="1" applyAlignment="1">
      <alignment horizontal="center"/>
    </xf>
    <xf numFmtId="175" fontId="49" fillId="0" borderId="11" xfId="0" applyNumberFormat="1" applyFont="1" applyBorder="1" applyAlignment="1">
      <alignment horizontal="center"/>
    </xf>
    <xf numFmtId="0" fontId="49" fillId="0" borderId="27" xfId="0" applyFont="1" applyBorder="1" applyAlignment="1">
      <alignment horizontal="center"/>
    </xf>
    <xf numFmtId="175" fontId="0" fillId="0" borderId="11" xfId="0" applyNumberFormat="1" applyBorder="1"/>
    <xf numFmtId="175" fontId="0" fillId="0" borderId="27" xfId="0" applyNumberFormat="1" applyBorder="1"/>
    <xf numFmtId="175" fontId="48" fillId="0" borderId="11" xfId="0" applyNumberFormat="1" applyFont="1" applyBorder="1"/>
    <xf numFmtId="175" fontId="25" fillId="0" borderId="31" xfId="0" applyNumberFormat="1" applyFont="1" applyBorder="1"/>
    <xf numFmtId="175" fontId="25" fillId="0" borderId="42" xfId="0" applyNumberFormat="1" applyFont="1" applyBorder="1"/>
    <xf numFmtId="0" fontId="49" fillId="0" borderId="11" xfId="0" applyFont="1" applyBorder="1" applyAlignment="1">
      <alignment horizontal="center" wrapText="1"/>
    </xf>
    <xf numFmtId="0" fontId="49" fillId="0" borderId="0" xfId="0" applyFont="1" applyBorder="1" applyAlignment="1">
      <alignment horizontal="center"/>
    </xf>
    <xf numFmtId="174" fontId="0" fillId="0" borderId="11" xfId="0" applyNumberFormat="1" applyBorder="1"/>
    <xf numFmtId="0" fontId="0" fillId="0" borderId="27" xfId="0" applyBorder="1"/>
    <xf numFmtId="0" fontId="0" fillId="0" borderId="31" xfId="0" applyBorder="1"/>
    <xf numFmtId="0" fontId="49" fillId="0" borderId="28" xfId="0" applyFont="1" applyBorder="1" applyAlignment="1">
      <alignment horizontal="center"/>
    </xf>
    <xf numFmtId="175" fontId="0" fillId="0" borderId="12" xfId="0" applyNumberFormat="1" applyBorder="1"/>
    <xf numFmtId="175" fontId="48" fillId="0" borderId="27" xfId="0" applyNumberFormat="1" applyFont="1" applyBorder="1"/>
    <xf numFmtId="175" fontId="48" fillId="0" borderId="12" xfId="0" applyNumberFormat="1" applyFont="1" applyBorder="1"/>
    <xf numFmtId="0" fontId="49" fillId="0" borderId="28" xfId="0" applyFont="1" applyBorder="1"/>
    <xf numFmtId="0" fontId="2" fillId="0" borderId="12" xfId="0" applyFont="1" applyBorder="1"/>
    <xf numFmtId="0" fontId="2" fillId="0" borderId="12" xfId="43" applyBorder="1"/>
    <xf numFmtId="0" fontId="48" fillId="0" borderId="12" xfId="0" applyFont="1" applyBorder="1"/>
    <xf numFmtId="0" fontId="25" fillId="0" borderId="30" xfId="0" applyFont="1" applyBorder="1"/>
    <xf numFmtId="175" fontId="25" fillId="0" borderId="30" xfId="0" applyNumberFormat="1" applyFont="1" applyBorder="1"/>
    <xf numFmtId="0" fontId="49" fillId="0" borderId="0" xfId="0" applyFont="1" applyFill="1" applyBorder="1" applyAlignment="1">
      <alignment horizontal="center"/>
    </xf>
    <xf numFmtId="9" fontId="2" fillId="0" borderId="0" xfId="47" applyFont="1"/>
    <xf numFmtId="42" fontId="50" fillId="0" borderId="0" xfId="0" applyNumberFormat="1" applyFont="1"/>
    <xf numFmtId="174" fontId="48" fillId="0" borderId="0" xfId="0" applyNumberFormat="1" applyFont="1"/>
    <xf numFmtId="164" fontId="0" fillId="0" borderId="0" xfId="29" applyNumberFormat="1" applyFont="1"/>
    <xf numFmtId="164" fontId="50" fillId="0" borderId="0" xfId="0" applyNumberFormat="1" applyFont="1"/>
    <xf numFmtId="166" fontId="36" fillId="0" borderId="12" xfId="47" applyNumberFormat="1" applyFont="1" applyBorder="1"/>
    <xf numFmtId="175" fontId="36" fillId="0" borderId="32" xfId="0" applyNumberFormat="1" applyFont="1" applyBorder="1"/>
    <xf numFmtId="0" fontId="36" fillId="0" borderId="41" xfId="0" applyFont="1" applyBorder="1"/>
    <xf numFmtId="195" fontId="30" fillId="0" borderId="0" xfId="28" applyNumberFormat="1" applyFont="1"/>
    <xf numFmtId="0" fontId="46" fillId="0" borderId="0" xfId="0" applyFont="1"/>
    <xf numFmtId="175" fontId="0" fillId="0" borderId="0" xfId="0" applyNumberFormat="1" applyBorder="1"/>
    <xf numFmtId="175" fontId="48" fillId="0" borderId="0" xfId="0" applyNumberFormat="1" applyFont="1" applyBorder="1"/>
    <xf numFmtId="188" fontId="36" fillId="0" borderId="31" xfId="0" applyNumberFormat="1" applyFont="1" applyBorder="1" applyAlignment="1">
      <alignment horizontal="center"/>
    </xf>
    <xf numFmtId="188" fontId="36" fillId="0" borderId="42" xfId="0" applyNumberFormat="1" applyFont="1" applyBorder="1" applyAlignment="1">
      <alignment horizontal="center"/>
    </xf>
    <xf numFmtId="6" fontId="36" fillId="27" borderId="0" xfId="0" applyNumberFormat="1" applyFont="1" applyFill="1" applyBorder="1"/>
    <xf numFmtId="6" fontId="36" fillId="27" borderId="27" xfId="0" applyNumberFormat="1" applyFont="1" applyFill="1" applyBorder="1"/>
    <xf numFmtId="0" fontId="36" fillId="0" borderId="27" xfId="0" applyFont="1" applyBorder="1"/>
    <xf numFmtId="5" fontId="36" fillId="34" borderId="32" xfId="0" applyNumberFormat="1" applyFont="1" applyFill="1" applyBorder="1"/>
    <xf numFmtId="5" fontId="36" fillId="34" borderId="40" xfId="0" applyNumberFormat="1" applyFont="1" applyFill="1" applyBorder="1"/>
    <xf numFmtId="5" fontId="36" fillId="34" borderId="41" xfId="0" applyNumberFormat="1" applyFont="1" applyFill="1" applyBorder="1"/>
    <xf numFmtId="6" fontId="36" fillId="27" borderId="11" xfId="0" applyNumberFormat="1" applyFont="1" applyFill="1" applyBorder="1"/>
    <xf numFmtId="175" fontId="49" fillId="0" borderId="0" xfId="0" applyNumberFormat="1" applyFont="1"/>
    <xf numFmtId="166" fontId="25" fillId="0" borderId="0" xfId="47" applyNumberFormat="1" applyFont="1"/>
    <xf numFmtId="0" fontId="2" fillId="0" borderId="29" xfId="0" applyFont="1" applyBorder="1"/>
    <xf numFmtId="0" fontId="2" fillId="0" borderId="11" xfId="0" applyFont="1" applyBorder="1"/>
    <xf numFmtId="165" fontId="2" fillId="0" borderId="0" xfId="0" applyNumberFormat="1" applyFont="1"/>
    <xf numFmtId="165" fontId="2" fillId="0" borderId="27" xfId="28" applyNumberFormat="1" applyFont="1" applyBorder="1"/>
    <xf numFmtId="165" fontId="2" fillId="0" borderId="27" xfId="0" applyNumberFormat="1" applyFont="1" applyBorder="1"/>
    <xf numFmtId="0" fontId="2" fillId="0" borderId="42" xfId="0" applyFont="1" applyBorder="1"/>
    <xf numFmtId="0" fontId="51" fillId="0" borderId="16" xfId="0" applyFont="1" applyBorder="1" applyAlignment="1">
      <alignment horizontal="center"/>
    </xf>
    <xf numFmtId="0" fontId="51" fillId="0" borderId="39" xfId="0" applyFont="1" applyBorder="1" applyAlignment="1">
      <alignment horizontal="center"/>
    </xf>
    <xf numFmtId="0" fontId="52" fillId="0" borderId="11" xfId="0" applyFont="1" applyBorder="1"/>
    <xf numFmtId="175" fontId="52" fillId="0" borderId="0" xfId="0" applyNumberFormat="1" applyFont="1"/>
    <xf numFmtId="165" fontId="52" fillId="0" borderId="0" xfId="0" applyNumberFormat="1" applyFont="1"/>
    <xf numFmtId="165" fontId="52" fillId="0" borderId="27" xfId="0" applyNumberFormat="1" applyFont="1" applyBorder="1"/>
    <xf numFmtId="0" fontId="53" fillId="0" borderId="31" xfId="0" applyFont="1" applyBorder="1"/>
    <xf numFmtId="175" fontId="53" fillId="0" borderId="10" xfId="0" applyNumberFormat="1" applyFont="1" applyBorder="1"/>
    <xf numFmtId="165" fontId="53" fillId="0" borderId="10" xfId="0" applyNumberFormat="1" applyFont="1" applyBorder="1"/>
    <xf numFmtId="0" fontId="39" fillId="0" borderId="0" xfId="0" applyFont="1" applyFill="1" applyBorder="1" applyAlignment="1">
      <alignment horizontal="center"/>
    </xf>
    <xf numFmtId="5" fontId="36" fillId="34" borderId="31" xfId="0" applyNumberFormat="1" applyFont="1" applyFill="1" applyBorder="1" applyAlignment="1"/>
    <xf numFmtId="5" fontId="36" fillId="34" borderId="10" xfId="0" applyNumberFormat="1" applyFont="1" applyFill="1" applyBorder="1"/>
    <xf numFmtId="166" fontId="0" fillId="0" borderId="0" xfId="47" applyNumberFormat="1" applyFont="1" applyBorder="1"/>
    <xf numFmtId="166" fontId="48" fillId="0" borderId="0" xfId="47" applyNumberFormat="1" applyFont="1" applyBorder="1"/>
    <xf numFmtId="0" fontId="49" fillId="0" borderId="16" xfId="0" applyFont="1" applyBorder="1" applyAlignment="1">
      <alignment horizontal="center"/>
    </xf>
    <xf numFmtId="43" fontId="36" fillId="0" borderId="0" xfId="28" applyFont="1"/>
    <xf numFmtId="0" fontId="49" fillId="0" borderId="50" xfId="0" applyFont="1" applyBorder="1" applyAlignment="1">
      <alignment horizontal="center"/>
    </xf>
    <xf numFmtId="175" fontId="0" fillId="0" borderId="22" xfId="0" applyNumberFormat="1" applyBorder="1"/>
    <xf numFmtId="175" fontId="48" fillId="0" borderId="22" xfId="0" applyNumberFormat="1" applyFont="1" applyBorder="1"/>
    <xf numFmtId="175" fontId="25" fillId="0" borderId="24" xfId="0" applyNumberFormat="1" applyFont="1" applyBorder="1"/>
    <xf numFmtId="175" fontId="25" fillId="0" borderId="13" xfId="0" applyNumberFormat="1" applyFont="1" applyBorder="1"/>
    <xf numFmtId="166" fontId="25" fillId="0" borderId="13" xfId="47" applyNumberFormat="1" applyFont="1" applyBorder="1"/>
    <xf numFmtId="175" fontId="0" fillId="33" borderId="0" xfId="0" applyNumberFormat="1" applyFill="1" applyBorder="1"/>
    <xf numFmtId="0" fontId="2" fillId="33" borderId="0" xfId="0" applyFont="1" applyFill="1" applyAlignment="1">
      <alignment horizontal="center"/>
    </xf>
    <xf numFmtId="0" fontId="49" fillId="0" borderId="51" xfId="0" applyFont="1" applyFill="1" applyBorder="1" applyAlignment="1">
      <alignment horizontal="center"/>
    </xf>
    <xf numFmtId="175" fontId="25" fillId="0" borderId="52" xfId="0" applyNumberFormat="1" applyFont="1" applyBorder="1"/>
    <xf numFmtId="175" fontId="49" fillId="0" borderId="52" xfId="0" applyNumberFormat="1" applyFont="1" applyBorder="1"/>
    <xf numFmtId="175" fontId="25" fillId="0" borderId="53" xfId="0" applyNumberFormat="1" applyFont="1" applyBorder="1"/>
    <xf numFmtId="0" fontId="49" fillId="0" borderId="51" xfId="0" applyFont="1" applyBorder="1" applyAlignment="1">
      <alignment horizontal="center"/>
    </xf>
    <xf numFmtId="166" fontId="25" fillId="0" borderId="52" xfId="47" applyNumberFormat="1" applyFont="1" applyBorder="1"/>
    <xf numFmtId="166" fontId="49" fillId="0" borderId="52" xfId="47" applyNumberFormat="1" applyFont="1" applyBorder="1"/>
    <xf numFmtId="166" fontId="25" fillId="0" borderId="53" xfId="47" applyNumberFormat="1" applyFont="1" applyBorder="1"/>
    <xf numFmtId="175" fontId="0" fillId="36" borderId="0" xfId="0" applyNumberFormat="1" applyFill="1"/>
    <xf numFmtId="175" fontId="48" fillId="36" borderId="0" xfId="0" applyNumberFormat="1" applyFont="1" applyFill="1"/>
    <xf numFmtId="0" fontId="2" fillId="36" borderId="33" xfId="0" applyFont="1" applyFill="1" applyBorder="1" applyAlignment="1">
      <alignment horizontal="center"/>
    </xf>
    <xf numFmtId="42" fontId="36" fillId="34" borderId="11" xfId="0" applyNumberFormat="1" applyFont="1" applyFill="1" applyBorder="1"/>
    <xf numFmtId="42" fontId="36" fillId="34" borderId="12" xfId="0" applyNumberFormat="1" applyFont="1" applyFill="1" applyBorder="1"/>
    <xf numFmtId="42" fontId="36" fillId="34" borderId="0" xfId="0" applyNumberFormat="1" applyFont="1" applyFill="1" applyBorder="1"/>
    <xf numFmtId="165" fontId="36" fillId="0" borderId="0" xfId="28" applyNumberFormat="1" applyFont="1" applyFill="1" applyBorder="1"/>
    <xf numFmtId="165" fontId="36" fillId="0" borderId="0" xfId="0" applyNumberFormat="1" applyFont="1" applyFill="1" applyBorder="1"/>
    <xf numFmtId="43" fontId="36" fillId="34" borderId="11" xfId="28" applyFont="1" applyFill="1" applyBorder="1"/>
    <xf numFmtId="165" fontId="36" fillId="34" borderId="11" xfId="28" applyNumberFormat="1" applyFont="1" applyFill="1" applyBorder="1"/>
    <xf numFmtId="165" fontId="36" fillId="34" borderId="12" xfId="28" applyNumberFormat="1" applyFont="1" applyFill="1" applyBorder="1"/>
    <xf numFmtId="165" fontId="36" fillId="34" borderId="0" xfId="0" applyNumberFormat="1" applyFont="1" applyFill="1"/>
    <xf numFmtId="0" fontId="32" fillId="0" borderId="0" xfId="0" applyFont="1" applyAlignment="1">
      <alignment horizontal="center"/>
    </xf>
    <xf numFmtId="175" fontId="30" fillId="0" borderId="0" xfId="28" applyNumberFormat="1" applyFont="1"/>
    <xf numFmtId="42" fontId="40" fillId="34" borderId="11" xfId="0" applyNumberFormat="1" applyFont="1" applyFill="1" applyBorder="1"/>
    <xf numFmtId="42" fontId="40" fillId="34" borderId="12" xfId="0" applyNumberFormat="1" applyFont="1" applyFill="1" applyBorder="1"/>
    <xf numFmtId="165" fontId="40" fillId="34" borderId="11" xfId="28" applyNumberFormat="1" applyFont="1" applyFill="1" applyBorder="1"/>
    <xf numFmtId="43" fontId="40" fillId="34" borderId="11" xfId="28" applyFont="1" applyFill="1" applyBorder="1"/>
    <xf numFmtId="0" fontId="40" fillId="34" borderId="0" xfId="0" applyFont="1" applyFill="1"/>
    <xf numFmtId="188" fontId="36" fillId="0" borderId="41" xfId="0" applyNumberFormat="1" applyFont="1" applyBorder="1" applyAlignment="1">
      <alignment horizontal="center"/>
    </xf>
    <xf numFmtId="0" fontId="1" fillId="0" borderId="0" xfId="0" applyFont="1"/>
    <xf numFmtId="175" fontId="0" fillId="33" borderId="0" xfId="0" applyNumberFormat="1" applyFill="1"/>
    <xf numFmtId="6" fontId="36" fillId="0" borderId="27" xfId="0" applyNumberFormat="1" applyFont="1" applyFill="1" applyBorder="1"/>
    <xf numFmtId="0" fontId="40" fillId="0" borderId="11" xfId="0" applyFont="1" applyBorder="1" applyAlignment="1">
      <alignment horizontal="center"/>
    </xf>
    <xf numFmtId="0" fontId="36" fillId="0" borderId="36" xfId="0" applyFont="1" applyBorder="1" applyAlignment="1">
      <alignment horizontal="center"/>
    </xf>
    <xf numFmtId="0" fontId="36" fillId="0" borderId="10" xfId="0" applyFont="1" applyBorder="1" applyAlignment="1">
      <alignment horizontal="center"/>
    </xf>
    <xf numFmtId="0" fontId="39" fillId="0" borderId="0" xfId="0" applyFont="1" applyFill="1" applyBorder="1" applyAlignment="1">
      <alignment horizontal="center"/>
    </xf>
    <xf numFmtId="42" fontId="40" fillId="34" borderId="0" xfId="0" applyNumberFormat="1" applyFont="1" applyFill="1" applyBorder="1"/>
    <xf numFmtId="165" fontId="40" fillId="34" borderId="12" xfId="28" applyNumberFormat="1" applyFont="1" applyFill="1" applyBorder="1"/>
    <xf numFmtId="175" fontId="38" fillId="34" borderId="11" xfId="0" applyNumberFormat="1" applyFont="1" applyFill="1" applyBorder="1" applyAlignment="1">
      <alignment horizontal="right"/>
    </xf>
    <xf numFmtId="165" fontId="36" fillId="34" borderId="0" xfId="28" applyNumberFormat="1" applyFont="1" applyFill="1"/>
    <xf numFmtId="166" fontId="36" fillId="34" borderId="0" xfId="47" applyNumberFormat="1" applyFont="1" applyFill="1"/>
    <xf numFmtId="169" fontId="27" fillId="0" borderId="0" xfId="0" applyNumberFormat="1" applyFont="1" applyBorder="1"/>
    <xf numFmtId="9" fontId="49" fillId="0" borderId="0" xfId="0" applyNumberFormat="1" applyFont="1" applyAlignment="1">
      <alignment horizontal="center"/>
    </xf>
    <xf numFmtId="166" fontId="49" fillId="0" borderId="0" xfId="47" applyNumberFormat="1" applyFont="1" applyAlignment="1">
      <alignment horizontal="center"/>
    </xf>
    <xf numFmtId="0" fontId="1" fillId="0" borderId="0" xfId="0" applyFont="1" applyAlignment="1">
      <alignment horizontal="right"/>
    </xf>
    <xf numFmtId="0" fontId="54" fillId="38" borderId="64" xfId="0" applyFont="1" applyFill="1" applyBorder="1" applyAlignment="1">
      <alignment horizontal="center" vertical="top" wrapText="1"/>
    </xf>
    <xf numFmtId="3" fontId="55" fillId="38" borderId="64" xfId="0" applyNumberFormat="1" applyFont="1" applyFill="1" applyBorder="1" applyAlignment="1">
      <alignment horizontal="right" vertical="top" indent="1" shrinkToFit="1"/>
    </xf>
    <xf numFmtId="193" fontId="55" fillId="38" borderId="64" xfId="0" applyNumberFormat="1" applyFont="1" applyFill="1" applyBorder="1" applyAlignment="1">
      <alignment horizontal="center" vertical="top" shrinkToFit="1"/>
    </xf>
    <xf numFmtId="3" fontId="55" fillId="38" borderId="64" xfId="0" applyNumberFormat="1" applyFont="1" applyFill="1" applyBorder="1" applyAlignment="1">
      <alignment horizontal="center" vertical="top" shrinkToFit="1"/>
    </xf>
    <xf numFmtId="193" fontId="55" fillId="38" borderId="64" xfId="0" applyNumberFormat="1" applyFont="1" applyFill="1" applyBorder="1" applyAlignment="1">
      <alignment horizontal="left" vertical="top" indent="2" shrinkToFit="1"/>
    </xf>
    <xf numFmtId="1" fontId="55" fillId="38" borderId="64" xfId="0" applyNumberFormat="1" applyFont="1" applyFill="1" applyBorder="1" applyAlignment="1">
      <alignment horizontal="center" vertical="top" shrinkToFit="1"/>
    </xf>
    <xf numFmtId="193" fontId="55" fillId="38" borderId="64" xfId="0" applyNumberFormat="1" applyFont="1" applyFill="1" applyBorder="1" applyAlignment="1">
      <alignment horizontal="right" vertical="top" indent="2" shrinkToFit="1"/>
    </xf>
    <xf numFmtId="193" fontId="55" fillId="38" borderId="65" xfId="0" applyNumberFormat="1" applyFont="1" applyFill="1" applyBorder="1" applyAlignment="1">
      <alignment horizontal="center" vertical="top" shrinkToFit="1"/>
    </xf>
    <xf numFmtId="0" fontId="54" fillId="37" borderId="64" xfId="0" applyFont="1" applyFill="1" applyBorder="1" applyAlignment="1">
      <alignment horizontal="center" vertical="top" wrapText="1"/>
    </xf>
    <xf numFmtId="1" fontId="55" fillId="37" borderId="64" xfId="0" applyNumberFormat="1" applyFont="1" applyFill="1" applyBorder="1" applyAlignment="1">
      <alignment horizontal="center" vertical="top" shrinkToFit="1"/>
    </xf>
    <xf numFmtId="193" fontId="55" fillId="37" borderId="64" xfId="0" applyNumberFormat="1" applyFont="1" applyFill="1" applyBorder="1" applyAlignment="1">
      <alignment horizontal="center" vertical="top" shrinkToFit="1"/>
    </xf>
    <xf numFmtId="193" fontId="55" fillId="37" borderId="64" xfId="0" applyNumberFormat="1" applyFont="1" applyFill="1" applyBorder="1" applyAlignment="1">
      <alignment horizontal="left" vertical="top" indent="2" shrinkToFit="1"/>
    </xf>
    <xf numFmtId="193" fontId="55" fillId="37" borderId="64" xfId="0" applyNumberFormat="1" applyFont="1" applyFill="1" applyBorder="1" applyAlignment="1">
      <alignment horizontal="right" vertical="top" indent="2" shrinkToFit="1"/>
    </xf>
    <xf numFmtId="193" fontId="55" fillId="37" borderId="65" xfId="0" applyNumberFormat="1" applyFont="1" applyFill="1" applyBorder="1" applyAlignment="1">
      <alignment horizontal="center" vertical="top" shrinkToFit="1"/>
    </xf>
    <xf numFmtId="1" fontId="55" fillId="38" borderId="64" xfId="0" applyNumberFormat="1" applyFont="1" applyFill="1" applyBorder="1" applyAlignment="1">
      <alignment horizontal="right" vertical="top" indent="1" shrinkToFit="1"/>
    </xf>
    <xf numFmtId="3" fontId="55" fillId="39" borderId="64" xfId="0" applyNumberFormat="1" applyFont="1" applyFill="1" applyBorder="1" applyAlignment="1">
      <alignment horizontal="right" vertical="top" indent="1" shrinkToFit="1"/>
    </xf>
    <xf numFmtId="193" fontId="55" fillId="39" borderId="64" xfId="0" applyNumberFormat="1" applyFont="1" applyFill="1" applyBorder="1" applyAlignment="1">
      <alignment horizontal="center" vertical="top" shrinkToFit="1"/>
    </xf>
    <xf numFmtId="3" fontId="55" fillId="39" borderId="64" xfId="0" applyNumberFormat="1" applyFont="1" applyFill="1" applyBorder="1" applyAlignment="1">
      <alignment horizontal="center" vertical="top" shrinkToFit="1"/>
    </xf>
    <xf numFmtId="193" fontId="55" fillId="39" borderId="64" xfId="0" applyNumberFormat="1" applyFont="1" applyFill="1" applyBorder="1" applyAlignment="1">
      <alignment horizontal="left" vertical="top" indent="2" shrinkToFit="1"/>
    </xf>
    <xf numFmtId="1" fontId="55" fillId="39" borderId="64" xfId="0" applyNumberFormat="1" applyFont="1" applyFill="1" applyBorder="1" applyAlignment="1">
      <alignment horizontal="center" vertical="top" shrinkToFit="1"/>
    </xf>
    <xf numFmtId="193" fontId="55" fillId="39" borderId="64" xfId="0" applyNumberFormat="1" applyFont="1" applyFill="1" applyBorder="1" applyAlignment="1">
      <alignment horizontal="right" vertical="top" indent="2" shrinkToFit="1"/>
    </xf>
    <xf numFmtId="193" fontId="55" fillId="39" borderId="65" xfId="0" applyNumberFormat="1" applyFont="1" applyFill="1" applyBorder="1" applyAlignment="1">
      <alignment horizontal="center" vertical="top" shrinkToFit="1"/>
    </xf>
    <xf numFmtId="3" fontId="57" fillId="40" borderId="69" xfId="0" applyNumberFormat="1" applyFont="1" applyFill="1" applyBorder="1" applyAlignment="1">
      <alignment horizontal="right" vertical="top" indent="1" shrinkToFit="1"/>
    </xf>
    <xf numFmtId="193" fontId="57" fillId="40" borderId="69" xfId="0" applyNumberFormat="1" applyFont="1" applyFill="1" applyBorder="1" applyAlignment="1">
      <alignment horizontal="center" vertical="top" shrinkToFit="1"/>
    </xf>
    <xf numFmtId="3" fontId="57" fillId="40" borderId="69" xfId="0" applyNumberFormat="1" applyFont="1" applyFill="1" applyBorder="1" applyAlignment="1">
      <alignment horizontal="center" vertical="top" shrinkToFit="1"/>
    </xf>
    <xf numFmtId="1" fontId="57" fillId="40" borderId="69" xfId="0" applyNumberFormat="1" applyFont="1" applyFill="1" applyBorder="1" applyAlignment="1">
      <alignment horizontal="left" vertical="top" indent="2" shrinkToFit="1"/>
    </xf>
    <xf numFmtId="1" fontId="57" fillId="40" borderId="69" xfId="0" applyNumberFormat="1" applyFont="1" applyFill="1" applyBorder="1" applyAlignment="1">
      <alignment horizontal="center" vertical="top" shrinkToFit="1"/>
    </xf>
    <xf numFmtId="193" fontId="57" fillId="40" borderId="69" xfId="0" applyNumberFormat="1" applyFont="1" applyFill="1" applyBorder="1" applyAlignment="1">
      <alignment horizontal="right" vertical="top" indent="2" shrinkToFit="1"/>
    </xf>
    <xf numFmtId="193" fontId="57" fillId="40" borderId="70" xfId="0" applyNumberFormat="1" applyFont="1" applyFill="1" applyBorder="1" applyAlignment="1">
      <alignment horizontal="center" vertical="top" shrinkToFit="1"/>
    </xf>
    <xf numFmtId="0" fontId="56" fillId="34" borderId="61" xfId="0" applyFont="1" applyFill="1" applyBorder="1" applyAlignment="1">
      <alignment horizontal="center" vertical="center" wrapText="1"/>
    </xf>
    <xf numFmtId="0" fontId="56" fillId="34" borderId="61" xfId="0" applyFont="1" applyFill="1" applyBorder="1" applyAlignment="1">
      <alignment horizontal="left" vertical="top" wrapText="1" indent="1"/>
    </xf>
    <xf numFmtId="0" fontId="56" fillId="34" borderId="62" xfId="0" applyFont="1" applyFill="1" applyBorder="1" applyAlignment="1">
      <alignment horizontal="left" vertical="top" wrapText="1" indent="1"/>
    </xf>
    <xf numFmtId="0" fontId="48" fillId="0" borderId="0" xfId="0" applyFont="1" applyAlignment="1">
      <alignment horizontal="center" wrapText="1"/>
    </xf>
    <xf numFmtId="0" fontId="56" fillId="34" borderId="71" xfId="0" applyFont="1" applyFill="1" applyBorder="1" applyAlignment="1">
      <alignment horizontal="center" vertical="center" wrapText="1"/>
    </xf>
    <xf numFmtId="193" fontId="0" fillId="0" borderId="0" xfId="0" applyNumberFormat="1"/>
    <xf numFmtId="165" fontId="48" fillId="0" borderId="0" xfId="0" applyNumberFormat="1" applyFont="1"/>
    <xf numFmtId="0" fontId="1" fillId="0" borderId="0" xfId="0" applyFont="1" applyAlignment="1">
      <alignment horizontal="left" indent="1"/>
    </xf>
    <xf numFmtId="0" fontId="1" fillId="0" borderId="0" xfId="0" applyFont="1" applyFill="1" applyBorder="1" applyAlignment="1">
      <alignment horizontal="left" indent="1"/>
    </xf>
    <xf numFmtId="0" fontId="59" fillId="0" borderId="0" xfId="0" applyFont="1" applyAlignment="1">
      <alignment vertical="center"/>
    </xf>
    <xf numFmtId="0" fontId="58" fillId="0" borderId="0" xfId="0" applyFont="1"/>
    <xf numFmtId="9" fontId="25" fillId="0" borderId="0" xfId="47" applyFont="1"/>
    <xf numFmtId="0" fontId="25" fillId="33" borderId="32" xfId="0" applyFont="1" applyFill="1" applyBorder="1"/>
    <xf numFmtId="0" fontId="25" fillId="33" borderId="40" xfId="0" applyFont="1" applyFill="1" applyBorder="1"/>
    <xf numFmtId="165" fontId="25" fillId="33" borderId="41" xfId="0" applyNumberFormat="1" applyFont="1" applyFill="1" applyBorder="1"/>
    <xf numFmtId="43" fontId="36" fillId="34" borderId="12" xfId="28" applyFont="1" applyFill="1" applyBorder="1"/>
    <xf numFmtId="165" fontId="36" fillId="30" borderId="11" xfId="28" applyNumberFormat="1" applyFont="1" applyFill="1" applyBorder="1"/>
    <xf numFmtId="165" fontId="36" fillId="33" borderId="11" xfId="28" applyNumberFormat="1" applyFont="1" applyFill="1" applyBorder="1"/>
    <xf numFmtId="0" fontId="41" fillId="0" borderId="11" xfId="0" applyFont="1" applyBorder="1" applyAlignment="1">
      <alignment horizontal="center"/>
    </xf>
    <xf numFmtId="0" fontId="0" fillId="0" borderId="0" xfId="0" applyFill="1"/>
    <xf numFmtId="43" fontId="40" fillId="0" borderId="11" xfId="28" applyFont="1" applyFill="1" applyBorder="1"/>
    <xf numFmtId="165" fontId="40" fillId="0" borderId="11" xfId="28" applyNumberFormat="1" applyFont="1" applyFill="1" applyBorder="1"/>
    <xf numFmtId="165" fontId="40" fillId="0" borderId="12" xfId="28" applyNumberFormat="1" applyFont="1" applyFill="1" applyBorder="1"/>
    <xf numFmtId="165" fontId="40" fillId="28" borderId="11" xfId="28" applyNumberFormat="1" applyFont="1" applyFill="1" applyBorder="1"/>
    <xf numFmtId="165" fontId="40" fillId="28" borderId="12" xfId="28" applyNumberFormat="1" applyFont="1" applyFill="1" applyBorder="1"/>
    <xf numFmtId="0" fontId="1" fillId="0" borderId="0" xfId="0" applyFont="1" applyFill="1"/>
    <xf numFmtId="165" fontId="0" fillId="34" borderId="11" xfId="28" applyNumberFormat="1" applyFont="1" applyFill="1" applyBorder="1"/>
    <xf numFmtId="165" fontId="0" fillId="34" borderId="0" xfId="28" applyNumberFormat="1" applyFont="1" applyFill="1" applyBorder="1"/>
    <xf numFmtId="165" fontId="0" fillId="34" borderId="27" xfId="28" applyNumberFormat="1" applyFont="1" applyFill="1" applyBorder="1"/>
    <xf numFmtId="166" fontId="25" fillId="33" borderId="0" xfId="0" applyNumberFormat="1" applyFont="1" applyFill="1"/>
    <xf numFmtId="165" fontId="25" fillId="33" borderId="0" xfId="0" applyNumberFormat="1" applyFont="1" applyFill="1"/>
    <xf numFmtId="0" fontId="39" fillId="0" borderId="0" xfId="0" applyFont="1" applyFill="1" applyBorder="1" applyAlignment="1">
      <alignment horizontal="center"/>
    </xf>
    <xf numFmtId="9" fontId="38" fillId="0" borderId="0" xfId="47" applyFont="1" applyFill="1" applyAlignment="1">
      <alignment horizontal="center"/>
    </xf>
    <xf numFmtId="175" fontId="36" fillId="0" borderId="11" xfId="0" applyNumberFormat="1" applyFont="1" applyFill="1" applyBorder="1"/>
    <xf numFmtId="188" fontId="36" fillId="0" borderId="40" xfId="0" applyNumberFormat="1" applyFont="1" applyBorder="1" applyAlignment="1">
      <alignment horizontal="center"/>
    </xf>
    <xf numFmtId="0" fontId="1" fillId="33" borderId="33" xfId="0" applyFont="1" applyFill="1" applyBorder="1" applyAlignment="1">
      <alignment horizontal="center"/>
    </xf>
    <xf numFmtId="188" fontId="36" fillId="0" borderId="0" xfId="0" applyNumberFormat="1" applyFont="1" applyFill="1" applyBorder="1" applyAlignment="1">
      <alignment horizontal="center"/>
    </xf>
    <xf numFmtId="188" fontId="38" fillId="0" borderId="0" xfId="0" applyNumberFormat="1" applyFont="1" applyFill="1"/>
    <xf numFmtId="10" fontId="38" fillId="0" borderId="0" xfId="47" applyNumberFormat="1" applyFont="1" applyFill="1"/>
    <xf numFmtId="0" fontId="25" fillId="0" borderId="0" xfId="0" applyFont="1" applyFill="1"/>
    <xf numFmtId="0" fontId="35" fillId="0" borderId="0" xfId="0" applyFont="1" applyFill="1"/>
    <xf numFmtId="14" fontId="0" fillId="0" borderId="0" xfId="0" applyNumberFormat="1" applyFill="1"/>
    <xf numFmtId="164" fontId="0" fillId="0" borderId="0" xfId="32" applyNumberFormat="1" applyFont="1" applyFill="1"/>
    <xf numFmtId="164" fontId="0" fillId="0" borderId="0" xfId="0" applyNumberFormat="1" applyFill="1"/>
    <xf numFmtId="0" fontId="0" fillId="0" borderId="10" xfId="0" applyFill="1" applyBorder="1"/>
    <xf numFmtId="164" fontId="0" fillId="0" borderId="10" xfId="32" applyNumberFormat="1" applyFont="1" applyFill="1" applyBorder="1"/>
    <xf numFmtId="164" fontId="38" fillId="0" borderId="0" xfId="0" applyNumberFormat="1" applyFont="1" applyFill="1"/>
    <xf numFmtId="164" fontId="38" fillId="0" borderId="10" xfId="0" applyNumberFormat="1" applyFont="1" applyFill="1" applyBorder="1"/>
    <xf numFmtId="164" fontId="38" fillId="0" borderId="0" xfId="29" applyNumberFormat="1" applyFont="1" applyFill="1"/>
    <xf numFmtId="9" fontId="38" fillId="0" borderId="0" xfId="47" applyFont="1" applyFill="1"/>
    <xf numFmtId="0" fontId="45" fillId="0" borderId="0" xfId="0" applyFont="1" applyFill="1"/>
    <xf numFmtId="192" fontId="38" fillId="0" borderId="0" xfId="47" applyNumberFormat="1" applyFont="1" applyFill="1"/>
    <xf numFmtId="166" fontId="38" fillId="0" borderId="0" xfId="47" applyNumberFormat="1" applyFont="1" applyFill="1"/>
    <xf numFmtId="166" fontId="38" fillId="0" borderId="0" xfId="0" applyNumberFormat="1" applyFont="1" applyFill="1"/>
    <xf numFmtId="0" fontId="35" fillId="0" borderId="0" xfId="0" applyFont="1" applyFill="1" applyBorder="1"/>
    <xf numFmtId="164" fontId="0" fillId="0" borderId="0" xfId="0" applyNumberFormat="1" applyFill="1" applyBorder="1"/>
    <xf numFmtId="164" fontId="0" fillId="0" borderId="0" xfId="32" applyNumberFormat="1" applyFont="1" applyFill="1" applyBorder="1"/>
    <xf numFmtId="0" fontId="0" fillId="0" borderId="0" xfId="0" applyFill="1" applyBorder="1"/>
    <xf numFmtId="164" fontId="38" fillId="0" borderId="0" xfId="0" applyNumberFormat="1" applyFont="1" applyFill="1" applyBorder="1"/>
    <xf numFmtId="164" fontId="38" fillId="0" borderId="0" xfId="29" applyNumberFormat="1" applyFont="1" applyFill="1" applyBorder="1"/>
    <xf numFmtId="9" fontId="36" fillId="0" borderId="0" xfId="0" applyNumberFormat="1" applyFont="1"/>
    <xf numFmtId="165" fontId="50" fillId="0" borderId="0" xfId="0" applyNumberFormat="1" applyFont="1"/>
    <xf numFmtId="0" fontId="39" fillId="0" borderId="0" xfId="0" applyFont="1" applyFill="1" applyBorder="1" applyAlignment="1"/>
    <xf numFmtId="0" fontId="46" fillId="0" borderId="0" xfId="0" applyFont="1" applyFill="1" applyBorder="1" applyAlignment="1">
      <alignment horizontal="center"/>
    </xf>
    <xf numFmtId="37" fontId="36" fillId="0" borderId="0" xfId="29" applyNumberFormat="1" applyFont="1" applyFill="1" applyBorder="1"/>
    <xf numFmtId="165" fontId="39" fillId="0" borderId="0" xfId="0" applyNumberFormat="1" applyFont="1" applyFill="1" applyBorder="1" applyAlignment="1">
      <alignment horizontal="left"/>
    </xf>
    <xf numFmtId="37" fontId="40" fillId="0" borderId="0" xfId="0" applyNumberFormat="1" applyFont="1" applyFill="1" applyBorder="1" applyAlignment="1">
      <alignment horizontal="right"/>
    </xf>
    <xf numFmtId="179" fontId="36" fillId="0" borderId="0" xfId="29" applyNumberFormat="1" applyFont="1" applyFill="1" applyBorder="1"/>
    <xf numFmtId="37" fontId="36" fillId="0" borderId="0" xfId="0" applyNumberFormat="1" applyFont="1" applyFill="1" applyBorder="1"/>
    <xf numFmtId="37" fontId="40" fillId="0" borderId="0" xfId="0" applyNumberFormat="1" applyFont="1" applyFill="1" applyBorder="1"/>
    <xf numFmtId="190" fontId="36" fillId="0" borderId="0" xfId="0" applyNumberFormat="1" applyFont="1" applyFill="1" applyBorder="1"/>
    <xf numFmtId="42" fontId="39" fillId="0" borderId="0" xfId="0" applyNumberFormat="1" applyFont="1" applyFill="1" applyBorder="1"/>
    <xf numFmtId="173" fontId="36" fillId="0" borderId="0" xfId="0" applyNumberFormat="1" applyFont="1" applyFill="1" applyBorder="1" applyAlignment="1">
      <alignment horizontal="left"/>
    </xf>
    <xf numFmtId="171" fontId="39" fillId="0" borderId="0" xfId="29" applyNumberFormat="1" applyFont="1" applyFill="1" applyBorder="1"/>
    <xf numFmtId="9" fontId="36" fillId="0" borderId="0" xfId="47" applyFont="1" applyFill="1" applyBorder="1"/>
    <xf numFmtId="165" fontId="60" fillId="0" borderId="0" xfId="0" applyNumberFormat="1" applyFont="1" applyFill="1" applyBorder="1" applyAlignment="1"/>
    <xf numFmtId="165" fontId="42" fillId="0" borderId="0" xfId="28" applyNumberFormat="1" applyFont="1" applyFill="1" applyBorder="1"/>
    <xf numFmtId="37" fontId="41" fillId="0" borderId="0" xfId="29" applyNumberFormat="1" applyFont="1" applyFill="1" applyBorder="1" applyAlignment="1">
      <alignment horizontal="center"/>
    </xf>
    <xf numFmtId="0" fontId="36" fillId="0" borderId="0" xfId="28" applyNumberFormat="1" applyFont="1" applyFill="1" applyBorder="1" applyAlignment="1">
      <alignment horizontal="left"/>
    </xf>
    <xf numFmtId="0" fontId="36" fillId="0" borderId="0" xfId="0" applyFont="1" applyFill="1" applyBorder="1" applyAlignment="1">
      <alignment horizontal="left"/>
    </xf>
    <xf numFmtId="0" fontId="41" fillId="0" borderId="0" xfId="0" applyFont="1" applyFill="1" applyBorder="1" applyAlignment="1">
      <alignment horizontal="left"/>
    </xf>
    <xf numFmtId="0" fontId="61" fillId="0" borderId="0" xfId="0" applyFont="1" applyFill="1"/>
    <xf numFmtId="0" fontId="44" fillId="0" borderId="11" xfId="0" applyFont="1" applyBorder="1"/>
    <xf numFmtId="165" fontId="44" fillId="0" borderId="0" xfId="28" applyNumberFormat="1" applyFont="1" applyBorder="1"/>
    <xf numFmtId="175" fontId="44" fillId="0" borderId="0" xfId="0" applyNumberFormat="1" applyFont="1" applyBorder="1"/>
    <xf numFmtId="0" fontId="37" fillId="0" borderId="11" xfId="0" applyFont="1" applyBorder="1"/>
    <xf numFmtId="165" fontId="37" fillId="0" borderId="0" xfId="28" applyNumberFormat="1" applyFont="1" applyBorder="1"/>
    <xf numFmtId="175" fontId="37" fillId="0" borderId="0" xfId="0" applyNumberFormat="1" applyFont="1" applyBorder="1"/>
    <xf numFmtId="175" fontId="38" fillId="0" borderId="0" xfId="0" applyNumberFormat="1" applyFont="1" applyBorder="1" applyAlignment="1">
      <alignment horizontal="left" indent="1"/>
    </xf>
    <xf numFmtId="0" fontId="37" fillId="0" borderId="0" xfId="0" applyFont="1" applyBorder="1"/>
    <xf numFmtId="6" fontId="41" fillId="0" borderId="0" xfId="0" applyNumberFormat="1" applyFont="1" applyFill="1" applyBorder="1"/>
    <xf numFmtId="6" fontId="39" fillId="0" borderId="0" xfId="0" applyNumberFormat="1" applyFont="1" applyFill="1" applyBorder="1"/>
    <xf numFmtId="10" fontId="38" fillId="0" borderId="0" xfId="47" applyNumberFormat="1" applyFont="1" applyBorder="1"/>
    <xf numFmtId="166" fontId="38" fillId="0" borderId="27" xfId="47" applyNumberFormat="1" applyFont="1" applyBorder="1"/>
    <xf numFmtId="0" fontId="1" fillId="0" borderId="0" xfId="0" applyFont="1" applyAlignment="1">
      <alignment horizontal="center" wrapText="1"/>
    </xf>
    <xf numFmtId="165" fontId="1" fillId="0" borderId="0" xfId="28" applyNumberFormat="1" applyFont="1" applyAlignment="1">
      <alignment horizontal="center" wrapText="1"/>
    </xf>
    <xf numFmtId="175" fontId="1" fillId="0" borderId="0" xfId="0" applyNumberFormat="1" applyFont="1" applyAlignment="1">
      <alignment wrapText="1"/>
    </xf>
    <xf numFmtId="175" fontId="0" fillId="0" borderId="0" xfId="0" applyNumberFormat="1" applyAlignment="1"/>
    <xf numFmtId="196" fontId="1" fillId="0" borderId="0" xfId="0" applyNumberFormat="1" applyFont="1" applyAlignment="1">
      <alignment horizontal="center" wrapText="1"/>
    </xf>
    <xf numFmtId="194" fontId="0" fillId="0" borderId="0" xfId="0" applyNumberFormat="1"/>
    <xf numFmtId="8" fontId="38" fillId="0" borderId="0" xfId="0" applyNumberFormat="1" applyFont="1"/>
    <xf numFmtId="0" fontId="1" fillId="41" borderId="0" xfId="0" applyFont="1" applyFill="1" applyAlignment="1">
      <alignment horizontal="center"/>
    </xf>
    <xf numFmtId="0" fontId="61" fillId="0" borderId="11" xfId="0" applyFont="1" applyBorder="1"/>
    <xf numFmtId="0" fontId="62" fillId="0" borderId="11" xfId="0" applyFont="1" applyBorder="1"/>
    <xf numFmtId="165" fontId="27" fillId="0" borderId="0" xfId="28" applyNumberFormat="1" applyFont="1"/>
    <xf numFmtId="0" fontId="26" fillId="0" borderId="0" xfId="0" applyFont="1" applyAlignment="1">
      <alignment horizontal="center"/>
    </xf>
    <xf numFmtId="10" fontId="27" fillId="0" borderId="11" xfId="47" applyNumberFormat="1" applyFont="1" applyBorder="1"/>
    <xf numFmtId="10" fontId="27" fillId="0" borderId="27" xfId="47" applyNumberFormat="1" applyFont="1" applyBorder="1"/>
    <xf numFmtId="10" fontId="27" fillId="0" borderId="27" xfId="0" applyNumberFormat="1" applyFont="1" applyBorder="1"/>
    <xf numFmtId="0" fontId="32" fillId="0" borderId="0" xfId="0" applyFont="1" applyFill="1" applyBorder="1" applyAlignment="1">
      <alignment horizontal="center"/>
    </xf>
    <xf numFmtId="0" fontId="30" fillId="0" borderId="0" xfId="0" applyFont="1" applyFill="1" applyBorder="1" applyAlignment="1">
      <alignment horizontal="right"/>
    </xf>
    <xf numFmtId="9" fontId="30" fillId="0" borderId="0" xfId="47" applyFont="1" applyFill="1" applyBorder="1"/>
    <xf numFmtId="175" fontId="32" fillId="0" borderId="0" xfId="0" applyNumberFormat="1" applyFont="1" applyFill="1" applyBorder="1"/>
    <xf numFmtId="175" fontId="27" fillId="0" borderId="0" xfId="0" applyNumberFormat="1" applyFont="1" applyBorder="1" applyAlignment="1">
      <alignment horizontal="center"/>
    </xf>
    <xf numFmtId="165" fontId="36" fillId="0" borderId="0" xfId="0" applyNumberFormat="1" applyFont="1" applyBorder="1"/>
    <xf numFmtId="164" fontId="36" fillId="0" borderId="0" xfId="0" applyNumberFormat="1" applyFont="1" applyBorder="1"/>
    <xf numFmtId="171" fontId="36" fillId="0" borderId="0" xfId="29" applyNumberFormat="1" applyFont="1" applyFill="1" applyBorder="1"/>
    <xf numFmtId="44" fontId="36" fillId="0" borderId="0" xfId="0" applyNumberFormat="1" applyFont="1" applyFill="1" applyBorder="1"/>
    <xf numFmtId="0" fontId="30" fillId="0" borderId="16" xfId="0" applyFont="1" applyBorder="1"/>
    <xf numFmtId="0" fontId="30" fillId="0" borderId="39" xfId="0" applyFont="1" applyBorder="1"/>
    <xf numFmtId="0" fontId="30" fillId="0" borderId="11" xfId="0" applyFont="1" applyBorder="1" applyAlignment="1">
      <alignment horizontal="left" indent="1"/>
    </xf>
    <xf numFmtId="175" fontId="30" fillId="0" borderId="0" xfId="0" applyNumberFormat="1" applyFont="1" applyBorder="1" applyAlignment="1"/>
    <xf numFmtId="0" fontId="30" fillId="0" borderId="0" xfId="0" applyFont="1" applyBorder="1"/>
    <xf numFmtId="0" fontId="30" fillId="0" borderId="27" xfId="0" applyFont="1" applyBorder="1"/>
    <xf numFmtId="0" fontId="33" fillId="0" borderId="11" xfId="0" applyFont="1" applyBorder="1"/>
    <xf numFmtId="175" fontId="33" fillId="0" borderId="0" xfId="0" applyNumberFormat="1" applyFont="1" applyBorder="1"/>
    <xf numFmtId="0" fontId="30" fillId="0" borderId="31" xfId="0" applyFont="1" applyBorder="1"/>
    <xf numFmtId="175" fontId="30" fillId="0" borderId="10" xfId="0" applyNumberFormat="1" applyFont="1" applyBorder="1"/>
    <xf numFmtId="0" fontId="30" fillId="0" borderId="10" xfId="0" applyFont="1" applyBorder="1"/>
    <xf numFmtId="0" fontId="30" fillId="0" borderId="42" xfId="0" applyFont="1" applyBorder="1"/>
    <xf numFmtId="10" fontId="63" fillId="33" borderId="33" xfId="47" applyNumberFormat="1" applyFont="1" applyFill="1" applyBorder="1" applyAlignment="1">
      <alignment horizontal="center" vertical="center"/>
    </xf>
    <xf numFmtId="0" fontId="27" fillId="0" borderId="32" xfId="0" applyFont="1" applyBorder="1" applyAlignment="1">
      <alignment horizontal="center" vertical="center" wrapText="1"/>
    </xf>
    <xf numFmtId="0" fontId="39" fillId="0" borderId="28" xfId="0" applyFont="1" applyFill="1" applyBorder="1" applyAlignment="1">
      <alignment horizontal="center"/>
    </xf>
    <xf numFmtId="0" fontId="41" fillId="0" borderId="29" xfId="0" applyFont="1" applyFill="1" applyBorder="1"/>
    <xf numFmtId="0" fontId="36" fillId="0" borderId="16" xfId="0" applyFont="1" applyBorder="1"/>
    <xf numFmtId="0" fontId="36" fillId="0" borderId="39" xfId="0" applyFont="1" applyBorder="1"/>
    <xf numFmtId="0" fontId="41" fillId="0" borderId="27" xfId="0" applyFont="1" applyFill="1" applyBorder="1" applyAlignment="1">
      <alignment horizontal="center"/>
    </xf>
    <xf numFmtId="175" fontId="39" fillId="0" borderId="27" xfId="0" applyNumberFormat="1" applyFont="1" applyFill="1" applyBorder="1"/>
    <xf numFmtId="0" fontId="36" fillId="0" borderId="11" xfId="0" applyFont="1" applyFill="1" applyBorder="1" applyAlignment="1">
      <alignment horizontal="left" indent="1"/>
    </xf>
    <xf numFmtId="175" fontId="39" fillId="0" borderId="27" xfId="0" applyNumberFormat="1" applyFont="1" applyBorder="1"/>
    <xf numFmtId="0" fontId="40" fillId="0" borderId="11" xfId="0" applyFont="1" applyFill="1" applyBorder="1"/>
    <xf numFmtId="175" fontId="41" fillId="0" borderId="27" xfId="0" applyNumberFormat="1" applyFont="1" applyBorder="1"/>
    <xf numFmtId="0" fontId="39" fillId="0" borderId="11" xfId="0" applyFont="1" applyBorder="1"/>
    <xf numFmtId="0" fontId="40" fillId="0" borderId="11" xfId="0" applyFont="1" applyBorder="1"/>
    <xf numFmtId="175" fontId="40" fillId="0" borderId="0" xfId="0" applyNumberFormat="1" applyFont="1" applyBorder="1"/>
    <xf numFmtId="175" fontId="36" fillId="0" borderId="27" xfId="0" applyNumberFormat="1" applyFont="1" applyBorder="1"/>
    <xf numFmtId="175" fontId="36" fillId="0" borderId="10" xfId="0" applyNumberFormat="1" applyFont="1" applyFill="1" applyBorder="1"/>
    <xf numFmtId="175" fontId="36" fillId="0" borderId="42" xfId="0" applyNumberFormat="1" applyFont="1" applyBorder="1"/>
    <xf numFmtId="0" fontId="44" fillId="0" borderId="0" xfId="0" applyFont="1" applyFill="1" applyBorder="1"/>
    <xf numFmtId="165" fontId="38" fillId="0" borderId="0" xfId="28" applyNumberFormat="1" applyFont="1" applyFill="1" applyBorder="1" applyAlignment="1"/>
    <xf numFmtId="6" fontId="38" fillId="0" borderId="0" xfId="0" applyNumberFormat="1" applyFont="1" applyFill="1" applyBorder="1" applyAlignment="1">
      <alignment horizontal="left"/>
    </xf>
    <xf numFmtId="165" fontId="36" fillId="0" borderId="10" xfId="28" applyNumberFormat="1" applyFont="1" applyBorder="1"/>
    <xf numFmtId="165" fontId="36" fillId="0" borderId="0" xfId="28" applyNumberFormat="1" applyFont="1" applyBorder="1"/>
    <xf numFmtId="165" fontId="36" fillId="0" borderId="27" xfId="28" applyNumberFormat="1" applyFont="1" applyBorder="1"/>
    <xf numFmtId="6" fontId="38" fillId="0" borderId="27" xfId="0" applyNumberFormat="1" applyFont="1" applyBorder="1"/>
    <xf numFmtId="6" fontId="38" fillId="0" borderId="0" xfId="28" applyNumberFormat="1" applyFont="1"/>
    <xf numFmtId="6" fontId="38" fillId="0" borderId="0" xfId="0" applyNumberFormat="1" applyFont="1"/>
    <xf numFmtId="6" fontId="38" fillId="0" borderId="10" xfId="0" applyNumberFormat="1" applyFont="1" applyBorder="1"/>
    <xf numFmtId="6" fontId="37" fillId="0" borderId="0" xfId="0" applyNumberFormat="1" applyFont="1" applyFill="1" applyBorder="1" applyAlignment="1">
      <alignment horizontal="right"/>
    </xf>
    <xf numFmtId="6" fontId="37" fillId="33" borderId="0" xfId="0" applyNumberFormat="1" applyFont="1" applyFill="1"/>
    <xf numFmtId="6" fontId="37" fillId="0" borderId="39" xfId="0" applyNumberFormat="1" applyFont="1" applyBorder="1"/>
    <xf numFmtId="6" fontId="37" fillId="0" borderId="0" xfId="0" applyNumberFormat="1" applyFont="1"/>
    <xf numFmtId="0" fontId="28" fillId="0" borderId="0" xfId="0" applyFont="1" applyAlignment="1">
      <alignment horizontal="center"/>
    </xf>
    <xf numFmtId="166" fontId="36" fillId="0" borderId="0" xfId="47" applyNumberFormat="1" applyFont="1" applyBorder="1"/>
    <xf numFmtId="166" fontId="36" fillId="0" borderId="12" xfId="47" applyNumberFormat="1" applyFont="1" applyFill="1" applyBorder="1"/>
    <xf numFmtId="166" fontId="36" fillId="0" borderId="30" xfId="0" applyNumberFormat="1" applyFont="1" applyFill="1" applyBorder="1"/>
    <xf numFmtId="166" fontId="40" fillId="0" borderId="12" xfId="47" applyNumberFormat="1" applyFont="1" applyFill="1" applyBorder="1"/>
    <xf numFmtId="166" fontId="36" fillId="0" borderId="30" xfId="0" applyNumberFormat="1" applyFont="1" applyBorder="1"/>
    <xf numFmtId="166" fontId="40" fillId="0" borderId="12" xfId="47" applyNumberFormat="1" applyFont="1" applyBorder="1"/>
    <xf numFmtId="0" fontId="36" fillId="0" borderId="0" xfId="0" applyNumberFormat="1" applyFont="1"/>
    <xf numFmtId="165" fontId="36" fillId="33" borderId="33" xfId="28" applyNumberFormat="1" applyFont="1" applyFill="1" applyBorder="1"/>
    <xf numFmtId="165" fontId="36" fillId="30" borderId="33" xfId="28" applyNumberFormat="1" applyFont="1" applyFill="1" applyBorder="1"/>
    <xf numFmtId="6" fontId="39" fillId="0" borderId="10" xfId="0" applyNumberFormat="1" applyFont="1" applyFill="1" applyBorder="1"/>
    <xf numFmtId="6" fontId="39" fillId="0" borderId="16" xfId="0" applyNumberFormat="1" applyFont="1" applyFill="1" applyBorder="1"/>
    <xf numFmtId="0" fontId="28" fillId="0" borderId="0" xfId="0" applyNumberFormat="1" applyFont="1" applyBorder="1" applyAlignment="1">
      <alignment horizontal="center"/>
    </xf>
    <xf numFmtId="0" fontId="28" fillId="0" borderId="31" xfId="47" applyNumberFormat="1" applyFont="1" applyBorder="1"/>
    <xf numFmtId="0" fontId="28" fillId="0" borderId="72" xfId="0" quotePrefix="1" applyFont="1" applyBorder="1" applyAlignment="1">
      <alignment horizontal="center"/>
    </xf>
    <xf numFmtId="0" fontId="28" fillId="0" borderId="73" xfId="0" quotePrefix="1" applyFont="1" applyBorder="1" applyAlignment="1">
      <alignment horizontal="center"/>
    </xf>
    <xf numFmtId="175" fontId="27" fillId="0" borderId="50" xfId="0" applyNumberFormat="1" applyFont="1" applyBorder="1"/>
    <xf numFmtId="175" fontId="27" fillId="0" borderId="74" xfId="0" applyNumberFormat="1" applyFont="1" applyBorder="1"/>
    <xf numFmtId="175" fontId="27" fillId="0" borderId="22" xfId="0" applyNumberFormat="1" applyFont="1" applyBorder="1"/>
    <xf numFmtId="175" fontId="27" fillId="0" borderId="23" xfId="0" applyNumberFormat="1" applyFont="1" applyBorder="1"/>
    <xf numFmtId="175" fontId="27" fillId="0" borderId="72" xfId="0" applyNumberFormat="1" applyFont="1" applyBorder="1"/>
    <xf numFmtId="175" fontId="27" fillId="0" borderId="73" xfId="0" applyNumberFormat="1" applyFont="1" applyBorder="1"/>
    <xf numFmtId="175" fontId="28" fillId="0" borderId="72" xfId="0" applyNumberFormat="1" applyFont="1" applyBorder="1"/>
    <xf numFmtId="175" fontId="28" fillId="0" borderId="73" xfId="0" applyNumberFormat="1" applyFont="1" applyBorder="1"/>
    <xf numFmtId="175" fontId="28" fillId="0" borderId="24" xfId="0" applyNumberFormat="1" applyFont="1" applyBorder="1" applyAlignment="1"/>
    <xf numFmtId="175" fontId="28" fillId="0" borderId="25" xfId="30" applyNumberFormat="1" applyFont="1" applyBorder="1" applyAlignment="1"/>
    <xf numFmtId="0" fontId="28" fillId="0" borderId="75" xfId="0" applyFont="1" applyBorder="1" applyAlignment="1">
      <alignment horizontal="center"/>
    </xf>
    <xf numFmtId="0" fontId="28" fillId="0" borderId="76" xfId="0" quotePrefix="1" applyFont="1" applyBorder="1" applyAlignment="1">
      <alignment horizontal="center"/>
    </xf>
    <xf numFmtId="175" fontId="27" fillId="0" borderId="77" xfId="0" applyNumberFormat="1" applyFont="1" applyBorder="1"/>
    <xf numFmtId="175" fontId="27" fillId="0" borderId="78" xfId="0" applyNumberFormat="1" applyFont="1" applyBorder="1"/>
    <xf numFmtId="175" fontId="27" fillId="0" borderId="76" xfId="0" applyNumberFormat="1" applyFont="1" applyBorder="1"/>
    <xf numFmtId="175" fontId="28" fillId="0" borderId="76" xfId="0" applyNumberFormat="1" applyFont="1" applyBorder="1"/>
    <xf numFmtId="175" fontId="28" fillId="0" borderId="79" xfId="0" applyNumberFormat="1" applyFont="1" applyBorder="1" applyAlignment="1"/>
    <xf numFmtId="0" fontId="28" fillId="0" borderId="76" xfId="0" applyNumberFormat="1" applyFont="1" applyBorder="1" applyAlignment="1">
      <alignment horizontal="center"/>
    </xf>
    <xf numFmtId="175" fontId="28" fillId="0" borderId="25" xfId="0" applyNumberFormat="1" applyFont="1" applyBorder="1" applyAlignment="1"/>
    <xf numFmtId="0" fontId="28" fillId="0" borderId="29" xfId="0" applyFont="1" applyBorder="1" applyAlignment="1">
      <alignment horizontal="right" wrapText="1"/>
    </xf>
    <xf numFmtId="175" fontId="28" fillId="0" borderId="0" xfId="0" applyNumberFormat="1" applyFont="1"/>
    <xf numFmtId="175" fontId="26" fillId="0" borderId="0" xfId="0" applyNumberFormat="1" applyFont="1"/>
    <xf numFmtId="0" fontId="32" fillId="0" borderId="11" xfId="0" applyFont="1" applyBorder="1" applyAlignment="1">
      <alignment horizontal="left" indent="1"/>
    </xf>
    <xf numFmtId="175" fontId="32" fillId="0" borderId="0" xfId="0" applyNumberFormat="1" applyFont="1" applyBorder="1" applyAlignment="1"/>
    <xf numFmtId="0" fontId="39" fillId="0" borderId="0" xfId="0" applyFont="1" applyFill="1" applyBorder="1" applyAlignment="1">
      <alignment horizontal="center"/>
    </xf>
    <xf numFmtId="165" fontId="38" fillId="0" borderId="0" xfId="28" applyNumberFormat="1" applyFont="1" applyFill="1" applyBorder="1" applyAlignment="1">
      <alignment horizontal="right"/>
    </xf>
    <xf numFmtId="165" fontId="38" fillId="0" borderId="10" xfId="28" applyNumberFormat="1" applyFont="1" applyFill="1" applyBorder="1" applyAlignment="1">
      <alignment horizontal="right"/>
    </xf>
    <xf numFmtId="175" fontId="38" fillId="0" borderId="10" xfId="0" applyNumberFormat="1" applyFont="1" applyFill="1" applyBorder="1" applyAlignment="1">
      <alignment horizontal="right"/>
    </xf>
    <xf numFmtId="6" fontId="38" fillId="0" borderId="42" xfId="0" applyNumberFormat="1" applyFont="1" applyFill="1" applyBorder="1" applyAlignment="1">
      <alignment horizontal="right"/>
    </xf>
    <xf numFmtId="6" fontId="38" fillId="0" borderId="31" xfId="0" applyNumberFormat="1" applyFont="1" applyFill="1" applyBorder="1" applyAlignment="1">
      <alignment horizontal="right"/>
    </xf>
    <xf numFmtId="0" fontId="36" fillId="0" borderId="0" xfId="0" applyFont="1" applyBorder="1" applyAlignment="1">
      <alignment horizontal="right"/>
    </xf>
    <xf numFmtId="5" fontId="36" fillId="0" borderId="0" xfId="0" applyNumberFormat="1" applyFont="1" applyBorder="1"/>
    <xf numFmtId="0" fontId="36" fillId="0" borderId="29" xfId="0" applyFont="1" applyFill="1" applyBorder="1"/>
    <xf numFmtId="0" fontId="39" fillId="0" borderId="16" xfId="0" applyFont="1" applyFill="1" applyBorder="1" applyAlignment="1"/>
    <xf numFmtId="0" fontId="46" fillId="0" borderId="39" xfId="0" applyFont="1" applyFill="1" applyBorder="1" applyAlignment="1">
      <alignment horizontal="center"/>
    </xf>
    <xf numFmtId="0" fontId="39" fillId="0" borderId="10" xfId="0" applyFont="1" applyFill="1" applyBorder="1" applyAlignment="1"/>
    <xf numFmtId="0" fontId="46" fillId="0" borderId="42" xfId="0" applyFont="1" applyFill="1" applyBorder="1" applyAlignment="1">
      <alignment horizontal="center"/>
    </xf>
    <xf numFmtId="0" fontId="39" fillId="0" borderId="27" xfId="0" applyFont="1" applyFill="1" applyBorder="1" applyAlignment="1">
      <alignment horizontal="center"/>
    </xf>
    <xf numFmtId="0" fontId="36" fillId="0" borderId="27" xfId="0" applyFont="1" applyFill="1" applyBorder="1"/>
    <xf numFmtId="37" fontId="36" fillId="0" borderId="27" xfId="29" applyNumberFormat="1" applyFont="1" applyFill="1" applyBorder="1"/>
    <xf numFmtId="193" fontId="36" fillId="0" borderId="0" xfId="0" applyNumberFormat="1" applyFont="1" applyFill="1" applyBorder="1" applyAlignment="1">
      <alignment horizontal="center"/>
    </xf>
    <xf numFmtId="165" fontId="36" fillId="0" borderId="27" xfId="28" applyNumberFormat="1" applyFont="1" applyFill="1" applyBorder="1"/>
    <xf numFmtId="166" fontId="40" fillId="0" borderId="11" xfId="47" applyNumberFormat="1" applyFont="1" applyFill="1" applyBorder="1"/>
    <xf numFmtId="1" fontId="40" fillId="0" borderId="0" xfId="28" applyNumberFormat="1" applyFont="1" applyFill="1" applyBorder="1" applyAlignment="1">
      <alignment horizontal="center"/>
    </xf>
    <xf numFmtId="165" fontId="42" fillId="0" borderId="27" xfId="28" applyNumberFormat="1" applyFont="1" applyFill="1" applyBorder="1"/>
    <xf numFmtId="1" fontId="36" fillId="0" borderId="0" xfId="0" applyNumberFormat="1" applyFont="1" applyFill="1" applyBorder="1" applyAlignment="1">
      <alignment horizontal="center"/>
    </xf>
    <xf numFmtId="37" fontId="39" fillId="0" borderId="27" xfId="0" applyNumberFormat="1" applyFont="1" applyFill="1" applyBorder="1"/>
    <xf numFmtId="166" fontId="36" fillId="0" borderId="11" xfId="0" applyNumberFormat="1" applyFont="1" applyFill="1" applyBorder="1"/>
    <xf numFmtId="166" fontId="41" fillId="0" borderId="29" xfId="0" applyNumberFormat="1" applyFont="1" applyFill="1" applyBorder="1" applyAlignment="1">
      <alignment horizontal="center"/>
    </xf>
    <xf numFmtId="1" fontId="41" fillId="0" borderId="16" xfId="0" applyNumberFormat="1" applyFont="1" applyFill="1" applyBorder="1" applyAlignment="1">
      <alignment horizontal="center"/>
    </xf>
    <xf numFmtId="0" fontId="41" fillId="0" borderId="39" xfId="0" applyFont="1" applyFill="1" applyBorder="1" applyAlignment="1">
      <alignment horizontal="center"/>
    </xf>
    <xf numFmtId="0" fontId="36" fillId="0" borderId="11" xfId="0" applyNumberFormat="1" applyFont="1" applyFill="1" applyBorder="1"/>
    <xf numFmtId="165" fontId="36" fillId="0" borderId="0" xfId="28" applyNumberFormat="1" applyFont="1" applyFill="1" applyBorder="1" applyAlignment="1">
      <alignment horizontal="center"/>
    </xf>
    <xf numFmtId="0" fontId="36" fillId="0" borderId="31" xfId="0" applyNumberFormat="1" applyFont="1" applyFill="1" applyBorder="1"/>
    <xf numFmtId="165" fontId="36" fillId="0" borderId="10" xfId="28" applyNumberFormat="1" applyFont="1" applyFill="1" applyBorder="1" applyAlignment="1">
      <alignment horizontal="center"/>
    </xf>
    <xf numFmtId="166" fontId="36" fillId="0" borderId="42" xfId="47" applyNumberFormat="1" applyFont="1" applyFill="1" applyBorder="1"/>
    <xf numFmtId="3" fontId="40" fillId="0" borderId="27" xfId="0" applyNumberFormat="1" applyFont="1" applyFill="1" applyBorder="1"/>
    <xf numFmtId="37" fontId="40" fillId="0" borderId="27" xfId="29" applyNumberFormat="1" applyFont="1" applyFill="1" applyBorder="1"/>
    <xf numFmtId="2" fontId="36" fillId="0" borderId="0" xfId="0" applyNumberFormat="1" applyFont="1" applyFill="1" applyBorder="1"/>
    <xf numFmtId="37" fontId="36" fillId="0" borderId="27" xfId="0" applyNumberFormat="1" applyFont="1" applyFill="1" applyBorder="1"/>
    <xf numFmtId="0" fontId="39" fillId="0" borderId="27" xfId="0" applyFont="1" applyFill="1" applyBorder="1"/>
    <xf numFmtId="0" fontId="39" fillId="0" borderId="31" xfId="0" applyFont="1" applyFill="1" applyBorder="1"/>
    <xf numFmtId="2" fontId="36" fillId="0" borderId="10" xfId="0" applyNumberFormat="1" applyFont="1" applyFill="1" applyBorder="1"/>
    <xf numFmtId="165" fontId="36" fillId="0" borderId="42" xfId="0" applyNumberFormat="1" applyFont="1" applyFill="1" applyBorder="1"/>
    <xf numFmtId="0" fontId="30" fillId="30" borderId="33" xfId="0" applyFont="1" applyFill="1" applyBorder="1" applyAlignment="1">
      <alignment horizontal="center"/>
    </xf>
    <xf numFmtId="0" fontId="30" fillId="0" borderId="0" xfId="0" applyFont="1" applyAlignment="1">
      <alignment horizontal="right"/>
    </xf>
    <xf numFmtId="0" fontId="25" fillId="0" borderId="32" xfId="0" applyFont="1" applyBorder="1" applyAlignment="1">
      <alignment horizontal="center"/>
    </xf>
    <xf numFmtId="0" fontId="25" fillId="0" borderId="40" xfId="0" applyFont="1" applyBorder="1" applyAlignment="1">
      <alignment horizontal="center"/>
    </xf>
    <xf numFmtId="0" fontId="25" fillId="0" borderId="41" xfId="0" applyFont="1" applyBorder="1" applyAlignment="1">
      <alignment horizontal="center"/>
    </xf>
    <xf numFmtId="175" fontId="25" fillId="0" borderId="32" xfId="0" applyNumberFormat="1" applyFont="1" applyBorder="1" applyAlignment="1">
      <alignment horizontal="center"/>
    </xf>
    <xf numFmtId="175" fontId="25" fillId="0" borderId="41" xfId="0" applyNumberFormat="1" applyFont="1" applyBorder="1" applyAlignment="1">
      <alignment horizontal="center"/>
    </xf>
    <xf numFmtId="0" fontId="25" fillId="0" borderId="10" xfId="0" applyFont="1" applyBorder="1" applyAlignment="1">
      <alignment horizontal="center" wrapText="1"/>
    </xf>
    <xf numFmtId="0" fontId="25" fillId="0" borderId="10" xfId="0" applyFont="1" applyBorder="1" applyAlignment="1">
      <alignment horizontal="center"/>
    </xf>
    <xf numFmtId="0" fontId="56" fillId="40" borderId="68" xfId="0" applyFont="1" applyFill="1" applyBorder="1" applyAlignment="1">
      <alignment horizontal="left" vertical="top" wrapText="1" indent="5"/>
    </xf>
    <xf numFmtId="0" fontId="56" fillId="40" borderId="63" xfId="0" applyFont="1" applyFill="1" applyBorder="1" applyAlignment="1">
      <alignment horizontal="left" vertical="top" wrapText="1" indent="5"/>
    </xf>
    <xf numFmtId="0" fontId="58" fillId="0" borderId="0" xfId="0" applyFont="1" applyAlignment="1">
      <alignment horizontal="center" wrapText="1"/>
    </xf>
    <xf numFmtId="0" fontId="56" fillId="34" borderId="56" xfId="0" applyFont="1" applyFill="1" applyBorder="1" applyAlignment="1">
      <alignment horizontal="left" vertical="top" wrapText="1" indent="3"/>
    </xf>
    <xf numFmtId="0" fontId="56" fillId="34" borderId="58" xfId="0" applyFont="1" applyFill="1" applyBorder="1" applyAlignment="1">
      <alignment horizontal="left" vertical="top" wrapText="1" indent="3"/>
    </xf>
    <xf numFmtId="0" fontId="54" fillId="38" borderId="63" xfId="0" applyFont="1" applyFill="1" applyBorder="1" applyAlignment="1">
      <alignment horizontal="left" vertical="center" wrapText="1"/>
    </xf>
    <xf numFmtId="0" fontId="54" fillId="38" borderId="59" xfId="0" applyFont="1" applyFill="1" applyBorder="1" applyAlignment="1">
      <alignment horizontal="left" vertical="center" wrapText="1"/>
    </xf>
    <xf numFmtId="0" fontId="54" fillId="37" borderId="63" xfId="0" applyFont="1" applyFill="1" applyBorder="1" applyAlignment="1">
      <alignment horizontal="left" vertical="center" wrapText="1"/>
    </xf>
    <xf numFmtId="0" fontId="54" fillId="37" borderId="59" xfId="0" applyFont="1" applyFill="1" applyBorder="1" applyAlignment="1">
      <alignment horizontal="left" vertical="center" wrapText="1"/>
    </xf>
    <xf numFmtId="0" fontId="54" fillId="39" borderId="66" xfId="0" applyFont="1" applyFill="1" applyBorder="1" applyAlignment="1">
      <alignment vertical="top"/>
    </xf>
    <xf numFmtId="0" fontId="54" fillId="39" borderId="67" xfId="0" applyFont="1" applyFill="1" applyBorder="1" applyAlignment="1">
      <alignment vertical="top"/>
    </xf>
    <xf numFmtId="0" fontId="56" fillId="34" borderId="54" xfId="0" applyFont="1" applyFill="1" applyBorder="1" applyAlignment="1">
      <alignment horizontal="center" wrapText="1"/>
    </xf>
    <xf numFmtId="0" fontId="56" fillId="34" borderId="59" xfId="0" applyFont="1" applyFill="1" applyBorder="1" applyAlignment="1">
      <alignment horizontal="center" wrapText="1"/>
    </xf>
    <xf numFmtId="0" fontId="56" fillId="34" borderId="55" xfId="0" applyFont="1" applyFill="1" applyBorder="1" applyAlignment="1">
      <alignment horizontal="left" wrapText="1" indent="2"/>
    </xf>
    <xf numFmtId="0" fontId="56" fillId="34" borderId="60" xfId="0" applyFont="1" applyFill="1" applyBorder="1" applyAlignment="1">
      <alignment horizontal="left" wrapText="1" indent="2"/>
    </xf>
    <xf numFmtId="0" fontId="56" fillId="34" borderId="56" xfId="0" applyFont="1" applyFill="1" applyBorder="1" applyAlignment="1">
      <alignment horizontal="left" vertical="top" wrapText="1" indent="2"/>
    </xf>
    <xf numFmtId="0" fontId="56" fillId="34" borderId="57" xfId="0" applyFont="1" applyFill="1" applyBorder="1" applyAlignment="1">
      <alignment horizontal="left" vertical="top" wrapText="1" indent="2"/>
    </xf>
    <xf numFmtId="0" fontId="36" fillId="0" borderId="36" xfId="0" applyFont="1" applyBorder="1" applyAlignment="1">
      <alignment horizontal="center"/>
    </xf>
    <xf numFmtId="0" fontId="36" fillId="0" borderId="43" xfId="0" applyFont="1" applyBorder="1" applyAlignment="1">
      <alignment horizontal="center"/>
    </xf>
    <xf numFmtId="0" fontId="36" fillId="0" borderId="44" xfId="0" applyFont="1" applyBorder="1" applyAlignment="1">
      <alignment horizontal="center"/>
    </xf>
    <xf numFmtId="0" fontId="36" fillId="0" borderId="31" xfId="0" applyFont="1" applyBorder="1" applyAlignment="1">
      <alignment horizontal="center"/>
    </xf>
    <xf numFmtId="0" fontId="36" fillId="0" borderId="10" xfId="0" applyFont="1" applyBorder="1" applyAlignment="1">
      <alignment horizontal="center"/>
    </xf>
    <xf numFmtId="0" fontId="36" fillId="0" borderId="32" xfId="0" applyFont="1" applyBorder="1" applyAlignment="1">
      <alignment horizontal="center"/>
    </xf>
    <xf numFmtId="0" fontId="36" fillId="0" borderId="40" xfId="0" applyFont="1" applyBorder="1" applyAlignment="1">
      <alignment horizontal="center"/>
    </xf>
    <xf numFmtId="0" fontId="36" fillId="0" borderId="41" xfId="0" applyFont="1" applyBorder="1" applyAlignment="1">
      <alignment horizontal="center"/>
    </xf>
    <xf numFmtId="0" fontId="40" fillId="0" borderId="11" xfId="0" applyFont="1" applyBorder="1" applyAlignment="1">
      <alignment horizontal="center"/>
    </xf>
    <xf numFmtId="0" fontId="40" fillId="0" borderId="27" xfId="0" applyFont="1" applyBorder="1" applyAlignment="1">
      <alignment horizontal="center"/>
    </xf>
    <xf numFmtId="0" fontId="40" fillId="0" borderId="32" xfId="0" applyFont="1" applyBorder="1" applyAlignment="1">
      <alignment horizontal="center"/>
    </xf>
    <xf numFmtId="0" fontId="40" fillId="0" borderId="40" xfId="0" applyFont="1" applyBorder="1" applyAlignment="1">
      <alignment horizontal="center"/>
    </xf>
    <xf numFmtId="0" fontId="40" fillId="0" borderId="41" xfId="0" applyFont="1" applyBorder="1" applyAlignment="1">
      <alignment horizontal="center"/>
    </xf>
    <xf numFmtId="0" fontId="39" fillId="0" borderId="45" xfId="0" applyFont="1" applyBorder="1" applyAlignment="1"/>
    <xf numFmtId="0" fontId="39" fillId="0" borderId="46" xfId="0" applyFont="1" applyBorder="1" applyAlignment="1"/>
    <xf numFmtId="0" fontId="39" fillId="0" borderId="47" xfId="0" applyFont="1" applyBorder="1" applyAlignment="1"/>
    <xf numFmtId="0" fontId="36" fillId="0" borderId="36" xfId="0" applyFont="1" applyFill="1" applyBorder="1" applyAlignment="1">
      <alignment horizontal="center"/>
    </xf>
    <xf numFmtId="0" fontId="36" fillId="0" borderId="43" xfId="0" applyFont="1" applyFill="1" applyBorder="1" applyAlignment="1">
      <alignment horizontal="center"/>
    </xf>
    <xf numFmtId="0" fontId="36" fillId="0" borderId="44" xfId="0" applyFont="1" applyFill="1" applyBorder="1" applyAlignment="1">
      <alignment horizontal="center"/>
    </xf>
    <xf numFmtId="0" fontId="36" fillId="0" borderId="32" xfId="0" applyFont="1" applyFill="1" applyBorder="1" applyAlignment="1">
      <alignment horizontal="center"/>
    </xf>
    <xf numFmtId="0" fontId="36" fillId="0" borderId="40" xfId="0" applyFont="1" applyFill="1" applyBorder="1" applyAlignment="1">
      <alignment horizontal="center"/>
    </xf>
    <xf numFmtId="0" fontId="36" fillId="0" borderId="16" xfId="0" applyFont="1" applyFill="1" applyBorder="1" applyAlignment="1">
      <alignment horizontal="center"/>
    </xf>
    <xf numFmtId="0" fontId="36" fillId="0" borderId="41" xfId="0" applyFont="1" applyFill="1" applyBorder="1" applyAlignment="1">
      <alignment horizontal="center"/>
    </xf>
    <xf numFmtId="0" fontId="40" fillId="0" borderId="32" xfId="0" applyFont="1" applyFill="1" applyBorder="1" applyAlignment="1">
      <alignment horizontal="center"/>
    </xf>
    <xf numFmtId="0" fontId="40" fillId="0" borderId="40" xfId="0" applyFont="1" applyFill="1" applyBorder="1" applyAlignment="1">
      <alignment horizontal="center"/>
    </xf>
    <xf numFmtId="0" fontId="40" fillId="0" borderId="41" xfId="0" applyFont="1" applyFill="1" applyBorder="1" applyAlignment="1">
      <alignment horizontal="center"/>
    </xf>
    <xf numFmtId="0" fontId="37" fillId="0" borderId="11" xfId="0" applyFont="1" applyBorder="1" applyAlignment="1">
      <alignment horizontal="center" wrapText="1"/>
    </xf>
    <xf numFmtId="0" fontId="37" fillId="0" borderId="0" xfId="0" applyFont="1" applyAlignment="1">
      <alignment horizontal="center" wrapText="1"/>
    </xf>
    <xf numFmtId="0" fontId="39" fillId="27" borderId="32" xfId="0" applyFont="1" applyFill="1" applyBorder="1" applyAlignment="1">
      <alignment horizontal="center"/>
    </xf>
    <xf numFmtId="0" fontId="39" fillId="27" borderId="40" xfId="0" applyFont="1" applyFill="1" applyBorder="1" applyAlignment="1">
      <alignment horizontal="center"/>
    </xf>
    <xf numFmtId="0" fontId="39" fillId="27" borderId="41" xfId="0" applyFont="1" applyFill="1" applyBorder="1" applyAlignment="1">
      <alignment horizontal="center"/>
    </xf>
    <xf numFmtId="0" fontId="41" fillId="0" borderId="29" xfId="0" applyFont="1" applyBorder="1" applyAlignment="1">
      <alignment horizontal="center"/>
    </xf>
    <xf numFmtId="0" fontId="41" fillId="0" borderId="39" xfId="0" applyFont="1" applyBorder="1" applyAlignment="1">
      <alignment horizontal="center"/>
    </xf>
    <xf numFmtId="0" fontId="37" fillId="0" borderId="29" xfId="0" applyFont="1" applyFill="1" applyBorder="1" applyAlignment="1">
      <alignment horizontal="center"/>
    </xf>
    <xf numFmtId="0" fontId="37" fillId="0" borderId="39" xfId="0" applyFont="1" applyFill="1" applyBorder="1" applyAlignment="1">
      <alignment horizontal="center"/>
    </xf>
    <xf numFmtId="0" fontId="39" fillId="0" borderId="32" xfId="0" applyFont="1" applyFill="1" applyBorder="1" applyAlignment="1">
      <alignment horizontal="center"/>
    </xf>
    <xf numFmtId="0" fontId="39" fillId="0" borderId="40" xfId="0" applyFont="1" applyFill="1" applyBorder="1" applyAlignment="1">
      <alignment horizontal="center"/>
    </xf>
    <xf numFmtId="0" fontId="39" fillId="0" borderId="41" xfId="0" applyFont="1" applyFill="1" applyBorder="1" applyAlignment="1">
      <alignment horizontal="center"/>
    </xf>
    <xf numFmtId="188" fontId="39" fillId="0" borderId="32" xfId="0" applyNumberFormat="1" applyFont="1" applyBorder="1" applyAlignment="1">
      <alignment horizontal="center"/>
    </xf>
    <xf numFmtId="188" fontId="39" fillId="0" borderId="40" xfId="0" applyNumberFormat="1" applyFont="1" applyBorder="1" applyAlignment="1">
      <alignment horizontal="center"/>
    </xf>
    <xf numFmtId="188" fontId="39" fillId="0" borderId="41" xfId="0" applyNumberFormat="1" applyFont="1" applyBorder="1" applyAlignment="1">
      <alignment horizontal="center"/>
    </xf>
    <xf numFmtId="0" fontId="25" fillId="0" borderId="43" xfId="0" applyFont="1" applyBorder="1" applyAlignment="1">
      <alignment horizontal="center"/>
    </xf>
    <xf numFmtId="0" fontId="25" fillId="0" borderId="49" xfId="0" applyFont="1" applyBorder="1" applyAlignment="1">
      <alignment horizontal="center"/>
    </xf>
    <xf numFmtId="0" fontId="25" fillId="0" borderId="48" xfId="0" applyFont="1" applyBorder="1" applyAlignment="1">
      <alignment horizontal="center"/>
    </xf>
    <xf numFmtId="0" fontId="39" fillId="0" borderId="0" xfId="0" applyFont="1" applyFill="1" applyBorder="1" applyAlignment="1">
      <alignment horizontal="center"/>
    </xf>
    <xf numFmtId="0" fontId="39" fillId="0" borderId="0" xfId="0" applyFont="1" applyBorder="1" applyAlignment="1">
      <alignment horizontal="center"/>
    </xf>
    <xf numFmtId="0" fontId="39" fillId="0" borderId="10" xfId="0" applyFont="1" applyBorder="1" applyAlignment="1">
      <alignment horizontal="center"/>
    </xf>
    <xf numFmtId="0" fontId="39" fillId="0" borderId="0" xfId="0" applyFont="1" applyAlignment="1">
      <alignment horizontal="center"/>
    </xf>
    <xf numFmtId="0" fontId="39" fillId="0" borderId="13" xfId="0" applyFont="1" applyBorder="1" applyAlignment="1">
      <alignment horizontal="center"/>
    </xf>
    <xf numFmtId="0" fontId="28" fillId="0" borderId="0" xfId="0" applyFont="1" applyBorder="1" applyAlignment="1">
      <alignment horizontal="center"/>
    </xf>
    <xf numFmtId="0" fontId="26" fillId="0" borderId="29" xfId="0" applyFont="1" applyBorder="1" applyAlignment="1">
      <alignment horizontal="center" wrapText="1"/>
    </xf>
    <xf numFmtId="0" fontId="26" fillId="0" borderId="39" xfId="0" applyFont="1" applyBorder="1" applyAlignment="1">
      <alignment horizontal="center" wrapText="1"/>
    </xf>
    <xf numFmtId="0" fontId="26" fillId="0" borderId="11" xfId="0" applyFont="1" applyBorder="1" applyAlignment="1">
      <alignment horizontal="center" wrapText="1"/>
    </xf>
    <xf numFmtId="0" fontId="26" fillId="0" borderId="27" xfId="0" applyFont="1" applyBorder="1" applyAlignment="1">
      <alignment horizontal="center" wrapText="1"/>
    </xf>
    <xf numFmtId="0" fontId="28" fillId="0" borderId="31" xfId="0" applyFont="1" applyBorder="1" applyAlignment="1">
      <alignment horizontal="center"/>
    </xf>
    <xf numFmtId="0" fontId="28" fillId="0" borderId="42" xfId="0" applyFont="1" applyBorder="1" applyAlignment="1">
      <alignment horizontal="center"/>
    </xf>
    <xf numFmtId="0" fontId="28" fillId="0" borderId="80" xfId="0" applyFont="1" applyBorder="1" applyAlignment="1">
      <alignment horizontal="center"/>
    </xf>
    <xf numFmtId="0" fontId="28" fillId="0" borderId="46" xfId="0" applyFont="1" applyBorder="1" applyAlignment="1">
      <alignment horizontal="center"/>
    </xf>
    <xf numFmtId="0" fontId="28" fillId="0" borderId="47" xfId="0" applyFont="1" applyBorder="1" applyAlignment="1">
      <alignment horizontal="center"/>
    </xf>
    <xf numFmtId="0" fontId="28" fillId="0" borderId="19" xfId="0" applyFont="1" applyBorder="1" applyAlignment="1">
      <alignment horizontal="center"/>
    </xf>
    <xf numFmtId="0" fontId="28" fillId="0" borderId="21" xfId="0" applyFont="1" applyBorder="1" applyAlignment="1">
      <alignment horizontal="center"/>
    </xf>
    <xf numFmtId="0" fontId="28" fillId="0" borderId="29" xfId="0" applyFont="1" applyBorder="1" applyAlignment="1">
      <alignment horizontal="center"/>
    </xf>
    <xf numFmtId="0" fontId="28" fillId="0" borderId="39" xfId="0" applyFont="1" applyBorder="1" applyAlignment="1">
      <alignment horizontal="center"/>
    </xf>
    <xf numFmtId="0" fontId="28" fillId="0" borderId="29" xfId="0" applyFont="1" applyFill="1" applyBorder="1" applyAlignment="1">
      <alignment horizontal="center"/>
    </xf>
    <xf numFmtId="0" fontId="28" fillId="0" borderId="39" xfId="0" applyFont="1" applyFill="1" applyBorder="1" applyAlignment="1">
      <alignment horizontal="center"/>
    </xf>
    <xf numFmtId="176" fontId="28" fillId="0" borderId="11" xfId="0" applyNumberFormat="1" applyFont="1" applyFill="1" applyBorder="1" applyAlignment="1">
      <alignment horizontal="center"/>
    </xf>
    <xf numFmtId="176" fontId="28" fillId="0" borderId="27" xfId="0" applyNumberFormat="1" applyFont="1" applyFill="1" applyBorder="1" applyAlignment="1">
      <alignment horizontal="center"/>
    </xf>
    <xf numFmtId="0" fontId="26" fillId="0" borderId="29" xfId="0" applyFont="1" applyBorder="1" applyAlignment="1">
      <alignment horizontal="center"/>
    </xf>
    <xf numFmtId="0" fontId="26" fillId="0" borderId="39" xfId="0" applyFont="1" applyBorder="1" applyAlignment="1">
      <alignment horizontal="center"/>
    </xf>
  </cellXfs>
  <cellStyles count="5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urrency" xfId="29" builtinId="4"/>
    <cellStyle name="Currency 2" xfId="30" xr:uid="{00000000-0005-0000-0000-00001D000000}"/>
    <cellStyle name="Currency 3" xfId="31" xr:uid="{00000000-0005-0000-0000-00001E000000}"/>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8000000}"/>
    <cellStyle name="Linked Cell 2" xfId="41" xr:uid="{00000000-0005-0000-0000-000029000000}"/>
    <cellStyle name="Neutral 2" xfId="42" xr:uid="{00000000-0005-0000-0000-00002A000000}"/>
    <cellStyle name="Normal" xfId="0" builtinId="0"/>
    <cellStyle name="Normal 2" xfId="43" xr:uid="{00000000-0005-0000-0000-00002C000000}"/>
    <cellStyle name="Normal 3" xfId="44" xr:uid="{00000000-0005-0000-0000-00002D000000}"/>
    <cellStyle name="Note 2" xfId="45" xr:uid="{00000000-0005-0000-0000-00002E000000}"/>
    <cellStyle name="Output 2" xfId="46" xr:uid="{00000000-0005-0000-0000-00002F000000}"/>
    <cellStyle name="Percent" xfId="47" builtinId="5"/>
    <cellStyle name="Title 2" xfId="48" xr:uid="{00000000-0005-0000-0000-000031000000}"/>
    <cellStyle name="Total 2" xfId="49" xr:uid="{00000000-0005-0000-0000-000032000000}"/>
    <cellStyle name="Total 3" xfId="50" xr:uid="{00000000-0005-0000-0000-000033000000}"/>
    <cellStyle name="Warning Text 2" xfId="51" xr:uid="{00000000-0005-0000-0000-000034000000}"/>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cid:image010.png@01D664CE.0E190690"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emf"/><Relationship Id="rId5" Type="http://schemas.openxmlformats.org/officeDocument/2006/relationships/image" Target="../media/image4.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47625</xdr:colOff>
      <xdr:row>2</xdr:row>
      <xdr:rowOff>142875</xdr:rowOff>
    </xdr:from>
    <xdr:to>
      <xdr:col>7</xdr:col>
      <xdr:colOff>209550</xdr:colOff>
      <xdr:row>20</xdr:row>
      <xdr:rowOff>9525</xdr:rowOff>
    </xdr:to>
    <xdr:pic>
      <xdr:nvPicPr>
        <xdr:cNvPr id="2" name="Picture 1" descr="image001">
          <a:extLst>
            <a:ext uri="{FF2B5EF4-FFF2-40B4-BE49-F238E27FC236}">
              <a16:creationId xmlns:a16="http://schemas.microsoft.com/office/drawing/2014/main" id="{C0DDB251-CA94-4B66-89C1-1568D4438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 y="466725"/>
          <a:ext cx="3209925" cy="278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600075</xdr:colOff>
      <xdr:row>23</xdr:row>
      <xdr:rowOff>95250</xdr:rowOff>
    </xdr:from>
    <xdr:to>
      <xdr:col>9</xdr:col>
      <xdr:colOff>417018</xdr:colOff>
      <xdr:row>49</xdr:row>
      <xdr:rowOff>156159</xdr:rowOff>
    </xdr:to>
    <xdr:pic>
      <xdr:nvPicPr>
        <xdr:cNvPr id="3" name="Picture 6">
          <a:extLst>
            <a:ext uri="{FF2B5EF4-FFF2-40B4-BE49-F238E27FC236}">
              <a16:creationId xmlns:a16="http://schemas.microsoft.com/office/drawing/2014/main" id="{9AC77EA2-BA97-4F7F-B8C7-91B9B88F91EC}"/>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600075" y="3819525"/>
          <a:ext cx="5303343" cy="4270959"/>
        </a:xfrm>
        <a:prstGeom prst="rect">
          <a:avLst/>
        </a:prstGeom>
        <a:solidFill>
          <a:schemeClr val="bg1">
            <a:lumMod val="95000"/>
          </a:schemeClr>
        </a:solidFill>
      </xdr:spPr>
    </xdr:pic>
    <xdr:clientData/>
  </xdr:twoCellAnchor>
  <xdr:twoCellAnchor editAs="oneCell">
    <xdr:from>
      <xdr:col>4</xdr:col>
      <xdr:colOff>1</xdr:colOff>
      <xdr:row>71</xdr:row>
      <xdr:rowOff>0</xdr:rowOff>
    </xdr:from>
    <xdr:to>
      <xdr:col>17</xdr:col>
      <xdr:colOff>219076</xdr:colOff>
      <xdr:row>101</xdr:row>
      <xdr:rowOff>43355</xdr:rowOff>
    </xdr:to>
    <xdr:pic>
      <xdr:nvPicPr>
        <xdr:cNvPr id="4" name="Picture 3">
          <a:extLst>
            <a:ext uri="{FF2B5EF4-FFF2-40B4-BE49-F238E27FC236}">
              <a16:creationId xmlns:a16="http://schemas.microsoft.com/office/drawing/2014/main" id="{27A7BB18-E569-4849-A25D-C6B9295DE6B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8401" y="11744325"/>
          <a:ext cx="8953500" cy="49011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219076</xdr:colOff>
      <xdr:row>73</xdr:row>
      <xdr:rowOff>28575</xdr:rowOff>
    </xdr:from>
    <xdr:to>
      <xdr:col>3</xdr:col>
      <xdr:colOff>307270</xdr:colOff>
      <xdr:row>75</xdr:row>
      <xdr:rowOff>66675</xdr:rowOff>
    </xdr:to>
    <xdr:pic>
      <xdr:nvPicPr>
        <xdr:cNvPr id="5" name="Picture 4">
          <a:extLst>
            <a:ext uri="{FF2B5EF4-FFF2-40B4-BE49-F238E27FC236}">
              <a16:creationId xmlns:a16="http://schemas.microsoft.com/office/drawing/2014/main" id="{DFFC8D06-EED8-4128-8CF4-7C41EABFFFE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19076" y="12096750"/>
          <a:ext cx="1916994"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567725</xdr:colOff>
      <xdr:row>69</xdr:row>
      <xdr:rowOff>95250</xdr:rowOff>
    </xdr:from>
    <xdr:to>
      <xdr:col>20</xdr:col>
      <xdr:colOff>104775</xdr:colOff>
      <xdr:row>88</xdr:row>
      <xdr:rowOff>133302</xdr:rowOff>
    </xdr:to>
    <xdr:pic>
      <xdr:nvPicPr>
        <xdr:cNvPr id="6" name="Picture 5">
          <a:extLst>
            <a:ext uri="{FF2B5EF4-FFF2-40B4-BE49-F238E27FC236}">
              <a16:creationId xmlns:a16="http://schemas.microsoft.com/office/drawing/2014/main" id="{9FE0DDFA-FBE6-48BF-B825-1F8E529CB2E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740550" y="11515725"/>
          <a:ext cx="2280250" cy="3114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914400</xdr:colOff>
      <xdr:row>8</xdr:row>
      <xdr:rowOff>104775</xdr:rowOff>
    </xdr:from>
    <xdr:to>
      <xdr:col>1</xdr:col>
      <xdr:colOff>28575</xdr:colOff>
      <xdr:row>8</xdr:row>
      <xdr:rowOff>104775</xdr:rowOff>
    </xdr:to>
    <xdr:sp macro="" textlink="">
      <xdr:nvSpPr>
        <xdr:cNvPr id="4" name="Line 1">
          <a:extLst>
            <a:ext uri="{FF2B5EF4-FFF2-40B4-BE49-F238E27FC236}">
              <a16:creationId xmlns:a16="http://schemas.microsoft.com/office/drawing/2014/main" id="{AE3C485E-167A-4AB3-8FD9-81222C4B056E}"/>
            </a:ext>
          </a:extLst>
        </xdr:cNvPr>
        <xdr:cNvSpPr>
          <a:spLocks noChangeShapeType="1"/>
        </xdr:cNvSpPr>
      </xdr:nvSpPr>
      <xdr:spPr bwMode="auto">
        <a:xfrm>
          <a:off x="914400" y="11134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9</xdr:row>
      <xdr:rowOff>104775</xdr:rowOff>
    </xdr:from>
    <xdr:to>
      <xdr:col>0</xdr:col>
      <xdr:colOff>1838325</xdr:colOff>
      <xdr:row>9</xdr:row>
      <xdr:rowOff>104775</xdr:rowOff>
    </xdr:to>
    <xdr:sp macro="" textlink="">
      <xdr:nvSpPr>
        <xdr:cNvPr id="5" name="Line 2">
          <a:extLst>
            <a:ext uri="{FF2B5EF4-FFF2-40B4-BE49-F238E27FC236}">
              <a16:creationId xmlns:a16="http://schemas.microsoft.com/office/drawing/2014/main" id="{60DDF8E1-0A85-40FF-B795-8486A559E692}"/>
            </a:ext>
          </a:extLst>
        </xdr:cNvPr>
        <xdr:cNvSpPr>
          <a:spLocks noChangeShapeType="1"/>
        </xdr:cNvSpPr>
      </xdr:nvSpPr>
      <xdr:spPr bwMode="auto">
        <a:xfrm>
          <a:off x="790575" y="11325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43</xdr:row>
      <xdr:rowOff>104775</xdr:rowOff>
    </xdr:from>
    <xdr:to>
      <xdr:col>1</xdr:col>
      <xdr:colOff>28575</xdr:colOff>
      <xdr:row>43</xdr:row>
      <xdr:rowOff>104775</xdr:rowOff>
    </xdr:to>
    <xdr:sp macro="" textlink="">
      <xdr:nvSpPr>
        <xdr:cNvPr id="6" name="Line 1">
          <a:extLst>
            <a:ext uri="{FF2B5EF4-FFF2-40B4-BE49-F238E27FC236}">
              <a16:creationId xmlns:a16="http://schemas.microsoft.com/office/drawing/2014/main" id="{B515130C-F780-43AD-9378-13014C13C6E8}"/>
            </a:ext>
          </a:extLst>
        </xdr:cNvPr>
        <xdr:cNvSpPr>
          <a:spLocks noChangeShapeType="1"/>
        </xdr:cNvSpPr>
      </xdr:nvSpPr>
      <xdr:spPr bwMode="auto">
        <a:xfrm>
          <a:off x="914400" y="1524000"/>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44</xdr:row>
      <xdr:rowOff>104775</xdr:rowOff>
    </xdr:from>
    <xdr:to>
      <xdr:col>0</xdr:col>
      <xdr:colOff>1838325</xdr:colOff>
      <xdr:row>44</xdr:row>
      <xdr:rowOff>104775</xdr:rowOff>
    </xdr:to>
    <xdr:sp macro="" textlink="">
      <xdr:nvSpPr>
        <xdr:cNvPr id="7" name="Line 2">
          <a:extLst>
            <a:ext uri="{FF2B5EF4-FFF2-40B4-BE49-F238E27FC236}">
              <a16:creationId xmlns:a16="http://schemas.microsoft.com/office/drawing/2014/main" id="{96B27DEC-657F-4A79-8203-26D31AB61AEF}"/>
            </a:ext>
          </a:extLst>
        </xdr:cNvPr>
        <xdr:cNvSpPr>
          <a:spLocks noChangeShapeType="1"/>
        </xdr:cNvSpPr>
      </xdr:nvSpPr>
      <xdr:spPr bwMode="auto">
        <a:xfrm>
          <a:off x="790575" y="1714500"/>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79</xdr:row>
      <xdr:rowOff>104775</xdr:rowOff>
    </xdr:from>
    <xdr:to>
      <xdr:col>1</xdr:col>
      <xdr:colOff>28575</xdr:colOff>
      <xdr:row>79</xdr:row>
      <xdr:rowOff>104775</xdr:rowOff>
    </xdr:to>
    <xdr:sp macro="" textlink="">
      <xdr:nvSpPr>
        <xdr:cNvPr id="8" name="Line 1">
          <a:extLst>
            <a:ext uri="{FF2B5EF4-FFF2-40B4-BE49-F238E27FC236}">
              <a16:creationId xmlns:a16="http://schemas.microsoft.com/office/drawing/2014/main" id="{4409567A-3699-4EDF-AB6D-A2D8634C2E34}"/>
            </a:ext>
          </a:extLst>
        </xdr:cNvPr>
        <xdr:cNvSpPr>
          <a:spLocks noChangeShapeType="1"/>
        </xdr:cNvSpPr>
      </xdr:nvSpPr>
      <xdr:spPr bwMode="auto">
        <a:xfrm>
          <a:off x="914400" y="8143875"/>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80</xdr:row>
      <xdr:rowOff>104775</xdr:rowOff>
    </xdr:from>
    <xdr:to>
      <xdr:col>0</xdr:col>
      <xdr:colOff>1838325</xdr:colOff>
      <xdr:row>80</xdr:row>
      <xdr:rowOff>104775</xdr:rowOff>
    </xdr:to>
    <xdr:sp macro="" textlink="">
      <xdr:nvSpPr>
        <xdr:cNvPr id="9" name="Line 2">
          <a:extLst>
            <a:ext uri="{FF2B5EF4-FFF2-40B4-BE49-F238E27FC236}">
              <a16:creationId xmlns:a16="http://schemas.microsoft.com/office/drawing/2014/main" id="{E293B9F9-E944-420A-BCB9-013083AC5327}"/>
            </a:ext>
          </a:extLst>
        </xdr:cNvPr>
        <xdr:cNvSpPr>
          <a:spLocks noChangeShapeType="1"/>
        </xdr:cNvSpPr>
      </xdr:nvSpPr>
      <xdr:spPr bwMode="auto">
        <a:xfrm>
          <a:off x="790575" y="833437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914400</xdr:colOff>
      <xdr:row>59</xdr:row>
      <xdr:rowOff>104775</xdr:rowOff>
    </xdr:from>
    <xdr:to>
      <xdr:col>1</xdr:col>
      <xdr:colOff>28575</xdr:colOff>
      <xdr:row>59</xdr:row>
      <xdr:rowOff>104775</xdr:rowOff>
    </xdr:to>
    <xdr:sp macro="" textlink="">
      <xdr:nvSpPr>
        <xdr:cNvPr id="141527" name="Line 1">
          <a:extLst>
            <a:ext uri="{FF2B5EF4-FFF2-40B4-BE49-F238E27FC236}">
              <a16:creationId xmlns:a16="http://schemas.microsoft.com/office/drawing/2014/main" id="{2FD7F993-D475-4D06-8F20-230FB0C94D6E}"/>
            </a:ext>
          </a:extLst>
        </xdr:cNvPr>
        <xdr:cNvSpPr>
          <a:spLocks noChangeShapeType="1"/>
        </xdr:cNvSpPr>
      </xdr:nvSpPr>
      <xdr:spPr bwMode="auto">
        <a:xfrm>
          <a:off x="914400" y="11515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60</xdr:row>
      <xdr:rowOff>104775</xdr:rowOff>
    </xdr:from>
    <xdr:to>
      <xdr:col>0</xdr:col>
      <xdr:colOff>1838325</xdr:colOff>
      <xdr:row>60</xdr:row>
      <xdr:rowOff>104775</xdr:rowOff>
    </xdr:to>
    <xdr:sp macro="" textlink="">
      <xdr:nvSpPr>
        <xdr:cNvPr id="141528" name="Line 2">
          <a:extLst>
            <a:ext uri="{FF2B5EF4-FFF2-40B4-BE49-F238E27FC236}">
              <a16:creationId xmlns:a16="http://schemas.microsoft.com/office/drawing/2014/main" id="{26D32375-8B41-4E86-B55D-3DD9A479B457}"/>
            </a:ext>
          </a:extLst>
        </xdr:cNvPr>
        <xdr:cNvSpPr>
          <a:spLocks noChangeShapeType="1"/>
        </xdr:cNvSpPr>
      </xdr:nvSpPr>
      <xdr:spPr bwMode="auto">
        <a:xfrm>
          <a:off x="790575" y="11706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13</xdr:row>
      <xdr:rowOff>104775</xdr:rowOff>
    </xdr:from>
    <xdr:to>
      <xdr:col>1</xdr:col>
      <xdr:colOff>28575</xdr:colOff>
      <xdr:row>13</xdr:row>
      <xdr:rowOff>104775</xdr:rowOff>
    </xdr:to>
    <xdr:sp macro="" textlink="">
      <xdr:nvSpPr>
        <xdr:cNvPr id="141529" name="Line 3">
          <a:extLst>
            <a:ext uri="{FF2B5EF4-FFF2-40B4-BE49-F238E27FC236}">
              <a16:creationId xmlns:a16="http://schemas.microsoft.com/office/drawing/2014/main" id="{425B96C0-D0A4-4C1E-9D9E-BA76E7291034}"/>
            </a:ext>
          </a:extLst>
        </xdr:cNvPr>
        <xdr:cNvSpPr>
          <a:spLocks noChangeShapeType="1"/>
        </xdr:cNvSpPr>
      </xdr:nvSpPr>
      <xdr:spPr bwMode="auto">
        <a:xfrm>
          <a:off x="914400" y="24098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14</xdr:row>
      <xdr:rowOff>104775</xdr:rowOff>
    </xdr:from>
    <xdr:to>
      <xdr:col>0</xdr:col>
      <xdr:colOff>1838325</xdr:colOff>
      <xdr:row>14</xdr:row>
      <xdr:rowOff>104775</xdr:rowOff>
    </xdr:to>
    <xdr:sp macro="" textlink="">
      <xdr:nvSpPr>
        <xdr:cNvPr id="141530" name="Line 4">
          <a:extLst>
            <a:ext uri="{FF2B5EF4-FFF2-40B4-BE49-F238E27FC236}">
              <a16:creationId xmlns:a16="http://schemas.microsoft.com/office/drawing/2014/main" id="{9CEC8660-19FC-48A7-8EBD-1BFC88C58B2E}"/>
            </a:ext>
          </a:extLst>
        </xdr:cNvPr>
        <xdr:cNvSpPr>
          <a:spLocks noChangeShapeType="1"/>
        </xdr:cNvSpPr>
      </xdr:nvSpPr>
      <xdr:spPr bwMode="auto">
        <a:xfrm>
          <a:off x="790575" y="26003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Jim Massie" id="{00B488F6-BF05-458C-8A95-28C41C04F4AC}" userId="S::jmassie@veic.org::80dfa999-5526-4642-837c-b5fa1cd05ad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307" dT="2020-06-16T17:56:08.80" personId="{00B488F6-BF05-458C-8A95-28C41C04F4AC}" id="{868A9134-91CA-4557-8B61-E80A7705F4BF}">
    <text>used avg for Jan-Aug of 314 kWh per kW</text>
  </threadedComment>
  <threadedComment ref="C462" dT="2020-06-16T17:57:02.26" personId="{00B488F6-BF05-458C-8A95-28C41C04F4AC}" id="{26F91F11-45C1-4611-8CFC-339B058E0202}">
    <text>used avg for year of 414-was 43,179</text>
  </threadedComment>
</ThreadedComments>
</file>

<file path=xl/threadedComments/threadedComment2.xml><?xml version="1.0" encoding="utf-8"?>
<ThreadedComments xmlns="http://schemas.microsoft.com/office/spreadsheetml/2018/threadedcomments" xmlns:x="http://schemas.openxmlformats.org/spreadsheetml/2006/main">
  <threadedComment ref="P11" dT="2020-07-28T20:56:45.63" personId="{00B488F6-BF05-458C-8A95-28C41C04F4AC}" id="{499FC7D8-B702-42FF-AA94-4F51DCBB11AA}">
    <text>https://www.nrel.gov/docs/fy07osti/41219.pdf</text>
  </threadedComment>
  <threadedComment ref="R17" dT="2020-07-28T20:54:23.68" personId="{00B488F6-BF05-458C-8A95-28C41C04F4AC}" id="{6E71F013-C795-4AD2-9130-952D1D531953}">
    <text>NREL VT guide 1500 kwh per kw</text>
  </threadedComment>
  <threadedComment ref="N26" dT="2020-07-28T20:01:02.54" personId="{00B488F6-BF05-458C-8A95-28C41C04F4AC}" id="{F3984526-BE22-401B-B39F-8FB6135CB3A4}">
    <text>Used VEC rate of res vs total installs</text>
  </threadedComment>
  <threadedComment ref="L27" dT="2020-07-28T19:51:56.94" personId="{00B488F6-BF05-458C-8A95-28C41C04F4AC}" id="{19462927-1F59-4F39-987E-45BE90E3122F}">
    <text>for systems smaller than 15kW-assumed that all demand and large arrays are before the meter so customer sales already included in the DU reported sales values</text>
  </threadedComment>
  <threadedComment ref="G53" dT="2020-07-29T16:03:06.59" personId="{00B488F6-BF05-458C-8A95-28C41C04F4AC}" id="{09F3AD63-6537-4791-88E1-773B3864C08F}">
    <text>&lt;= 2016</text>
  </threadedComment>
  <threadedComment ref="I53" dT="2020-07-29T16:03:19.61" personId="{00B488F6-BF05-458C-8A95-28C41C04F4AC}" id="{1EE152C7-ED08-4151-9C42-4CB8DA1C87B0}">
    <text>January 1, 2017-June 30, 2018</text>
  </threadedComment>
  <threadedComment ref="K53" dT="2020-07-29T16:03:54.88" personId="{00B488F6-BF05-458C-8A95-28C41C04F4AC}" id="{B23A4354-F6D3-404A-AB8D-ECC756CF372F}">
    <text>&gt; July 1, 2018</text>
  </threadedComment>
</ThreadedComments>
</file>

<file path=xl/threadedComments/threadedComment3.xml><?xml version="1.0" encoding="utf-8"?>
<ThreadedComments xmlns="http://schemas.microsoft.com/office/spreadsheetml/2018/threadedcomments" xmlns:x="http://schemas.openxmlformats.org/spreadsheetml/2006/main">
  <threadedComment ref="G76" dT="2020-07-31T16:18:41.53" personId="{00B488F6-BF05-458C-8A95-28C41C04F4AC}" id="{22FCC068-CFCB-44C1-A1F9-7EE3B918ED9F}">
    <text>appears to be missing a month of data</text>
  </threadedComment>
  <threadedComment ref="K76" dT="2020-07-31T16:18:41.53" personId="{00B488F6-BF05-458C-8A95-28C41C04F4AC}" id="{31381200-9B67-46DA-B2B5-0D8456534B2A}">
    <text>appears to be missing a month of data</text>
  </threadedComment>
  <threadedComment ref="AH83" dT="2020-07-30T18:09:14.30" personId="{00B488F6-BF05-458C-8A95-28C41C04F4AC}" id="{A45BADA6-9663-40FB-B723-73DFAC77E678}">
    <text>Swanton is not sure why 2019 CD was so high</text>
  </threadedComment>
</ThreadedComments>
</file>

<file path=xl/threadedComments/threadedComment4.xml><?xml version="1.0" encoding="utf-8"?>
<ThreadedComments xmlns="http://schemas.microsoft.com/office/spreadsheetml/2018/threadedcomments" xmlns:x="http://schemas.openxmlformats.org/spreadsheetml/2006/main">
  <threadedComment ref="C9" dT="2020-06-19T14:06:47.36" personId="{00B488F6-BF05-458C-8A95-28C41C04F4AC}" id="{297590B8-99FC-4E66-80D4-624051554D0D}">
    <text>waiting on data back from GMP to update the allocations</text>
  </threadedComment>
</ThreadedComments>
</file>

<file path=xl/threadedComments/threadedComment5.xml><?xml version="1.0" encoding="utf-8"?>
<ThreadedComments xmlns="http://schemas.microsoft.com/office/spreadsheetml/2018/threadedcomments" xmlns:x="http://schemas.openxmlformats.org/spreadsheetml/2006/main">
  <threadedComment ref="E11" dT="2020-06-17T18:09:40.85" personId="{00B488F6-BF05-458C-8A95-28C41C04F4AC}" id="{2DE529A7-0EC0-4DB4-9F6C-C6217B625E00}">
    <text>excludes the Other sales which are for former CVPS Claremont NH and no EEC is collected</text>
  </threadedComment>
  <threadedComment ref="V11" dT="2020-06-18T16:47:58.28" personId="{00B488F6-BF05-458C-8A95-28C41C04F4AC}" id="{3510338A-6A28-4C07-A422-241BC76A54A5}">
    <text>Assumed they owe 10K per month and that even though they paid for Oct-Nov 2019 they will miss three months in 2020</text>
  </threadedComment>
  <threadedComment ref="C12" dT="2020-06-17T19:48:35.41" personId="{00B488F6-BF05-458C-8A95-28C41C04F4AC}" id="{438DE5BE-F529-4E86-808F-E40E3A9529CF}">
    <text>the Commission ordered that residential rates decrease by 3% from 2018 and that othr rates remain flat. On July 1 a 0.25% increase was added to GRT and it was not budgeted</text>
  </threadedComment>
  <threadedComment ref="G26" dT="2020-08-25T16:25:47.59" personId="{00B488F6-BF05-458C-8A95-28C41C04F4AC}" id="{A67D1BFE-6932-4827-B9B7-CBE3499D1A50}">
    <text>net of new tax rate from 2015-2019 collections by month_082420-includes $22,012 from 2019 that is counted in 2020 due to timing</text>
  </threadedComment>
  <threadedComment ref="G27" dT="2020-08-27T17:47:20.91" personId="{00B488F6-BF05-458C-8A95-28C41C04F4AC}" id="{35CCC802-1B29-41A4-BB66-4648427AB584}">
    <text>5.304D says to use March-June</text>
  </threadedComment>
  <threadedComment ref="H27" dT="2020-08-27T17:47:40.31" personId="{00B488F6-BF05-458C-8A95-28C41C04F4AC}" id="{EF4C50C9-0931-490A-8291-8729C0B7C841}">
    <text>5.304D says to use Jul-Feb</text>
  </threadedComment>
  <threadedComment ref="C29" dT="2020-06-25T13:44:07.34" personId="{00B488F6-BF05-458C-8A95-28C41C04F4AC}" id="{DE0F6184-5C02-40C9-B431-0810F2DD11E6}">
    <text>uses actual calculation from 2020 file but that has the old tax rates. It does represent the amount of funds that need to be collected</text>
  </threadedComment>
  <threadedComment ref="H30" dT="2020-08-27T21:29:15.09" personId="{00B488F6-BF05-458C-8A95-28C41C04F4AC}" id="{AA1BB81E-AB0E-4278-BDD4-0344D548A9A8}">
    <text>from forecast tool</text>
  </threadedComment>
  <threadedComment ref="H31" dT="2020-08-27T21:29:15.09" personId="{00B488F6-BF05-458C-8A95-28C41C04F4AC}" id="{634FDF29-5631-4115-AD21-177EE0F28642}">
    <text>from forecast tool</text>
  </threadedComment>
  <threadedComment ref="H32" dT="2020-08-27T21:29:15.09" personId="{00B488F6-BF05-458C-8A95-28C41C04F4AC}" id="{762B8C6E-2F3A-458B-9D5C-166180FEEFFD}">
    <text>from forecast tool</text>
  </threadedComment>
  <threadedComment ref="H33" dT="2020-08-27T21:32:09.25" personId="{00B488F6-BF05-458C-8A95-28C41C04F4AC}" id="{4498688A-B756-4AF5-834D-A1BDEC5769CA}">
    <text>this is an alternative to 5.305</text>
  </threadedComment>
  <threadedComment ref="I33" dT="2020-06-19T13:29:09.40" personId="{00B488F6-BF05-458C-8A95-28C41C04F4AC}" id="{E24A4EDD-66AE-404F-9E22-F79EE7C4505C}">
    <text>used new tax rate and adjusted sales down in the forecast</text>
  </threadedComment>
  <threadedComment ref="J33" dT="2020-08-27T17:04:45.73" personId="{00B488F6-BF05-458C-8A95-28C41C04F4AC}" id="{6E03ABA0-6814-480D-AC28-AEFD5D747D95}">
    <text>includes RA, DSS, Ops Fee, PI Award, DPS, FA and Audit</text>
  </threadedComment>
</ThreadedComments>
</file>

<file path=xl/threadedComments/threadedComment6.xml><?xml version="1.0" encoding="utf-8"?>
<ThreadedComments xmlns="http://schemas.microsoft.com/office/spreadsheetml/2018/threadedcomments" xmlns:x="http://schemas.openxmlformats.org/spreadsheetml/2006/main">
  <threadedComment ref="B52" dT="2020-07-21T19:58:43.38" personId="{00B488F6-BF05-458C-8A95-28C41C04F4AC}" id="{87C9BA43-C7DD-4990-9684-86ACCB723205}">
    <text>Oct-Nov 2019</text>
  </threadedComment>
</ThreadedComments>
</file>

<file path=xl/threadedComments/threadedComment7.xml><?xml version="1.0" encoding="utf-8"?>
<ThreadedComments xmlns="http://schemas.microsoft.com/office/spreadsheetml/2018/threadedcomments" xmlns:x="http://schemas.openxmlformats.org/spreadsheetml/2006/main">
  <threadedComment ref="A32" dT="2020-08-27T17:49:57.97" personId="{00B488F6-BF05-458C-8A95-28C41C04F4AC}" id="{59599B66-545F-410D-A8CA-EA76E0944D1A}">
    <text>5.304 (E) says these are from prior performance period- If over 5% then Uncommitted equal this total. If &lt;5% then PUC process. Otherwise zero.</text>
  </threadedComment>
  <threadedComment ref="F46" dT="2020-08-27T17:53:37.92" personId="{00B488F6-BF05-458C-8A95-28C41C04F4AC}" id="{6DF35FCA-DF44-4E3F-8EEA-129FB4D934A4}">
    <text>Rile 5.305 (E) 2.  includes Budget+ Uncollectibles - Budget Credit (Uncommitted Funds?)</text>
  </threadedComment>
  <threadedComment ref="G46" dT="2020-08-27T17:53:37.92" personId="{00B488F6-BF05-458C-8A95-28C41C04F4AC}" id="{C4EE4BFB-2AB4-4642-B97C-C2A73B98AB96}">
    <text>Rile 5.305 (E) 3.</text>
  </threadedComment>
  <threadedComment ref="F53" dT="2020-08-27T17:53:37.92" personId="{00B488F6-BF05-458C-8A95-28C41C04F4AC}" id="{472160F4-982B-46DA-9A0A-BE9E58BFDAED}">
    <text>Rile 5.305 (E) 2.  includes Budget+ Uncollectibles - Budget Credit (Uncommitted Funds?)</text>
  </threadedComment>
  <threadedComment ref="F67" dT="2020-06-18T15:38:57.33" personId="{00B488F6-BF05-458C-8A95-28C41C04F4AC}" id="{74A2A7A8-4355-4B22-A5C5-407F5119BC32}">
    <text>Source: DU Collection data-change from 18-19 was 2.5% drop-2020 is forecasted to be up 10%. So used 0% for 2021</text>
  </threadedComment>
  <threadedComment ref="K70" dT="2020-08-25T20:42:28.68" personId="{00B488F6-BF05-458C-8A95-28C41C04F4AC}" id="{A3247F44-42C5-41E3-BFCD-65516361CE9F}">
    <text>from 2020 forecasted saled in 2015-2019 collections by month</text>
  </threadedComment>
  <threadedComment ref="F74" dT="2020-06-18T15:38:57.33" personId="{00B488F6-BF05-458C-8A95-28C41C04F4AC}" id="{0AA25532-338D-4F2B-BA51-0128D1D29964}">
    <text>Source: DU Collection data-change from 18-19 was 2.1% drop, 2020 is forecasted to be down another 7.7%. at a 7.7% reduction adjustment for 2021, the adjusted kwh is 0.7% higher than 2020 which might make sense if things come back some post Covid</text>
  </threadedComment>
  <threadedComment ref="G74" dT="2020-06-18T15:42:15.71" personId="{00B488F6-BF05-458C-8A95-28C41C04F4AC}" id="{9220F9DA-ACA7-4E46-AB77-3AAAD34225BB}">
    <text>assumed 2 years - history for 2019 and covid for 2020</text>
  </threadedComment>
  <threadedComment ref="F80" dT="2020-06-18T15:36:36.13" personId="{00B488F6-BF05-458C-8A95-28C41C04F4AC}" id="{070CE054-EEA4-43E9-9FFB-6922B07234DD}">
    <text>18 to 19 was up 1.8%, 19-20 is expected to be down 7.0% but it could be just snow related-used 3.5%. The resulting value is 3.3% higher than projected 2020 kWh</text>
  </threadedComment>
</ThreadedComments>
</file>

<file path=xl/threadedComments/threadedComment8.xml><?xml version="1.0" encoding="utf-8"?>
<ThreadedComments xmlns="http://schemas.microsoft.com/office/spreadsheetml/2018/threadedcomments" xmlns:x="http://schemas.openxmlformats.org/spreadsheetml/2006/main">
  <threadedComment ref="A10" dT="2020-06-19T13:21:43.20" personId="{00B488F6-BF05-458C-8A95-28C41C04F4AC}" id="{B96362F6-865D-4C37-ADD3-89C83D4DC5E4}">
    <text>the rate changed from 1% to 1.025% on July 1, 2019 but the FA did not make the change and it was not budgeted in 2019 or 2020</text>
  </threadedComment>
  <threadedComment ref="B21" dT="2020-07-13T18:33:16.80" personId="{00B488F6-BF05-458C-8A95-28C41C04F4AC}" id="{6337CA83-7977-435B-B9F7-5FF65AC5D2BE}">
    <text>Per DPS Petition in 20-2241-PET</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 Id="rId4" Type="http://schemas.microsoft.com/office/2017/10/relationships/threadedComment" Target="../threadedComments/threadedComment5.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bin"/><Relationship Id="rId4" Type="http://schemas.microsoft.com/office/2017/10/relationships/threadedComment" Target="../threadedComments/threadedComment6.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5.bin"/><Relationship Id="rId4" Type="http://schemas.microsoft.com/office/2017/10/relationships/threadedComment" Target="../threadedComments/threadedComment7.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7.bin"/><Relationship Id="rId4" Type="http://schemas.microsoft.com/office/2017/10/relationships/threadedComment" Target="../threadedComments/threadedComment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35"/>
  <sheetViews>
    <sheetView topLeftCell="C1" workbookViewId="0">
      <selection activeCell="C4" sqref="C4:O39"/>
    </sheetView>
  </sheetViews>
  <sheetFormatPr defaultRowHeight="12.75" x14ac:dyDescent="0.35"/>
  <cols>
    <col min="1" max="1" width="32" hidden="1" customWidth="1"/>
    <col min="2" max="2" width="35.73046875" hidden="1" customWidth="1"/>
    <col min="3" max="3" width="30" bestFit="1" customWidth="1"/>
    <col min="4" max="4" width="15" customWidth="1"/>
    <col min="5" max="5" width="14" customWidth="1"/>
    <col min="6" max="6" width="11.265625" bestFit="1" customWidth="1"/>
    <col min="7" max="7" width="15" customWidth="1"/>
    <col min="8" max="8" width="13.86328125" customWidth="1"/>
    <col min="9" max="9" width="12.86328125" customWidth="1"/>
    <col min="10" max="10" width="15" customWidth="1"/>
    <col min="11" max="11" width="13.3984375" customWidth="1"/>
    <col min="12" max="12" width="14.86328125" customWidth="1"/>
    <col min="13" max="13" width="11.3984375" customWidth="1"/>
  </cols>
  <sheetData>
    <row r="3" spans="1:13" x14ac:dyDescent="0.35">
      <c r="D3" s="514">
        <v>2</v>
      </c>
      <c r="E3" s="514">
        <v>3</v>
      </c>
      <c r="F3" s="514">
        <v>4</v>
      </c>
      <c r="G3" s="514">
        <v>5</v>
      </c>
      <c r="H3" s="514">
        <v>6</v>
      </c>
      <c r="I3" s="514">
        <v>7</v>
      </c>
      <c r="J3" s="514">
        <v>8</v>
      </c>
      <c r="K3" s="514">
        <v>9</v>
      </c>
    </row>
    <row r="4" spans="1:13" s="244" customFormat="1" ht="13.15" x14ac:dyDescent="0.4">
      <c r="D4" s="977" t="s">
        <v>372</v>
      </c>
      <c r="E4" s="978"/>
      <c r="F4" s="978"/>
      <c r="G4" s="978"/>
      <c r="H4" s="978"/>
      <c r="I4" s="978"/>
      <c r="J4" s="978"/>
      <c r="K4" s="979"/>
      <c r="L4" s="977" t="s">
        <v>10</v>
      </c>
      <c r="M4" s="979"/>
    </row>
    <row r="5" spans="1:13" s="244" customFormat="1" ht="39.4" x14ac:dyDescent="0.4">
      <c r="A5" s="244" t="s">
        <v>373</v>
      </c>
      <c r="C5" s="244" t="s">
        <v>311</v>
      </c>
      <c r="D5" s="526" t="s">
        <v>374</v>
      </c>
      <c r="E5" s="527" t="s">
        <v>375</v>
      </c>
      <c r="F5" s="527" t="s">
        <v>377</v>
      </c>
      <c r="G5" s="527" t="s">
        <v>383</v>
      </c>
      <c r="H5" s="527" t="s">
        <v>384</v>
      </c>
      <c r="I5" s="527" t="s">
        <v>376</v>
      </c>
      <c r="J5" s="527" t="s">
        <v>385</v>
      </c>
      <c r="K5" s="528" t="s">
        <v>386</v>
      </c>
      <c r="L5" s="529" t="s">
        <v>1</v>
      </c>
      <c r="M5" s="530" t="s">
        <v>2</v>
      </c>
    </row>
    <row r="6" spans="1:13" x14ac:dyDescent="0.35">
      <c r="A6" t="s">
        <v>305</v>
      </c>
      <c r="B6" t="s">
        <v>378</v>
      </c>
      <c r="C6" t="s">
        <v>31</v>
      </c>
      <c r="D6" s="515">
        <v>10123377</v>
      </c>
      <c r="E6" s="517">
        <v>1050281</v>
      </c>
      <c r="F6" s="517">
        <v>115951</v>
      </c>
      <c r="G6" s="517">
        <v>2327417</v>
      </c>
      <c r="H6" s="517">
        <v>7487</v>
      </c>
      <c r="I6" s="517">
        <v>0</v>
      </c>
      <c r="J6" s="517">
        <v>0</v>
      </c>
      <c r="K6" s="516">
        <v>0</v>
      </c>
      <c r="L6" s="515">
        <f>SUM(D6:G6,I6:J6)</f>
        <v>13617026</v>
      </c>
      <c r="M6" s="516">
        <f>H6+K6</f>
        <v>7487</v>
      </c>
    </row>
    <row r="7" spans="1:13" x14ac:dyDescent="0.35">
      <c r="A7" t="s">
        <v>32</v>
      </c>
      <c r="B7" t="s">
        <v>243</v>
      </c>
      <c r="C7" t="s">
        <v>32</v>
      </c>
      <c r="D7" s="515">
        <v>13646733</v>
      </c>
      <c r="E7" s="517">
        <v>2442317</v>
      </c>
      <c r="F7" s="517">
        <v>128609</v>
      </c>
      <c r="G7" s="517">
        <v>10147575</v>
      </c>
      <c r="H7" s="517">
        <v>23481.599999999999</v>
      </c>
      <c r="I7" s="517">
        <v>0</v>
      </c>
      <c r="J7" s="517">
        <v>0</v>
      </c>
      <c r="K7" s="516">
        <v>0</v>
      </c>
      <c r="L7" s="515">
        <f t="shared" ref="L7:L21" si="0">SUM(D7:G7,I7:J7)</f>
        <v>26365234</v>
      </c>
      <c r="M7" s="516">
        <f t="shared" ref="M7:M21" si="1">H7+K7</f>
        <v>23481.599999999999</v>
      </c>
    </row>
    <row r="8" spans="1:13" x14ac:dyDescent="0.35">
      <c r="A8" t="s">
        <v>33</v>
      </c>
      <c r="B8" t="s">
        <v>245</v>
      </c>
      <c r="C8" t="s">
        <v>33</v>
      </c>
      <c r="D8" s="515">
        <v>1490143897</v>
      </c>
      <c r="E8" s="517">
        <v>189962700</v>
      </c>
      <c r="F8" s="517">
        <v>9662377</v>
      </c>
      <c r="G8" s="517">
        <v>1264600601</v>
      </c>
      <c r="H8" s="517">
        <v>3852051.3000000003</v>
      </c>
      <c r="I8" s="517">
        <v>0</v>
      </c>
      <c r="J8" s="517">
        <v>599895104</v>
      </c>
      <c r="K8" s="516">
        <v>1133262</v>
      </c>
      <c r="L8" s="515">
        <f t="shared" si="0"/>
        <v>3554264679</v>
      </c>
      <c r="M8" s="516">
        <f t="shared" si="1"/>
        <v>4985313.3000000007</v>
      </c>
    </row>
    <row r="9" spans="1:13" x14ac:dyDescent="0.35">
      <c r="A9" t="s">
        <v>306</v>
      </c>
      <c r="B9" t="s">
        <v>379</v>
      </c>
      <c r="C9" t="s">
        <v>34</v>
      </c>
      <c r="D9" s="515">
        <v>23390271</v>
      </c>
      <c r="E9" s="517">
        <v>5056167</v>
      </c>
      <c r="F9" s="517">
        <v>104191.48000000001</v>
      </c>
      <c r="G9" s="517">
        <v>5355407</v>
      </c>
      <c r="H9" s="517">
        <v>19825.963999999996</v>
      </c>
      <c r="I9" s="517">
        <v>0</v>
      </c>
      <c r="J9" s="517">
        <v>0</v>
      </c>
      <c r="K9" s="516">
        <v>0</v>
      </c>
      <c r="L9" s="515">
        <f t="shared" si="0"/>
        <v>33906036.480000004</v>
      </c>
      <c r="M9" s="516">
        <f t="shared" si="1"/>
        <v>19825.963999999996</v>
      </c>
    </row>
    <row r="10" spans="1:13" x14ac:dyDescent="0.35">
      <c r="A10" t="s">
        <v>35</v>
      </c>
      <c r="B10" t="s">
        <v>249</v>
      </c>
      <c r="C10" t="s">
        <v>35</v>
      </c>
      <c r="D10" s="515">
        <v>7024184.5</v>
      </c>
      <c r="E10" s="517">
        <v>1923063</v>
      </c>
      <c r="F10" s="517">
        <v>70111</v>
      </c>
      <c r="G10" s="517">
        <v>1210520</v>
      </c>
      <c r="H10" s="517">
        <v>41788.400000000001</v>
      </c>
      <c r="I10" s="517">
        <v>0</v>
      </c>
      <c r="J10" s="517">
        <v>0</v>
      </c>
      <c r="K10" s="516">
        <v>0</v>
      </c>
      <c r="L10" s="515">
        <f t="shared" si="0"/>
        <v>10227878.5</v>
      </c>
      <c r="M10" s="516">
        <f t="shared" si="1"/>
        <v>41788.400000000001</v>
      </c>
    </row>
    <row r="11" spans="1:13" x14ac:dyDescent="0.35">
      <c r="A11" t="s">
        <v>36</v>
      </c>
      <c r="B11" t="s">
        <v>251</v>
      </c>
      <c r="C11" t="s">
        <v>36</v>
      </c>
      <c r="D11" s="515">
        <v>3470729</v>
      </c>
      <c r="E11" s="517">
        <v>552438</v>
      </c>
      <c r="F11" s="517">
        <v>52164</v>
      </c>
      <c r="G11" s="517">
        <v>865613</v>
      </c>
      <c r="H11" s="517">
        <v>4748</v>
      </c>
      <c r="I11" s="517">
        <v>0</v>
      </c>
      <c r="J11" s="517">
        <v>0</v>
      </c>
      <c r="K11" s="516">
        <v>0</v>
      </c>
      <c r="L11" s="515">
        <f t="shared" si="0"/>
        <v>4940944</v>
      </c>
      <c r="M11" s="516">
        <f t="shared" si="1"/>
        <v>4748</v>
      </c>
    </row>
    <row r="12" spans="1:13" x14ac:dyDescent="0.35">
      <c r="A12" t="s">
        <v>37</v>
      </c>
      <c r="B12" t="s">
        <v>253</v>
      </c>
      <c r="C12" t="s">
        <v>37</v>
      </c>
      <c r="D12" s="515">
        <v>5225830</v>
      </c>
      <c r="E12" s="517">
        <v>1854106</v>
      </c>
      <c r="F12" s="517">
        <v>64258</v>
      </c>
      <c r="G12" s="517">
        <v>6164327</v>
      </c>
      <c r="H12" s="517">
        <v>13534</v>
      </c>
      <c r="I12" s="517">
        <v>0</v>
      </c>
      <c r="J12" s="517">
        <v>0</v>
      </c>
      <c r="K12" s="516">
        <v>0</v>
      </c>
      <c r="L12" s="515">
        <f t="shared" si="0"/>
        <v>13308521</v>
      </c>
      <c r="M12" s="516">
        <f t="shared" si="1"/>
        <v>13534</v>
      </c>
    </row>
    <row r="13" spans="1:13" x14ac:dyDescent="0.35">
      <c r="A13" t="s">
        <v>380</v>
      </c>
      <c r="B13" t="s">
        <v>255</v>
      </c>
      <c r="C13" t="s">
        <v>38</v>
      </c>
      <c r="D13" s="759">
        <v>16788708</v>
      </c>
      <c r="E13" s="760">
        <v>5489466</v>
      </c>
      <c r="F13" s="760">
        <v>324996</v>
      </c>
      <c r="G13" s="760">
        <v>12855165.700000001</v>
      </c>
      <c r="H13" s="760">
        <v>42958.183499999999</v>
      </c>
      <c r="I13" s="760">
        <v>0</v>
      </c>
      <c r="J13" s="760">
        <v>19853479</v>
      </c>
      <c r="K13" s="761">
        <v>76731</v>
      </c>
      <c r="L13" s="759">
        <f t="shared" si="0"/>
        <v>55311814.700000003</v>
      </c>
      <c r="M13" s="761">
        <f t="shared" si="1"/>
        <v>119689.1835</v>
      </c>
    </row>
    <row r="14" spans="1:13" x14ac:dyDescent="0.35">
      <c r="A14" t="s">
        <v>39</v>
      </c>
      <c r="B14" t="s">
        <v>257</v>
      </c>
      <c r="C14" t="s">
        <v>39</v>
      </c>
      <c r="D14" s="515">
        <v>28411514.300000001</v>
      </c>
      <c r="E14" s="517">
        <v>12187559</v>
      </c>
      <c r="F14" s="517">
        <v>477435</v>
      </c>
      <c r="G14" s="517">
        <v>17726842.300000001</v>
      </c>
      <c r="H14" s="517">
        <v>55604.28</v>
      </c>
      <c r="I14" s="517">
        <v>0</v>
      </c>
      <c r="J14" s="517">
        <v>0</v>
      </c>
      <c r="K14" s="516">
        <v>0</v>
      </c>
      <c r="L14" s="515">
        <f t="shared" si="0"/>
        <v>58803350.599999994</v>
      </c>
      <c r="M14" s="516">
        <f t="shared" si="1"/>
        <v>55604.28</v>
      </c>
    </row>
    <row r="15" spans="1:13" x14ac:dyDescent="0.35">
      <c r="A15" t="s">
        <v>307</v>
      </c>
      <c r="B15" t="s">
        <v>259</v>
      </c>
      <c r="C15" t="s">
        <v>40</v>
      </c>
      <c r="D15" s="515">
        <v>21389476</v>
      </c>
      <c r="E15" s="517">
        <v>5430579</v>
      </c>
      <c r="F15" s="517">
        <v>70646</v>
      </c>
      <c r="G15" s="517">
        <v>18276573</v>
      </c>
      <c r="H15" s="517">
        <v>52476.400000000009</v>
      </c>
      <c r="I15" s="517">
        <v>0</v>
      </c>
      <c r="J15" s="517">
        <v>0</v>
      </c>
      <c r="K15" s="516">
        <v>0</v>
      </c>
      <c r="L15" s="515">
        <f t="shared" si="0"/>
        <v>45167274</v>
      </c>
      <c r="M15" s="516">
        <f t="shared" si="1"/>
        <v>52476.400000000009</v>
      </c>
    </row>
    <row r="16" spans="1:13" x14ac:dyDescent="0.35">
      <c r="A16" t="s">
        <v>41</v>
      </c>
      <c r="B16" t="s">
        <v>381</v>
      </c>
      <c r="C16" t="s">
        <v>41</v>
      </c>
      <c r="D16" s="515">
        <v>10193675</v>
      </c>
      <c r="E16" s="517">
        <v>2577052</v>
      </c>
      <c r="F16" s="517">
        <v>89430</v>
      </c>
      <c r="G16" s="517">
        <v>7176697</v>
      </c>
      <c r="H16" s="517">
        <v>19300.288</v>
      </c>
      <c r="I16" s="517">
        <v>0</v>
      </c>
      <c r="J16" s="517">
        <v>8855839</v>
      </c>
      <c r="K16" s="516">
        <v>18598.457999999999</v>
      </c>
      <c r="L16" s="515">
        <f t="shared" si="0"/>
        <v>28892693</v>
      </c>
      <c r="M16" s="516">
        <f t="shared" si="1"/>
        <v>37898.745999999999</v>
      </c>
    </row>
    <row r="17" spans="1:13" x14ac:dyDescent="0.35">
      <c r="A17" t="s">
        <v>308</v>
      </c>
      <c r="B17" t="s">
        <v>263</v>
      </c>
      <c r="C17" t="s">
        <v>42</v>
      </c>
      <c r="D17" s="515">
        <v>3938086</v>
      </c>
      <c r="E17" s="517">
        <v>1825887.081</v>
      </c>
      <c r="F17" s="517">
        <v>139088</v>
      </c>
      <c r="G17" s="517">
        <v>0</v>
      </c>
      <c r="H17" s="517">
        <v>0</v>
      </c>
      <c r="I17" s="517">
        <v>0</v>
      </c>
      <c r="J17" s="517">
        <v>6132492</v>
      </c>
      <c r="K17" s="516">
        <v>25547</v>
      </c>
      <c r="L17" s="515">
        <f t="shared" si="0"/>
        <v>12035553.081</v>
      </c>
      <c r="M17" s="516">
        <f t="shared" si="1"/>
        <v>25547</v>
      </c>
    </row>
    <row r="18" spans="1:13" x14ac:dyDescent="0.35">
      <c r="A18" t="s">
        <v>43</v>
      </c>
      <c r="B18" t="s">
        <v>382</v>
      </c>
      <c r="C18" t="s">
        <v>173</v>
      </c>
      <c r="D18" s="515">
        <v>24151085</v>
      </c>
      <c r="E18" s="517">
        <v>7041489</v>
      </c>
      <c r="F18" s="517">
        <v>47599</v>
      </c>
      <c r="G18" s="517">
        <v>35790331</v>
      </c>
      <c r="H18" s="517">
        <v>103570.73</v>
      </c>
      <c r="I18" s="517">
        <v>0</v>
      </c>
      <c r="J18" s="517">
        <v>7767120</v>
      </c>
      <c r="K18" s="516">
        <v>32260</v>
      </c>
      <c r="L18" s="515">
        <f t="shared" si="0"/>
        <v>74797624</v>
      </c>
      <c r="M18" s="516">
        <f t="shared" si="1"/>
        <v>135830.72999999998</v>
      </c>
    </row>
    <row r="19" spans="1:13" x14ac:dyDescent="0.35">
      <c r="A19" t="s">
        <v>44</v>
      </c>
      <c r="B19" t="s">
        <v>267</v>
      </c>
      <c r="C19" t="s">
        <v>44</v>
      </c>
      <c r="D19" s="515">
        <v>26041723</v>
      </c>
      <c r="E19" s="517">
        <v>3100013</v>
      </c>
      <c r="F19" s="517">
        <v>213736</v>
      </c>
      <c r="G19" s="517">
        <v>23654108</v>
      </c>
      <c r="H19" s="517">
        <v>88536.72</v>
      </c>
      <c r="I19" s="517">
        <v>0</v>
      </c>
      <c r="J19" s="517">
        <v>0</v>
      </c>
      <c r="K19" s="516">
        <v>0</v>
      </c>
      <c r="L19" s="515">
        <f t="shared" si="0"/>
        <v>53009580</v>
      </c>
      <c r="M19" s="516">
        <f t="shared" si="1"/>
        <v>88536.72</v>
      </c>
    </row>
    <row r="20" spans="1:13" x14ac:dyDescent="0.35">
      <c r="A20" t="s">
        <v>309</v>
      </c>
      <c r="B20" t="s">
        <v>274</v>
      </c>
      <c r="C20" t="s">
        <v>45</v>
      </c>
      <c r="D20" s="515">
        <v>221739798</v>
      </c>
      <c r="E20" s="517">
        <v>66628201</v>
      </c>
      <c r="F20" s="517">
        <v>1542425</v>
      </c>
      <c r="G20" s="517">
        <v>66963747</v>
      </c>
      <c r="H20" s="517">
        <v>22810</v>
      </c>
      <c r="I20" s="517">
        <v>5869669</v>
      </c>
      <c r="J20" s="517">
        <v>87767070</v>
      </c>
      <c r="K20" s="516">
        <v>342042</v>
      </c>
      <c r="L20" s="515">
        <f t="shared" si="0"/>
        <v>450510910</v>
      </c>
      <c r="M20" s="516">
        <f t="shared" si="1"/>
        <v>364852</v>
      </c>
    </row>
    <row r="21" spans="1:13" s="518" customFormat="1" x14ac:dyDescent="0.35">
      <c r="A21" s="518" t="s">
        <v>310</v>
      </c>
      <c r="B21" s="518" t="s">
        <v>270</v>
      </c>
      <c r="C21" s="518" t="s">
        <v>46</v>
      </c>
      <c r="D21" s="519">
        <v>61470226</v>
      </c>
      <c r="E21" s="520">
        <v>5116719</v>
      </c>
      <c r="F21" s="520">
        <v>152439</v>
      </c>
      <c r="G21" s="520">
        <v>3834136</v>
      </c>
      <c r="H21" s="520">
        <v>11604.848</v>
      </c>
      <c r="I21" s="520">
        <v>0</v>
      </c>
      <c r="J21" s="520">
        <v>0</v>
      </c>
      <c r="K21" s="521">
        <v>0</v>
      </c>
      <c r="L21" s="519">
        <f t="shared" si="0"/>
        <v>70573520</v>
      </c>
      <c r="M21" s="521">
        <f t="shared" si="1"/>
        <v>11604.848</v>
      </c>
    </row>
    <row r="22" spans="1:13" ht="13.15" x14ac:dyDescent="0.4">
      <c r="A22" t="s">
        <v>10</v>
      </c>
      <c r="C22" s="522" t="s">
        <v>10</v>
      </c>
      <c r="D22" s="523">
        <f t="shared" ref="D22:M22" si="2">SUM(D6:D21)</f>
        <v>1967149312.8</v>
      </c>
      <c r="E22" s="524">
        <f t="shared" si="2"/>
        <v>312238037.08099997</v>
      </c>
      <c r="F22" s="524">
        <f t="shared" si="2"/>
        <v>13255455.48</v>
      </c>
      <c r="G22" s="524">
        <f t="shared" si="2"/>
        <v>1476949060</v>
      </c>
      <c r="H22" s="524">
        <f t="shared" si="2"/>
        <v>4359777.7135000005</v>
      </c>
      <c r="I22" s="524">
        <f t="shared" si="2"/>
        <v>5869669</v>
      </c>
      <c r="J22" s="524">
        <f t="shared" si="2"/>
        <v>730271104</v>
      </c>
      <c r="K22" s="525">
        <f t="shared" si="2"/>
        <v>1628440.4580000001</v>
      </c>
      <c r="L22" s="523">
        <f t="shared" si="2"/>
        <v>4505732638.3610001</v>
      </c>
      <c r="M22" s="525">
        <f t="shared" si="2"/>
        <v>5988218.1715000011</v>
      </c>
    </row>
    <row r="26" spans="1:13" s="522" customFormat="1" ht="13.15" x14ac:dyDescent="0.4">
      <c r="C26" s="583" t="s">
        <v>493</v>
      </c>
      <c r="D26" s="583" t="s">
        <v>472</v>
      </c>
      <c r="E26" s="583" t="s">
        <v>494</v>
      </c>
    </row>
    <row r="27" spans="1:13" s="522" customFormat="1" ht="13.15" x14ac:dyDescent="0.4">
      <c r="C27" s="522" t="s">
        <v>3</v>
      </c>
      <c r="D27" s="542">
        <v>26973979.119999997</v>
      </c>
      <c r="E27" s="542">
        <v>26704239.320000004</v>
      </c>
      <c r="G27" s="630"/>
      <c r="H27" s="636" t="s">
        <v>472</v>
      </c>
      <c r="I27" s="636" t="s">
        <v>494</v>
      </c>
      <c r="J27" s="636" t="s">
        <v>1</v>
      </c>
      <c r="K27" s="637" t="s">
        <v>2</v>
      </c>
    </row>
    <row r="28" spans="1:13" s="522" customFormat="1" x14ac:dyDescent="0.35">
      <c r="C28" s="522" t="s">
        <v>465</v>
      </c>
      <c r="D28" s="542">
        <v>3406517</v>
      </c>
      <c r="E28" s="542">
        <v>3372451.8200000003</v>
      </c>
      <c r="G28" s="631" t="s">
        <v>3</v>
      </c>
      <c r="H28" s="542">
        <f>D27</f>
        <v>26973979.119999997</v>
      </c>
      <c r="I28" s="542">
        <f>E27</f>
        <v>26704239.320000004</v>
      </c>
      <c r="J28" s="632">
        <f>D22</f>
        <v>1967149312.8</v>
      </c>
      <c r="K28" s="633">
        <f>0</f>
        <v>0</v>
      </c>
    </row>
    <row r="29" spans="1:13" s="522" customFormat="1" x14ac:dyDescent="0.35">
      <c r="C29" s="522" t="s">
        <v>495</v>
      </c>
      <c r="D29" s="542">
        <v>10442029.869999999</v>
      </c>
      <c r="E29" s="542">
        <v>10337609.59</v>
      </c>
      <c r="G29" s="631" t="s">
        <v>4</v>
      </c>
      <c r="H29" s="542">
        <f>SUM(D28:D30,D34)</f>
        <v>18955898.899999999</v>
      </c>
      <c r="I29" s="542">
        <f>SUM(E28:E30,E34)</f>
        <v>18766339.920000002</v>
      </c>
      <c r="J29" s="632">
        <f>E22+F22+G22</f>
        <v>1802442552.5609999</v>
      </c>
      <c r="K29" s="634">
        <f>H22</f>
        <v>4359777.7135000005</v>
      </c>
    </row>
    <row r="30" spans="1:13" s="522" customFormat="1" x14ac:dyDescent="0.35">
      <c r="C30" s="522" t="s">
        <v>496</v>
      </c>
      <c r="D30" s="542">
        <v>4962735</v>
      </c>
      <c r="E30" s="542">
        <v>4913107.66</v>
      </c>
      <c r="G30" s="638" t="s">
        <v>47</v>
      </c>
      <c r="H30" s="639">
        <f>SUM(D31:D33)</f>
        <v>5832835.5800000001</v>
      </c>
      <c r="I30" s="639">
        <f>SUM(E31:E33)</f>
        <v>5774507.2100000009</v>
      </c>
      <c r="J30" s="640">
        <f>J22+I22</f>
        <v>736140773</v>
      </c>
      <c r="K30" s="641">
        <f>K22</f>
        <v>1628440.4580000001</v>
      </c>
    </row>
    <row r="31" spans="1:13" s="522" customFormat="1" ht="13.15" x14ac:dyDescent="0.4">
      <c r="C31" s="522" t="s">
        <v>468</v>
      </c>
      <c r="D31" s="542">
        <v>45196.460000000006</v>
      </c>
      <c r="E31" s="542">
        <v>44744.490000000005</v>
      </c>
      <c r="G31" s="642" t="s">
        <v>10</v>
      </c>
      <c r="H31" s="643">
        <f>SUM(H28:H30)</f>
        <v>51762713.599999994</v>
      </c>
      <c r="I31" s="643">
        <f>SUM(I28:I30)</f>
        <v>51245086.45000001</v>
      </c>
      <c r="J31" s="644">
        <f>SUM(J28:J30)</f>
        <v>4505732638.3610001</v>
      </c>
      <c r="K31" s="635"/>
    </row>
    <row r="32" spans="1:13" s="522" customFormat="1" x14ac:dyDescent="0.35">
      <c r="C32" s="522" t="s">
        <v>497</v>
      </c>
      <c r="D32" s="542">
        <v>3812015.16</v>
      </c>
      <c r="E32" s="542">
        <v>3773895.0100000002</v>
      </c>
    </row>
    <row r="33" spans="3:5" s="522" customFormat="1" x14ac:dyDescent="0.35">
      <c r="C33" s="522" t="s">
        <v>498</v>
      </c>
      <c r="D33" s="542">
        <v>1975623.9600000004</v>
      </c>
      <c r="E33" s="542">
        <v>1955867.71</v>
      </c>
    </row>
    <row r="34" spans="3:5" s="522" customFormat="1" x14ac:dyDescent="0.35">
      <c r="C34" s="518" t="s">
        <v>499</v>
      </c>
      <c r="D34" s="541">
        <v>144617.02999999997</v>
      </c>
      <c r="E34" s="541">
        <v>143170.85</v>
      </c>
    </row>
    <row r="35" spans="3:5" s="522" customFormat="1" ht="13.15" x14ac:dyDescent="0.4">
      <c r="C35" s="244" t="s">
        <v>10</v>
      </c>
      <c r="D35" s="543">
        <v>51762713.600000001</v>
      </c>
      <c r="E35" s="543">
        <v>51245086.450000003</v>
      </c>
    </row>
  </sheetData>
  <mergeCells count="2">
    <mergeCell ref="D4:K4"/>
    <mergeCell ref="L4:M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62E01-F800-4585-9AAA-0650B0BD9037}">
  <dimension ref="A5:Q1163"/>
  <sheetViews>
    <sheetView topLeftCell="D1" workbookViewId="0">
      <selection activeCell="K21" sqref="K21"/>
    </sheetView>
  </sheetViews>
  <sheetFormatPr defaultRowHeight="12.75" x14ac:dyDescent="0.35"/>
  <cols>
    <col min="1" max="1" width="32.3984375" customWidth="1"/>
    <col min="2" max="2" width="34.3984375" bestFit="1" customWidth="1"/>
    <col min="3" max="3" width="10.59765625" bestFit="1" customWidth="1"/>
    <col min="4" max="4" width="10" bestFit="1" customWidth="1"/>
    <col min="5" max="5" width="11" bestFit="1" customWidth="1"/>
    <col min="7" max="7" width="28" bestFit="1" customWidth="1"/>
    <col min="8" max="8" width="28" customWidth="1"/>
    <col min="9" max="9" width="12.73046875" style="537" bestFit="1" customWidth="1"/>
    <col min="10" max="10" width="12" customWidth="1"/>
    <col min="11" max="11" width="11.59765625" customWidth="1"/>
    <col min="12" max="12" width="14.3984375" customWidth="1"/>
    <col min="13" max="13" width="14.1328125" customWidth="1"/>
    <col min="14" max="14" width="11.1328125" customWidth="1"/>
  </cols>
  <sheetData>
    <row r="5" spans="1:17" x14ac:dyDescent="0.35">
      <c r="A5" s="580" t="s">
        <v>458</v>
      </c>
      <c r="B5" s="580" t="s">
        <v>301</v>
      </c>
      <c r="C5" s="580">
        <v>75209</v>
      </c>
      <c r="D5" s="580">
        <v>1.091E-2</v>
      </c>
      <c r="E5" s="580">
        <v>820.51</v>
      </c>
    </row>
    <row r="6" spans="1:17" ht="13.15" x14ac:dyDescent="0.4">
      <c r="A6" s="580" t="s">
        <v>459</v>
      </c>
      <c r="B6" s="580" t="s">
        <v>301</v>
      </c>
      <c r="C6" s="580">
        <v>203174</v>
      </c>
      <c r="D6" s="580">
        <v>7.0699999999999999E-3</v>
      </c>
      <c r="E6" s="580">
        <v>1436.42</v>
      </c>
      <c r="I6" s="980" t="s">
        <v>475</v>
      </c>
      <c r="J6" s="981"/>
      <c r="K6" s="977" t="s">
        <v>474</v>
      </c>
      <c r="L6" s="978"/>
      <c r="M6" s="979"/>
    </row>
    <row r="7" spans="1:17" ht="13.15" x14ac:dyDescent="0.4">
      <c r="A7" s="580" t="s">
        <v>460</v>
      </c>
      <c r="B7" s="580" t="s">
        <v>301</v>
      </c>
      <c r="C7" s="580">
        <v>566</v>
      </c>
      <c r="D7" s="580">
        <v>1.1382699999999999</v>
      </c>
      <c r="E7" s="580">
        <v>644.26</v>
      </c>
      <c r="H7" s="600" t="s">
        <v>295</v>
      </c>
      <c r="I7" s="584" t="s">
        <v>472</v>
      </c>
      <c r="J7" s="585" t="s">
        <v>473</v>
      </c>
      <c r="K7" s="591" t="s">
        <v>283</v>
      </c>
      <c r="L7" s="592" t="s">
        <v>450</v>
      </c>
      <c r="M7" s="585" t="s">
        <v>0</v>
      </c>
      <c r="N7" s="596" t="s">
        <v>216</v>
      </c>
      <c r="P7" s="606"/>
    </row>
    <row r="8" spans="1:17" x14ac:dyDescent="0.35">
      <c r="A8" s="580" t="s">
        <v>461</v>
      </c>
      <c r="B8" s="580" t="s">
        <v>304</v>
      </c>
      <c r="C8" s="580">
        <v>10441</v>
      </c>
      <c r="D8" s="580">
        <v>9.6600000000000002E-3</v>
      </c>
      <c r="E8" s="580">
        <v>100.83</v>
      </c>
      <c r="G8" t="s">
        <v>303</v>
      </c>
      <c r="H8" s="601" t="s">
        <v>3</v>
      </c>
      <c r="I8" s="586">
        <f>SUMIF(A$5:A$1086,G8,E$5:E$1086)</f>
        <v>27007335.829999991</v>
      </c>
      <c r="J8" s="587">
        <f>I8*0.99</f>
        <v>26737262.47169999</v>
      </c>
      <c r="K8" s="593">
        <v>1.371E-2</v>
      </c>
      <c r="L8" s="517">
        <v>1931666733</v>
      </c>
      <c r="M8" s="587">
        <f>L8*K8</f>
        <v>26483150.909430001</v>
      </c>
      <c r="N8" s="597">
        <f>I8-M8</f>
        <v>524184.92056998983</v>
      </c>
      <c r="P8" s="607">
        <f>J8/J$16</f>
        <v>0.52180992167283946</v>
      </c>
      <c r="Q8" s="540">
        <f>J21/J$29</f>
        <v>0.51643047810191067</v>
      </c>
    </row>
    <row r="9" spans="1:17" x14ac:dyDescent="0.35">
      <c r="A9" s="580" t="s">
        <v>303</v>
      </c>
      <c r="B9" s="580" t="s">
        <v>303</v>
      </c>
      <c r="C9" s="580">
        <v>998607</v>
      </c>
      <c r="D9" s="580">
        <v>1.413E-2</v>
      </c>
      <c r="E9" s="580">
        <v>14110.32</v>
      </c>
      <c r="G9" s="580" t="s">
        <v>458</v>
      </c>
      <c r="H9" s="602" t="s">
        <v>465</v>
      </c>
      <c r="I9" s="586">
        <f t="shared" ref="I9:I15" si="0">SUMIF(A$5:A$1086,G9,E$5:E$1086)</f>
        <v>3408238.69</v>
      </c>
      <c r="J9" s="587">
        <f t="shared" ref="J9:J15" si="1">I9*0.99</f>
        <v>3374156.3031000001</v>
      </c>
      <c r="K9" s="593">
        <v>1.091E-2</v>
      </c>
      <c r="L9" s="517">
        <v>319431730.98045254</v>
      </c>
      <c r="M9" s="587">
        <f t="shared" ref="M9:M14" si="2">L9*K9</f>
        <v>3485000.1849967372</v>
      </c>
      <c r="N9" s="597">
        <f t="shared" ref="N9:N15" si="3">I9-M9</f>
        <v>-76761.494996737223</v>
      </c>
      <c r="P9" s="607">
        <f t="shared" ref="P9:P14" si="4">J9/J$16</f>
        <v>6.5850729411663034E-2</v>
      </c>
      <c r="Q9" s="540">
        <f t="shared" ref="Q9:Q14" si="5">J22/J$29</f>
        <v>6.5406662860011788E-2</v>
      </c>
    </row>
    <row r="10" spans="1:17" x14ac:dyDescent="0.35">
      <c r="A10" s="580" t="s">
        <v>303</v>
      </c>
      <c r="B10" s="580" t="s">
        <v>303</v>
      </c>
      <c r="C10" s="580">
        <v>994345</v>
      </c>
      <c r="D10" s="580">
        <v>1.30206E-2</v>
      </c>
      <c r="E10" s="580">
        <v>12946.97</v>
      </c>
      <c r="G10" t="s">
        <v>459</v>
      </c>
      <c r="H10" s="601" t="s">
        <v>466</v>
      </c>
      <c r="I10" s="586">
        <f t="shared" si="0"/>
        <v>10441994.230000002</v>
      </c>
      <c r="J10" s="587">
        <f t="shared" si="1"/>
        <v>10337574.287700003</v>
      </c>
      <c r="K10" s="593">
        <v>7.0699999999999999E-3</v>
      </c>
      <c r="L10" s="517">
        <v>1520551690.2210946</v>
      </c>
      <c r="M10" s="587">
        <f t="shared" si="2"/>
        <v>10750300.44986314</v>
      </c>
      <c r="N10" s="597">
        <f t="shared" si="3"/>
        <v>-308306.21986313723</v>
      </c>
      <c r="P10" s="607">
        <f t="shared" si="4"/>
        <v>0.20175022910671694</v>
      </c>
      <c r="Q10" s="540">
        <f t="shared" si="5"/>
        <v>0.20176219220736991</v>
      </c>
    </row>
    <row r="11" spans="1:17" x14ac:dyDescent="0.35">
      <c r="A11" s="580" t="s">
        <v>458</v>
      </c>
      <c r="B11" s="580" t="s">
        <v>301</v>
      </c>
      <c r="C11" s="580">
        <v>79216</v>
      </c>
      <c r="D11" s="580">
        <v>1.091E-2</v>
      </c>
      <c r="E11" s="580">
        <v>864.25</v>
      </c>
      <c r="G11" t="s">
        <v>460</v>
      </c>
      <c r="H11" s="601" t="s">
        <v>467</v>
      </c>
      <c r="I11" s="586">
        <f t="shared" si="0"/>
        <v>4919859.1099999985</v>
      </c>
      <c r="J11" s="587">
        <f t="shared" si="1"/>
        <v>4870660.5188999986</v>
      </c>
      <c r="K11" s="593">
        <v>1.1383000000000001</v>
      </c>
      <c r="L11" s="517">
        <v>4836803.5036409758</v>
      </c>
      <c r="M11" s="587">
        <f t="shared" si="2"/>
        <v>5505733.4281945229</v>
      </c>
      <c r="N11" s="597">
        <f t="shared" si="3"/>
        <v>-585874.31819452439</v>
      </c>
      <c r="P11" s="607">
        <f t="shared" si="4"/>
        <v>9.5056813933449946E-2</v>
      </c>
      <c r="Q11" s="540">
        <f t="shared" si="5"/>
        <v>0.10333188838420487</v>
      </c>
    </row>
    <row r="12" spans="1:17" x14ac:dyDescent="0.35">
      <c r="A12" s="580" t="s">
        <v>459</v>
      </c>
      <c r="B12" s="580" t="s">
        <v>301</v>
      </c>
      <c r="C12" s="580">
        <v>190447</v>
      </c>
      <c r="D12" s="580">
        <v>7.0699999999999999E-3</v>
      </c>
      <c r="E12" s="580">
        <v>1346.46</v>
      </c>
      <c r="G12" t="s">
        <v>464</v>
      </c>
      <c r="H12" s="601" t="s">
        <v>468</v>
      </c>
      <c r="I12" s="586">
        <f t="shared" si="0"/>
        <v>45196.460000000006</v>
      </c>
      <c r="J12" s="587">
        <f t="shared" si="1"/>
        <v>44744.495400000007</v>
      </c>
      <c r="K12" s="593">
        <v>7.7000000000000002E-3</v>
      </c>
      <c r="L12" s="517">
        <v>9972776</v>
      </c>
      <c r="M12" s="587">
        <f t="shared" si="2"/>
        <v>76790.375200000009</v>
      </c>
      <c r="N12" s="597">
        <f t="shared" si="3"/>
        <v>-31593.915200000003</v>
      </c>
      <c r="P12" s="607">
        <f t="shared" si="4"/>
        <v>8.7324278858680879E-4</v>
      </c>
      <c r="Q12" s="540">
        <f t="shared" si="5"/>
        <v>1.5877345685566795E-3</v>
      </c>
    </row>
    <row r="13" spans="1:17" x14ac:dyDescent="0.35">
      <c r="A13" s="580" t="s">
        <v>461</v>
      </c>
      <c r="B13" s="580" t="s">
        <v>304</v>
      </c>
      <c r="C13" s="580">
        <v>10441</v>
      </c>
      <c r="D13" s="580">
        <v>9.6600000000000002E-3</v>
      </c>
      <c r="E13" s="580">
        <v>100.83</v>
      </c>
      <c r="G13" t="s">
        <v>463</v>
      </c>
      <c r="H13" s="601" t="s">
        <v>469</v>
      </c>
      <c r="I13" s="586">
        <f t="shared" si="0"/>
        <v>3814580.8000000007</v>
      </c>
      <c r="J13" s="587">
        <f t="shared" si="1"/>
        <v>3776434.9920000006</v>
      </c>
      <c r="K13" s="593">
        <v>5.2199999999999998E-3</v>
      </c>
      <c r="L13" s="517">
        <v>703687893</v>
      </c>
      <c r="M13" s="587">
        <f t="shared" si="2"/>
        <v>3673250.8014599998</v>
      </c>
      <c r="N13" s="597">
        <f t="shared" si="3"/>
        <v>141329.99854000099</v>
      </c>
      <c r="P13" s="607">
        <f t="shared" si="4"/>
        <v>7.3701683164604043E-2</v>
      </c>
      <c r="Q13" s="540">
        <f t="shared" si="5"/>
        <v>7.5948935804347639E-2</v>
      </c>
    </row>
    <row r="14" spans="1:17" x14ac:dyDescent="0.35">
      <c r="A14" s="580" t="s">
        <v>460</v>
      </c>
      <c r="B14" s="580" t="s">
        <v>301</v>
      </c>
      <c r="C14" s="580">
        <v>600</v>
      </c>
      <c r="D14" s="580">
        <v>1.1382699999999999</v>
      </c>
      <c r="E14" s="580">
        <v>682.96</v>
      </c>
      <c r="G14" t="s">
        <v>462</v>
      </c>
      <c r="H14" s="601" t="s">
        <v>470</v>
      </c>
      <c r="I14" s="586">
        <f t="shared" si="0"/>
        <v>1975622.3299999998</v>
      </c>
      <c r="J14" s="587">
        <f t="shared" si="1"/>
        <v>1955866.1066999999</v>
      </c>
      <c r="K14" s="593">
        <v>1.2132000000000001</v>
      </c>
      <c r="L14" s="517">
        <v>1416502.88</v>
      </c>
      <c r="M14" s="587">
        <f t="shared" si="2"/>
        <v>1718501.2940159999</v>
      </c>
      <c r="N14" s="597">
        <f t="shared" si="3"/>
        <v>257121.03598399996</v>
      </c>
      <c r="P14" s="607">
        <f t="shared" si="4"/>
        <v>3.8171085802816598E-2</v>
      </c>
      <c r="Q14" s="540">
        <f t="shared" si="5"/>
        <v>3.5532108073598641E-2</v>
      </c>
    </row>
    <row r="15" spans="1:17" x14ac:dyDescent="0.35">
      <c r="A15" s="580" t="s">
        <v>303</v>
      </c>
      <c r="B15" s="580" t="s">
        <v>303</v>
      </c>
      <c r="C15" s="580">
        <v>855969</v>
      </c>
      <c r="D15" s="580">
        <v>1.371E-2</v>
      </c>
      <c r="E15" s="580">
        <v>11735.33</v>
      </c>
      <c r="G15" t="s">
        <v>461</v>
      </c>
      <c r="H15" s="603" t="s">
        <v>471</v>
      </c>
      <c r="I15" s="588">
        <f t="shared" si="0"/>
        <v>144210.33000000002</v>
      </c>
      <c r="J15" s="598">
        <f t="shared" si="1"/>
        <v>142768.22670000003</v>
      </c>
      <c r="K15" s="593">
        <f>K9</f>
        <v>1.091E-2</v>
      </c>
      <c r="L15" s="517"/>
      <c r="M15" s="594"/>
      <c r="N15" s="599">
        <f t="shared" si="3"/>
        <v>144210.33000000002</v>
      </c>
    </row>
    <row r="16" spans="1:17" ht="13.15" x14ac:dyDescent="0.4">
      <c r="A16" s="580" t="s">
        <v>458</v>
      </c>
      <c r="B16" s="580" t="s">
        <v>301</v>
      </c>
      <c r="C16" s="580">
        <v>86482</v>
      </c>
      <c r="D16" s="580">
        <v>1.091E-2</v>
      </c>
      <c r="E16" s="580">
        <v>943.52</v>
      </c>
      <c r="H16" s="604" t="s">
        <v>316</v>
      </c>
      <c r="I16" s="589">
        <f>SUM(I8:I15)</f>
        <v>51757037.779999986</v>
      </c>
      <c r="J16" s="590">
        <f>SUM(J8:J15)</f>
        <v>51239467.402199991</v>
      </c>
      <c r="K16" s="595"/>
      <c r="L16" s="240"/>
      <c r="M16" s="590">
        <f>SUM(M8:M15)</f>
        <v>51692727.4431604</v>
      </c>
      <c r="N16" s="605">
        <f>SUM(N8:N15)</f>
        <v>64310.336839591968</v>
      </c>
    </row>
    <row r="17" spans="1:16" x14ac:dyDescent="0.35">
      <c r="A17" s="580" t="s">
        <v>459</v>
      </c>
      <c r="B17" s="580" t="s">
        <v>301</v>
      </c>
      <c r="C17" s="580">
        <v>173739</v>
      </c>
      <c r="D17" s="580">
        <v>7.0699999999999999E-3</v>
      </c>
      <c r="E17" s="580">
        <v>1228.3399999999999</v>
      </c>
    </row>
    <row r="18" spans="1:16" x14ac:dyDescent="0.35">
      <c r="A18" s="580" t="s">
        <v>460</v>
      </c>
      <c r="B18" s="580" t="s">
        <v>301</v>
      </c>
      <c r="C18" s="580">
        <v>578</v>
      </c>
      <c r="D18" s="580">
        <v>1.1383000000000001</v>
      </c>
      <c r="E18" s="580">
        <v>657.94</v>
      </c>
    </row>
    <row r="19" spans="1:16" ht="13.15" x14ac:dyDescent="0.4">
      <c r="A19" s="580" t="s">
        <v>461</v>
      </c>
      <c r="B19" s="580" t="s">
        <v>304</v>
      </c>
      <c r="C19" s="580">
        <v>10703</v>
      </c>
      <c r="D19" s="580">
        <v>9.6506000000000005E-3</v>
      </c>
      <c r="E19" s="580">
        <v>103.29</v>
      </c>
      <c r="I19" s="980" t="s">
        <v>476</v>
      </c>
      <c r="J19" s="981"/>
      <c r="K19" s="977" t="s">
        <v>477</v>
      </c>
      <c r="L19" s="978"/>
      <c r="M19" s="979"/>
      <c r="P19">
        <v>2021</v>
      </c>
    </row>
    <row r="20" spans="1:16" ht="13.15" x14ac:dyDescent="0.4">
      <c r="A20" s="580" t="s">
        <v>303</v>
      </c>
      <c r="B20" s="580" t="s">
        <v>303</v>
      </c>
      <c r="C20" s="580">
        <v>757868</v>
      </c>
      <c r="D20" s="580">
        <v>1.371E-2</v>
      </c>
      <c r="E20" s="580">
        <v>10390.370000000001</v>
      </c>
      <c r="H20" s="600" t="s">
        <v>295</v>
      </c>
      <c r="I20" s="584" t="s">
        <v>472</v>
      </c>
      <c r="J20" s="585" t="s">
        <v>473</v>
      </c>
      <c r="K20" s="591" t="s">
        <v>283</v>
      </c>
      <c r="L20" s="592" t="s">
        <v>450</v>
      </c>
      <c r="M20" s="585" t="s">
        <v>0</v>
      </c>
      <c r="N20" s="596" t="s">
        <v>216</v>
      </c>
      <c r="P20" s="606" t="s">
        <v>484</v>
      </c>
    </row>
    <row r="21" spans="1:16" x14ac:dyDescent="0.35">
      <c r="A21" s="580" t="s">
        <v>458</v>
      </c>
      <c r="B21" s="580" t="s">
        <v>301</v>
      </c>
      <c r="C21" s="580">
        <v>69236</v>
      </c>
      <c r="D21" s="580">
        <v>1.091E-2</v>
      </c>
      <c r="E21" s="580">
        <v>755.36</v>
      </c>
      <c r="H21" s="601" t="s">
        <v>3</v>
      </c>
      <c r="I21" s="586">
        <f>J21/0.99</f>
        <v>23639020.602153454</v>
      </c>
      <c r="J21" s="587">
        <v>23402630.396131918</v>
      </c>
      <c r="K21" s="593">
        <v>1.188E-2</v>
      </c>
      <c r="L21" s="517">
        <v>2017249821</v>
      </c>
      <c r="M21" s="587">
        <f>L21*K21</f>
        <v>23964927.87348</v>
      </c>
      <c r="N21" s="597">
        <f>I21-M21</f>
        <v>-325907.27132654563</v>
      </c>
    </row>
    <row r="22" spans="1:16" x14ac:dyDescent="0.35">
      <c r="A22" s="580" t="s">
        <v>459</v>
      </c>
      <c r="B22" s="580" t="s">
        <v>301</v>
      </c>
      <c r="C22" s="580">
        <v>181164</v>
      </c>
      <c r="D22" s="580">
        <v>7.0699999999999999E-3</v>
      </c>
      <c r="E22" s="580">
        <v>1280.83</v>
      </c>
      <c r="H22" s="602" t="s">
        <v>465</v>
      </c>
      <c r="I22" s="586">
        <f t="shared" ref="I22:I27" si="6">J22/0.99</f>
        <v>2993915.9604767007</v>
      </c>
      <c r="J22" s="587">
        <f>M34*J$34</f>
        <v>2963976.8008719338</v>
      </c>
      <c r="K22" s="593">
        <v>1.0240000000000001E-2</v>
      </c>
      <c r="L22" s="517">
        <v>321595151.15507054</v>
      </c>
      <c r="M22" s="587">
        <f t="shared" ref="M22:M27" si="7">L22*K22</f>
        <v>3293134.3478279226</v>
      </c>
      <c r="N22" s="597">
        <f t="shared" ref="N22:N28" si="8">I22-M22</f>
        <v>-299218.38735122187</v>
      </c>
    </row>
    <row r="23" spans="1:16" x14ac:dyDescent="0.35">
      <c r="A23" s="580" t="s">
        <v>460</v>
      </c>
      <c r="B23" s="580" t="s">
        <v>301</v>
      </c>
      <c r="C23" s="580">
        <v>574</v>
      </c>
      <c r="D23" s="580">
        <v>1.1383000000000001</v>
      </c>
      <c r="E23" s="580">
        <v>653.38</v>
      </c>
      <c r="H23" s="601" t="s">
        <v>466</v>
      </c>
      <c r="I23" s="586">
        <f t="shared" si="6"/>
        <v>9235435.9794087764</v>
      </c>
      <c r="J23" s="587">
        <f t="shared" ref="J23:J24" si="9">M35*J$34</f>
        <v>9143081.6196146887</v>
      </c>
      <c r="K23" s="593">
        <v>6.62E-3</v>
      </c>
      <c r="L23" s="517">
        <v>1533131323.1644192</v>
      </c>
      <c r="M23" s="587">
        <f t="shared" si="7"/>
        <v>10149329.359348455</v>
      </c>
      <c r="N23" s="597">
        <f t="shared" si="8"/>
        <v>-913893.37993967906</v>
      </c>
    </row>
    <row r="24" spans="1:16" x14ac:dyDescent="0.35">
      <c r="A24" s="580" t="s">
        <v>461</v>
      </c>
      <c r="B24" s="580" t="s">
        <v>304</v>
      </c>
      <c r="C24" s="580">
        <v>9206</v>
      </c>
      <c r="D24" s="580">
        <v>1.091E-2</v>
      </c>
      <c r="E24" s="580">
        <v>100.44</v>
      </c>
      <c r="H24" s="601" t="s">
        <v>467</v>
      </c>
      <c r="I24" s="586">
        <f t="shared" si="6"/>
        <v>4729900.2323631495</v>
      </c>
      <c r="J24" s="587">
        <f t="shared" si="9"/>
        <v>4682601.2300395183</v>
      </c>
      <c r="K24" s="593">
        <v>1.13825</v>
      </c>
      <c r="L24" s="517">
        <v>4871856.7607075162</v>
      </c>
      <c r="M24" s="587">
        <f t="shared" si="7"/>
        <v>5545390.95787533</v>
      </c>
      <c r="N24" s="597">
        <f t="shared" si="8"/>
        <v>-815490.72551218048</v>
      </c>
    </row>
    <row r="25" spans="1:16" x14ac:dyDescent="0.35">
      <c r="A25" s="580" t="s">
        <v>461</v>
      </c>
      <c r="B25" s="580" t="s">
        <v>304</v>
      </c>
      <c r="C25" s="580">
        <v>9206</v>
      </c>
      <c r="D25" s="580">
        <v>1.091E-2</v>
      </c>
      <c r="E25" s="580">
        <v>100.44</v>
      </c>
      <c r="H25" s="601" t="s">
        <v>468</v>
      </c>
      <c r="I25" s="586">
        <f t="shared" si="6"/>
        <v>72676.752764107834</v>
      </c>
      <c r="J25" s="587">
        <f>J$35*M37</f>
        <v>71949.98523646676</v>
      </c>
      <c r="K25" s="593">
        <v>7.5700000000000003E-3</v>
      </c>
      <c r="L25" s="517">
        <v>8702978</v>
      </c>
      <c r="M25" s="587">
        <f t="shared" si="7"/>
        <v>65881.543460000001</v>
      </c>
      <c r="N25" s="597">
        <f t="shared" si="8"/>
        <v>6795.2093041078333</v>
      </c>
    </row>
    <row r="26" spans="1:16" x14ac:dyDescent="0.35">
      <c r="A26" s="580" t="s">
        <v>460</v>
      </c>
      <c r="B26" s="580" t="s">
        <v>301</v>
      </c>
      <c r="C26" s="580">
        <v>626</v>
      </c>
      <c r="D26" s="580">
        <v>1.1383000000000001</v>
      </c>
      <c r="E26" s="580">
        <v>712.58</v>
      </c>
      <c r="H26" s="601" t="s">
        <v>469</v>
      </c>
      <c r="I26" s="586">
        <f t="shared" si="6"/>
        <v>3476476.5720049422</v>
      </c>
      <c r="J26" s="587">
        <f t="shared" ref="J26:J27" si="10">J$35*M38</f>
        <v>3441711.8062848928</v>
      </c>
      <c r="K26" s="593">
        <v>5.2100000000000002E-3</v>
      </c>
      <c r="L26" s="517">
        <v>714469990</v>
      </c>
      <c r="M26" s="587">
        <f t="shared" si="7"/>
        <v>3722388.6479000002</v>
      </c>
      <c r="N26" s="597">
        <f t="shared" si="8"/>
        <v>-245912.07589505799</v>
      </c>
    </row>
    <row r="27" spans="1:16" x14ac:dyDescent="0.35">
      <c r="A27" s="580" t="s">
        <v>459</v>
      </c>
      <c r="B27" s="580" t="s">
        <v>301</v>
      </c>
      <c r="C27" s="580">
        <v>218053</v>
      </c>
      <c r="D27" s="580">
        <v>7.0699999999999999E-3</v>
      </c>
      <c r="E27" s="580">
        <v>1541.64</v>
      </c>
      <c r="H27" s="601" t="s">
        <v>470</v>
      </c>
      <c r="I27" s="586">
        <f t="shared" si="6"/>
        <v>1626442.0292870272</v>
      </c>
      <c r="J27" s="587">
        <f t="shared" si="10"/>
        <v>1610177.6089941568</v>
      </c>
      <c r="K27" s="593">
        <v>1.21316</v>
      </c>
      <c r="L27" s="517">
        <v>1390845.426</v>
      </c>
      <c r="M27" s="587">
        <f t="shared" si="7"/>
        <v>1687318.03700616</v>
      </c>
      <c r="N27" s="597">
        <f t="shared" si="8"/>
        <v>-60876.007719132816</v>
      </c>
    </row>
    <row r="28" spans="1:16" x14ac:dyDescent="0.35">
      <c r="A28" s="580" t="s">
        <v>458</v>
      </c>
      <c r="B28" s="580" t="s">
        <v>301</v>
      </c>
      <c r="C28" s="580">
        <v>127295</v>
      </c>
      <c r="D28" s="580">
        <v>1.091E-2</v>
      </c>
      <c r="E28" s="580">
        <v>1388.79</v>
      </c>
      <c r="H28" s="603" t="s">
        <v>471</v>
      </c>
      <c r="I28" s="588">
        <v>0</v>
      </c>
      <c r="J28" s="598">
        <f t="shared" ref="J28" si="11">I28*0.99</f>
        <v>0</v>
      </c>
      <c r="K28" s="593">
        <f>K22</f>
        <v>1.0240000000000001E-2</v>
      </c>
      <c r="L28" s="517"/>
      <c r="M28" s="594"/>
      <c r="N28" s="599">
        <f t="shared" si="8"/>
        <v>0</v>
      </c>
    </row>
    <row r="29" spans="1:16" ht="13.15" x14ac:dyDescent="0.4">
      <c r="A29" s="580" t="s">
        <v>303</v>
      </c>
      <c r="B29" s="580" t="s">
        <v>303</v>
      </c>
      <c r="C29" s="580">
        <v>839500</v>
      </c>
      <c r="D29" s="580">
        <v>1.371E-2</v>
      </c>
      <c r="E29" s="580">
        <v>11509.54</v>
      </c>
      <c r="H29" s="604" t="s">
        <v>316</v>
      </c>
      <c r="I29" s="589">
        <f>SUM(I21:I28)</f>
        <v>45773868.128458157</v>
      </c>
      <c r="J29" s="590">
        <f>SUM(J21:J28)</f>
        <v>45316129.447173566</v>
      </c>
      <c r="K29" s="595"/>
      <c r="L29" s="240"/>
      <c r="M29" s="590">
        <f>SUM(M21:M28)</f>
        <v>48428370.766897865</v>
      </c>
      <c r="N29" s="605">
        <f>SUM(N21:N28)</f>
        <v>-2654502.6384397103</v>
      </c>
    </row>
    <row r="30" spans="1:16" x14ac:dyDescent="0.35">
      <c r="A30" s="580" t="s">
        <v>460</v>
      </c>
      <c r="B30" s="580" t="s">
        <v>301</v>
      </c>
      <c r="C30" s="580">
        <v>564</v>
      </c>
      <c r="D30" s="580">
        <v>1.1383156000000001</v>
      </c>
      <c r="E30" s="580">
        <v>642.01</v>
      </c>
    </row>
    <row r="31" spans="1:16" x14ac:dyDescent="0.35">
      <c r="A31" s="580" t="s">
        <v>461</v>
      </c>
      <c r="B31" s="580" t="s">
        <v>304</v>
      </c>
      <c r="C31" s="580">
        <v>9503</v>
      </c>
      <c r="D31" s="580">
        <v>1.091E-2</v>
      </c>
      <c r="E31" s="580">
        <v>103.68</v>
      </c>
    </row>
    <row r="32" spans="1:16" x14ac:dyDescent="0.35">
      <c r="A32" s="580" t="s">
        <v>459</v>
      </c>
      <c r="B32" s="580" t="s">
        <v>301</v>
      </c>
      <c r="C32" s="580">
        <v>163173</v>
      </c>
      <c r="D32" s="580">
        <v>7.0699999999999999E-3</v>
      </c>
      <c r="E32" s="580">
        <v>1153.6300000000001</v>
      </c>
    </row>
    <row r="33" spans="1:13" x14ac:dyDescent="0.35">
      <c r="A33" s="580" t="s">
        <v>458</v>
      </c>
      <c r="B33" s="580" t="s">
        <v>301</v>
      </c>
      <c r="C33" s="580">
        <v>101117</v>
      </c>
      <c r="D33" s="580">
        <v>1.091E-2</v>
      </c>
      <c r="E33" s="580">
        <v>1103.19</v>
      </c>
    </row>
    <row r="34" spans="1:13" x14ac:dyDescent="0.35">
      <c r="A34" s="580" t="s">
        <v>303</v>
      </c>
      <c r="B34" s="580" t="s">
        <v>303</v>
      </c>
      <c r="C34" s="580">
        <v>804055</v>
      </c>
      <c r="D34" s="580">
        <v>1.371E-2</v>
      </c>
      <c r="E34" s="580">
        <v>11023.6</v>
      </c>
      <c r="J34">
        <v>16789659.65052614</v>
      </c>
      <c r="L34" s="522" t="s">
        <v>478</v>
      </c>
      <c r="M34" s="565">
        <f>M9/SUM(M$9:M$11)</f>
        <v>0.17653584781148624</v>
      </c>
    </row>
    <row r="35" spans="1:13" x14ac:dyDescent="0.35">
      <c r="A35" s="580" t="s">
        <v>303</v>
      </c>
      <c r="B35" s="580" t="s">
        <v>303</v>
      </c>
      <c r="C35" s="580">
        <v>674248</v>
      </c>
      <c r="D35" s="580">
        <v>1.371E-2</v>
      </c>
      <c r="E35" s="580">
        <v>9243.94</v>
      </c>
      <c r="J35">
        <v>5123839.4005155163</v>
      </c>
      <c r="L35" s="522" t="s">
        <v>480</v>
      </c>
      <c r="M35" s="565">
        <f t="shared" ref="M35:M36" si="12">M10/SUM(M$9:M$11)</f>
        <v>0.54456622766192708</v>
      </c>
    </row>
    <row r="36" spans="1:13" x14ac:dyDescent="0.35">
      <c r="A36" s="580" t="s">
        <v>458</v>
      </c>
      <c r="B36" s="580" t="s">
        <v>301</v>
      </c>
      <c r="C36" s="580">
        <v>99176</v>
      </c>
      <c r="D36" s="580">
        <v>1.091E-2</v>
      </c>
      <c r="E36" s="580">
        <v>1082.01</v>
      </c>
      <c r="L36" s="522" t="s">
        <v>479</v>
      </c>
      <c r="M36" s="565">
        <f t="shared" si="12"/>
        <v>0.27889792452658674</v>
      </c>
    </row>
    <row r="37" spans="1:13" x14ac:dyDescent="0.35">
      <c r="A37" s="580" t="s">
        <v>459</v>
      </c>
      <c r="B37" s="580" t="s">
        <v>301</v>
      </c>
      <c r="C37" s="580">
        <v>165212</v>
      </c>
      <c r="D37" s="580">
        <v>7.0699999999999999E-3</v>
      </c>
      <c r="E37" s="580">
        <v>1168.05</v>
      </c>
      <c r="L37" s="522" t="s">
        <v>481</v>
      </c>
      <c r="M37" s="565">
        <f>M12/SUM(M$12:M$14)</f>
        <v>1.4042201484540631E-2</v>
      </c>
    </row>
    <row r="38" spans="1:13" x14ac:dyDescent="0.35">
      <c r="A38" s="580" t="s">
        <v>460</v>
      </c>
      <c r="B38" s="580" t="s">
        <v>301</v>
      </c>
      <c r="C38" s="580">
        <v>626</v>
      </c>
      <c r="D38" s="580">
        <v>1.1383156000000001</v>
      </c>
      <c r="E38" s="580">
        <v>712.59</v>
      </c>
      <c r="L38" s="522" t="s">
        <v>482</v>
      </c>
      <c r="M38" s="565">
        <f t="shared" ref="M38:M39" si="13">M13/SUM(M$12:M$14)</f>
        <v>0.67170563658545146</v>
      </c>
    </row>
    <row r="39" spans="1:13" x14ac:dyDescent="0.35">
      <c r="A39" s="580" t="s">
        <v>461</v>
      </c>
      <c r="B39" s="580" t="s">
        <v>304</v>
      </c>
      <c r="C39" s="580">
        <v>9206</v>
      </c>
      <c r="D39" s="580">
        <v>1.091E-2</v>
      </c>
      <c r="E39" s="580">
        <v>100.44</v>
      </c>
      <c r="L39" s="522" t="s">
        <v>483</v>
      </c>
      <c r="M39" s="565">
        <f t="shared" si="13"/>
        <v>0.31425216193000793</v>
      </c>
    </row>
    <row r="40" spans="1:13" x14ac:dyDescent="0.35">
      <c r="A40" s="580" t="s">
        <v>460</v>
      </c>
      <c r="B40" s="580" t="s">
        <v>301</v>
      </c>
      <c r="C40" s="580">
        <v>727</v>
      </c>
      <c r="D40" s="580">
        <v>1.1383156000000001</v>
      </c>
      <c r="E40" s="580">
        <v>827.56</v>
      </c>
    </row>
    <row r="41" spans="1:13" x14ac:dyDescent="0.35">
      <c r="A41" s="580" t="s">
        <v>461</v>
      </c>
      <c r="B41" s="580" t="s">
        <v>304</v>
      </c>
      <c r="C41" s="580">
        <v>9269</v>
      </c>
      <c r="D41" s="580">
        <v>1.0910599999999999E-2</v>
      </c>
      <c r="E41" s="580">
        <v>101.13</v>
      </c>
    </row>
    <row r="42" spans="1:13" x14ac:dyDescent="0.35">
      <c r="A42" s="580" t="s">
        <v>459</v>
      </c>
      <c r="B42" s="580" t="s">
        <v>301</v>
      </c>
      <c r="C42" s="580">
        <v>268808</v>
      </c>
      <c r="D42" s="580">
        <v>7.0699999999999999E-3</v>
      </c>
      <c r="E42" s="580">
        <v>1900.47</v>
      </c>
    </row>
    <row r="43" spans="1:13" x14ac:dyDescent="0.35">
      <c r="A43" s="580" t="s">
        <v>458</v>
      </c>
      <c r="B43" s="580" t="s">
        <v>301</v>
      </c>
      <c r="C43" s="580">
        <v>79597</v>
      </c>
      <c r="D43" s="580">
        <v>1.091E-2</v>
      </c>
      <c r="E43" s="580">
        <v>868.4</v>
      </c>
    </row>
    <row r="44" spans="1:13" x14ac:dyDescent="0.35">
      <c r="A44" s="580" t="s">
        <v>303</v>
      </c>
      <c r="B44" s="580" t="s">
        <v>303</v>
      </c>
      <c r="C44" s="580">
        <v>774225</v>
      </c>
      <c r="D44" s="580">
        <v>1.371E-2</v>
      </c>
      <c r="E44" s="580">
        <v>10614.62</v>
      </c>
    </row>
    <row r="45" spans="1:13" x14ac:dyDescent="0.35">
      <c r="A45" s="580" t="s">
        <v>458</v>
      </c>
      <c r="B45" s="580" t="s">
        <v>301</v>
      </c>
      <c r="C45" s="580">
        <v>126447</v>
      </c>
      <c r="D45" s="580">
        <v>1.09099E-2</v>
      </c>
      <c r="E45" s="580">
        <v>1379.53</v>
      </c>
    </row>
    <row r="46" spans="1:13" x14ac:dyDescent="0.35">
      <c r="A46" s="580" t="s">
        <v>459</v>
      </c>
      <c r="B46" s="580" t="s">
        <v>301</v>
      </c>
      <c r="C46" s="580">
        <v>218410</v>
      </c>
      <c r="D46" s="580">
        <v>7.0699999999999999E-3</v>
      </c>
      <c r="E46" s="580">
        <v>1544.16</v>
      </c>
    </row>
    <row r="47" spans="1:13" x14ac:dyDescent="0.35">
      <c r="A47" s="580" t="s">
        <v>460</v>
      </c>
      <c r="B47" s="580" t="s">
        <v>301</v>
      </c>
      <c r="C47" s="580">
        <v>713</v>
      </c>
      <c r="D47" s="580">
        <v>1.1382749000000001</v>
      </c>
      <c r="E47" s="580">
        <v>811.59</v>
      </c>
    </row>
    <row r="48" spans="1:13" x14ac:dyDescent="0.35">
      <c r="A48" s="580" t="s">
        <v>461</v>
      </c>
      <c r="B48" s="580" t="s">
        <v>304</v>
      </c>
      <c r="C48" s="580">
        <v>9566</v>
      </c>
      <c r="D48" s="580">
        <v>1.0910599999999999E-2</v>
      </c>
      <c r="E48" s="580">
        <v>104.37</v>
      </c>
    </row>
    <row r="49" spans="1:5" x14ac:dyDescent="0.35">
      <c r="A49" s="580" t="s">
        <v>303</v>
      </c>
      <c r="B49" s="580" t="s">
        <v>303</v>
      </c>
      <c r="C49" s="580">
        <v>1051264</v>
      </c>
      <c r="D49" s="580">
        <v>1.371E-2</v>
      </c>
      <c r="E49" s="580">
        <v>14412.83</v>
      </c>
    </row>
    <row r="50" spans="1:5" x14ac:dyDescent="0.35">
      <c r="A50" s="580" t="s">
        <v>461</v>
      </c>
      <c r="B50" s="580" t="s">
        <v>304</v>
      </c>
      <c r="C50" s="580">
        <v>9341</v>
      </c>
      <c r="D50" s="580">
        <v>1.091E-2</v>
      </c>
      <c r="E50" s="580">
        <v>101.91</v>
      </c>
    </row>
    <row r="51" spans="1:5" x14ac:dyDescent="0.35">
      <c r="A51" s="580" t="s">
        <v>460</v>
      </c>
      <c r="B51" s="580" t="s">
        <v>301</v>
      </c>
      <c r="C51" s="580">
        <v>658</v>
      </c>
      <c r="D51" s="580">
        <v>1.1382979</v>
      </c>
      <c r="E51" s="580">
        <v>749</v>
      </c>
    </row>
    <row r="52" spans="1:5" x14ac:dyDescent="0.35">
      <c r="A52" s="580" t="s">
        <v>459</v>
      </c>
      <c r="B52" s="580" t="s">
        <v>301</v>
      </c>
      <c r="C52" s="580">
        <v>183653</v>
      </c>
      <c r="D52" s="580">
        <v>7.0699999999999999E-3</v>
      </c>
      <c r="E52" s="580">
        <v>1298.43</v>
      </c>
    </row>
    <row r="53" spans="1:5" x14ac:dyDescent="0.35">
      <c r="A53" s="580" t="s">
        <v>458</v>
      </c>
      <c r="B53" s="580" t="s">
        <v>301</v>
      </c>
      <c r="C53" s="580">
        <v>60226</v>
      </c>
      <c r="D53" s="580">
        <v>1.09099E-2</v>
      </c>
      <c r="E53" s="580">
        <v>657.06</v>
      </c>
    </row>
    <row r="54" spans="1:5" x14ac:dyDescent="0.35">
      <c r="A54" s="580" t="s">
        <v>303</v>
      </c>
      <c r="B54" s="580" t="s">
        <v>303</v>
      </c>
      <c r="C54" s="580">
        <v>638612</v>
      </c>
      <c r="D54" s="580">
        <v>1.371E-2</v>
      </c>
      <c r="E54" s="580">
        <v>8755.3700000000008</v>
      </c>
    </row>
    <row r="55" spans="1:5" x14ac:dyDescent="0.35">
      <c r="A55" s="580" t="s">
        <v>303</v>
      </c>
      <c r="B55" s="580" t="s">
        <v>303</v>
      </c>
      <c r="C55" s="580">
        <v>772021</v>
      </c>
      <c r="D55" s="580">
        <v>1.371E-2</v>
      </c>
      <c r="E55" s="580">
        <v>10584.41</v>
      </c>
    </row>
    <row r="56" spans="1:5" x14ac:dyDescent="0.35">
      <c r="A56" s="580" t="s">
        <v>458</v>
      </c>
      <c r="B56" s="580" t="s">
        <v>301</v>
      </c>
      <c r="C56" s="580">
        <v>65280</v>
      </c>
      <c r="D56" s="580">
        <v>1.0911799999999999E-2</v>
      </c>
      <c r="E56" s="580">
        <v>712.32</v>
      </c>
    </row>
    <row r="57" spans="1:5" x14ac:dyDescent="0.35">
      <c r="A57" s="580" t="s">
        <v>459</v>
      </c>
      <c r="B57" s="580" t="s">
        <v>301</v>
      </c>
      <c r="C57" s="580">
        <v>193083</v>
      </c>
      <c r="D57" s="580">
        <v>7.0699999999999999E-3</v>
      </c>
      <c r="E57" s="580">
        <v>1365.1</v>
      </c>
    </row>
    <row r="58" spans="1:5" x14ac:dyDescent="0.35">
      <c r="A58" s="580" t="s">
        <v>461</v>
      </c>
      <c r="B58" s="580" t="s">
        <v>304</v>
      </c>
      <c r="C58" s="580">
        <v>9404</v>
      </c>
      <c r="D58" s="580">
        <v>1.091E-2</v>
      </c>
      <c r="E58" s="580">
        <v>102.6</v>
      </c>
    </row>
    <row r="59" spans="1:5" x14ac:dyDescent="0.35">
      <c r="A59" s="580" t="s">
        <v>460</v>
      </c>
      <c r="B59" s="580" t="s">
        <v>301</v>
      </c>
      <c r="C59" s="580">
        <v>621</v>
      </c>
      <c r="D59" s="580">
        <v>1.1382979</v>
      </c>
      <c r="E59" s="580">
        <v>706.88</v>
      </c>
    </row>
    <row r="60" spans="1:5" x14ac:dyDescent="0.35">
      <c r="A60" s="580" t="s">
        <v>303</v>
      </c>
      <c r="B60" s="580" t="s">
        <v>303</v>
      </c>
      <c r="C60" s="580">
        <v>962663</v>
      </c>
      <c r="D60" s="580">
        <v>1.371E-2</v>
      </c>
      <c r="E60" s="580">
        <v>13198.11</v>
      </c>
    </row>
    <row r="61" spans="1:5" x14ac:dyDescent="0.35">
      <c r="A61" s="580" t="s">
        <v>458</v>
      </c>
      <c r="B61" s="580" t="s">
        <v>301</v>
      </c>
      <c r="C61" s="580">
        <v>81000</v>
      </c>
      <c r="D61" s="580">
        <v>1.091E-2</v>
      </c>
      <c r="E61" s="580">
        <v>883.71</v>
      </c>
    </row>
    <row r="62" spans="1:5" x14ac:dyDescent="0.35">
      <c r="A62" s="580" t="s">
        <v>459</v>
      </c>
      <c r="B62" s="580" t="s">
        <v>301</v>
      </c>
      <c r="C62" s="580">
        <v>168501</v>
      </c>
      <c r="D62" s="580">
        <v>7.0699999999999999E-3</v>
      </c>
      <c r="E62" s="580">
        <v>1191.3</v>
      </c>
    </row>
    <row r="63" spans="1:5" x14ac:dyDescent="0.35">
      <c r="A63" s="580" t="s">
        <v>460</v>
      </c>
      <c r="B63" s="580" t="s">
        <v>301</v>
      </c>
      <c r="C63" s="580">
        <v>634</v>
      </c>
      <c r="D63" s="580">
        <v>1.1382979</v>
      </c>
      <c r="E63" s="580">
        <v>721.68</v>
      </c>
    </row>
    <row r="64" spans="1:5" x14ac:dyDescent="0.35">
      <c r="A64" s="580" t="s">
        <v>461</v>
      </c>
      <c r="B64" s="580" t="s">
        <v>304</v>
      </c>
      <c r="C64" s="580">
        <v>9665</v>
      </c>
      <c r="D64" s="580">
        <v>1.091E-2</v>
      </c>
      <c r="E64" s="580">
        <v>105.45</v>
      </c>
    </row>
    <row r="65" spans="1:5" x14ac:dyDescent="0.35">
      <c r="A65" s="580" t="s">
        <v>461</v>
      </c>
      <c r="B65" s="580" t="s">
        <v>304</v>
      </c>
      <c r="C65" s="580">
        <v>10844</v>
      </c>
      <c r="D65" s="580">
        <v>1.091E-2</v>
      </c>
      <c r="E65" s="580">
        <v>118.31</v>
      </c>
    </row>
    <row r="66" spans="1:5" x14ac:dyDescent="0.35">
      <c r="A66" s="580" t="s">
        <v>303</v>
      </c>
      <c r="B66" s="580" t="s">
        <v>303</v>
      </c>
      <c r="C66" s="580">
        <v>1304680</v>
      </c>
      <c r="D66" s="580">
        <v>1.371E-2</v>
      </c>
      <c r="E66" s="580">
        <v>17887.16</v>
      </c>
    </row>
    <row r="67" spans="1:5" x14ac:dyDescent="0.35">
      <c r="A67" s="580" t="s">
        <v>460</v>
      </c>
      <c r="B67" s="580" t="s">
        <v>301</v>
      </c>
      <c r="C67" s="580">
        <v>1997.43</v>
      </c>
      <c r="D67" s="580">
        <v>1.1383000000000001</v>
      </c>
      <c r="E67" s="580">
        <v>2273.67</v>
      </c>
    </row>
    <row r="68" spans="1:5" x14ac:dyDescent="0.35">
      <c r="A68" s="580" t="s">
        <v>459</v>
      </c>
      <c r="B68" s="580" t="s">
        <v>301</v>
      </c>
      <c r="C68" s="580">
        <v>926130</v>
      </c>
      <c r="D68" s="580">
        <v>7.0699999999999999E-3</v>
      </c>
      <c r="E68" s="580">
        <v>6547.74</v>
      </c>
    </row>
    <row r="69" spans="1:5" x14ac:dyDescent="0.35">
      <c r="A69" s="580" t="s">
        <v>458</v>
      </c>
      <c r="B69" s="580" t="s">
        <v>301</v>
      </c>
      <c r="C69" s="580">
        <v>285115</v>
      </c>
      <c r="D69" s="580">
        <v>1.091E-2</v>
      </c>
      <c r="E69" s="580">
        <v>3110.61</v>
      </c>
    </row>
    <row r="70" spans="1:5" x14ac:dyDescent="0.35">
      <c r="A70" s="580" t="s">
        <v>461</v>
      </c>
      <c r="B70" s="580" t="s">
        <v>304</v>
      </c>
      <c r="C70" s="580">
        <v>10789</v>
      </c>
      <c r="D70" s="580">
        <v>1.091E-2</v>
      </c>
      <c r="E70" s="580">
        <v>117.71</v>
      </c>
    </row>
    <row r="71" spans="1:5" x14ac:dyDescent="0.35">
      <c r="A71" s="580" t="s">
        <v>459</v>
      </c>
      <c r="B71" s="580" t="s">
        <v>301</v>
      </c>
      <c r="C71" s="580">
        <v>744976</v>
      </c>
      <c r="D71" s="580">
        <v>7.0699999999999999E-3</v>
      </c>
      <c r="E71" s="580">
        <v>5266.98</v>
      </c>
    </row>
    <row r="72" spans="1:5" ht="12.75" customHeight="1" x14ac:dyDescent="0.45">
      <c r="A72" s="580" t="s">
        <v>458</v>
      </c>
      <c r="B72" s="580" t="s">
        <v>301</v>
      </c>
      <c r="C72" s="279">
        <v>205875</v>
      </c>
      <c r="D72" s="581">
        <v>1.091E-2</v>
      </c>
      <c r="E72" s="279">
        <v>2246.1</v>
      </c>
    </row>
    <row r="73" spans="1:5" x14ac:dyDescent="0.35">
      <c r="A73" s="580" t="s">
        <v>303</v>
      </c>
      <c r="B73" s="580" t="s">
        <v>303</v>
      </c>
      <c r="C73" s="580">
        <v>1268648</v>
      </c>
      <c r="D73" s="580">
        <v>1.371E-2</v>
      </c>
      <c r="E73" s="580">
        <v>17393.16</v>
      </c>
    </row>
    <row r="74" spans="1:5" x14ac:dyDescent="0.35">
      <c r="A74" s="580" t="s">
        <v>460</v>
      </c>
      <c r="B74" s="580" t="s">
        <v>301</v>
      </c>
      <c r="C74" s="580">
        <v>1830.94</v>
      </c>
      <c r="D74" s="580">
        <v>1.1383000000000001</v>
      </c>
      <c r="E74" s="580">
        <v>2084.16</v>
      </c>
    </row>
    <row r="75" spans="1:5" x14ac:dyDescent="0.35">
      <c r="A75" s="580" t="s">
        <v>458</v>
      </c>
      <c r="B75" s="580" t="s">
        <v>301</v>
      </c>
      <c r="C75" s="580">
        <v>208555</v>
      </c>
      <c r="D75" s="580">
        <v>1.091E-2</v>
      </c>
      <c r="E75" s="580">
        <v>2275.34</v>
      </c>
    </row>
    <row r="76" spans="1:5" x14ac:dyDescent="0.35">
      <c r="A76" s="580" t="s">
        <v>459</v>
      </c>
      <c r="B76" s="580" t="s">
        <v>301</v>
      </c>
      <c r="C76" s="580">
        <v>704020</v>
      </c>
      <c r="D76" s="580">
        <v>7.0699999999999999E-3</v>
      </c>
      <c r="E76" s="580">
        <v>4977.42</v>
      </c>
    </row>
    <row r="77" spans="1:5" x14ac:dyDescent="0.35">
      <c r="A77" s="580" t="s">
        <v>460</v>
      </c>
      <c r="B77" s="580" t="s">
        <v>301</v>
      </c>
      <c r="C77" s="580">
        <v>1790.91</v>
      </c>
      <c r="D77" s="580">
        <v>1.1383000000000001</v>
      </c>
      <c r="E77" s="580">
        <v>2038.59</v>
      </c>
    </row>
    <row r="78" spans="1:5" x14ac:dyDescent="0.35">
      <c r="A78" s="580" t="s">
        <v>461</v>
      </c>
      <c r="B78" s="580" t="s">
        <v>304</v>
      </c>
      <c r="C78" s="580">
        <v>10768</v>
      </c>
      <c r="D78" s="580">
        <v>1.091E-2</v>
      </c>
      <c r="E78" s="580">
        <v>117.48</v>
      </c>
    </row>
    <row r="79" spans="1:5" x14ac:dyDescent="0.35">
      <c r="A79" s="580" t="s">
        <v>303</v>
      </c>
      <c r="B79" s="580" t="s">
        <v>303</v>
      </c>
      <c r="C79" s="580">
        <v>1237048</v>
      </c>
      <c r="D79" s="580">
        <v>1.371E-2</v>
      </c>
      <c r="E79" s="580">
        <v>16959.93</v>
      </c>
    </row>
    <row r="80" spans="1:5" x14ac:dyDescent="0.35">
      <c r="A80" s="580" t="s">
        <v>461</v>
      </c>
      <c r="B80" s="580" t="s">
        <v>304</v>
      </c>
      <c r="C80" s="580">
        <v>10746</v>
      </c>
      <c r="D80" s="580">
        <v>1.091E-2</v>
      </c>
      <c r="E80" s="580">
        <v>117.24</v>
      </c>
    </row>
    <row r="81" spans="1:5" x14ac:dyDescent="0.35">
      <c r="A81" s="580" t="s">
        <v>460</v>
      </c>
      <c r="B81" s="580" t="s">
        <v>301</v>
      </c>
      <c r="C81" s="580">
        <v>1803.84</v>
      </c>
      <c r="D81" s="580">
        <v>1.1383000000000001</v>
      </c>
      <c r="E81" s="580">
        <v>2053.31</v>
      </c>
    </row>
    <row r="82" spans="1:5" x14ac:dyDescent="0.35">
      <c r="A82" s="580" t="s">
        <v>459</v>
      </c>
      <c r="B82" s="580" t="s">
        <v>301</v>
      </c>
      <c r="C82" s="580">
        <v>770256</v>
      </c>
      <c r="D82" s="580">
        <v>7.0699999999999999E-3</v>
      </c>
      <c r="E82" s="580">
        <v>5445.71</v>
      </c>
    </row>
    <row r="83" spans="1:5" x14ac:dyDescent="0.35">
      <c r="A83" s="580" t="s">
        <v>458</v>
      </c>
      <c r="B83" s="580" t="s">
        <v>301</v>
      </c>
      <c r="C83" s="580">
        <v>187483</v>
      </c>
      <c r="D83" s="580">
        <v>1.091E-2</v>
      </c>
      <c r="E83" s="580">
        <v>2045.44</v>
      </c>
    </row>
    <row r="84" spans="1:5" x14ac:dyDescent="0.35">
      <c r="A84" s="580" t="s">
        <v>303</v>
      </c>
      <c r="B84" s="580" t="s">
        <v>303</v>
      </c>
      <c r="C84" s="580">
        <v>1412325</v>
      </c>
      <c r="D84" s="580">
        <v>1.371E-2</v>
      </c>
      <c r="E84" s="580">
        <v>19362.97</v>
      </c>
    </row>
    <row r="85" spans="1:5" x14ac:dyDescent="0.35">
      <c r="A85" s="580" t="s">
        <v>461</v>
      </c>
      <c r="B85" s="580" t="s">
        <v>304</v>
      </c>
      <c r="C85" s="580">
        <v>10746</v>
      </c>
      <c r="D85" s="580">
        <v>1.091E-2</v>
      </c>
      <c r="E85" s="580">
        <v>117.24</v>
      </c>
    </row>
    <row r="86" spans="1:5" x14ac:dyDescent="0.35">
      <c r="A86" s="580" t="s">
        <v>460</v>
      </c>
      <c r="B86" s="580" t="s">
        <v>301</v>
      </c>
      <c r="C86" s="580">
        <v>1919.49</v>
      </c>
      <c r="D86" s="580">
        <v>1.1383000000000001</v>
      </c>
      <c r="E86" s="580">
        <v>2184.96</v>
      </c>
    </row>
    <row r="87" spans="1:5" x14ac:dyDescent="0.35">
      <c r="A87" s="580" t="s">
        <v>459</v>
      </c>
      <c r="B87" s="580" t="s">
        <v>301</v>
      </c>
      <c r="C87" s="580">
        <v>885534</v>
      </c>
      <c r="D87" s="580">
        <v>7.0699999999999999E-3</v>
      </c>
      <c r="E87" s="580">
        <v>6260.72</v>
      </c>
    </row>
    <row r="88" spans="1:5" x14ac:dyDescent="0.35">
      <c r="A88" s="580" t="s">
        <v>458</v>
      </c>
      <c r="B88" s="580" t="s">
        <v>301</v>
      </c>
      <c r="C88" s="580">
        <v>189966</v>
      </c>
      <c r="D88" s="580">
        <v>1.091E-2</v>
      </c>
      <c r="E88" s="580">
        <v>2072.5300000000002</v>
      </c>
    </row>
    <row r="89" spans="1:5" x14ac:dyDescent="0.35">
      <c r="A89" s="580" t="s">
        <v>303</v>
      </c>
      <c r="B89" s="580" t="s">
        <v>303</v>
      </c>
      <c r="C89" s="580">
        <v>1158593</v>
      </c>
      <c r="D89" s="580">
        <v>1.371E-2</v>
      </c>
      <c r="E89" s="580">
        <v>15884.31</v>
      </c>
    </row>
    <row r="90" spans="1:5" x14ac:dyDescent="0.35">
      <c r="A90" s="580" t="s">
        <v>458</v>
      </c>
      <c r="B90" s="580" t="s">
        <v>301</v>
      </c>
      <c r="C90" s="580">
        <v>167464</v>
      </c>
      <c r="D90" s="580">
        <v>1.091E-2</v>
      </c>
      <c r="E90" s="580">
        <v>1827.04</v>
      </c>
    </row>
    <row r="91" spans="1:5" x14ac:dyDescent="0.35">
      <c r="A91" s="580" t="s">
        <v>459</v>
      </c>
      <c r="B91" s="580" t="s">
        <v>301</v>
      </c>
      <c r="C91" s="580">
        <v>777463</v>
      </c>
      <c r="D91" s="580">
        <v>7.0699999999999999E-3</v>
      </c>
      <c r="E91" s="580">
        <v>5496.66</v>
      </c>
    </row>
    <row r="92" spans="1:5" x14ac:dyDescent="0.35">
      <c r="A92" s="580" t="s">
        <v>460</v>
      </c>
      <c r="B92" s="580" t="s">
        <v>301</v>
      </c>
      <c r="C92" s="580">
        <v>2044.71</v>
      </c>
      <c r="D92" s="580">
        <v>1.1383000000000001</v>
      </c>
      <c r="E92" s="580">
        <v>2327.4899999999998</v>
      </c>
    </row>
    <row r="93" spans="1:5" x14ac:dyDescent="0.35">
      <c r="A93" s="580" t="s">
        <v>461</v>
      </c>
      <c r="B93" s="580" t="s">
        <v>304</v>
      </c>
      <c r="C93" s="580">
        <v>10746</v>
      </c>
      <c r="D93" s="580">
        <v>1.091E-2</v>
      </c>
      <c r="E93" s="580">
        <v>117.24</v>
      </c>
    </row>
    <row r="94" spans="1:5" x14ac:dyDescent="0.35">
      <c r="A94" s="580" t="s">
        <v>303</v>
      </c>
      <c r="B94" s="580" t="s">
        <v>303</v>
      </c>
      <c r="C94" s="580">
        <v>911299</v>
      </c>
      <c r="D94" s="580">
        <v>1.371E-2</v>
      </c>
      <c r="E94" s="580">
        <v>12493.91</v>
      </c>
    </row>
    <row r="95" spans="1:5" x14ac:dyDescent="0.35">
      <c r="A95" s="580" t="s">
        <v>458</v>
      </c>
      <c r="B95" s="580" t="s">
        <v>301</v>
      </c>
      <c r="C95" s="580">
        <v>213063</v>
      </c>
      <c r="D95" s="580">
        <v>1.091E-2</v>
      </c>
      <c r="E95" s="580">
        <v>2324.52</v>
      </c>
    </row>
    <row r="96" spans="1:5" x14ac:dyDescent="0.35">
      <c r="A96" s="580" t="s">
        <v>459</v>
      </c>
      <c r="B96" s="580" t="s">
        <v>301</v>
      </c>
      <c r="C96" s="580">
        <v>986772</v>
      </c>
      <c r="D96" s="580">
        <v>7.0699999999999999E-3</v>
      </c>
      <c r="E96" s="580">
        <v>6976.48</v>
      </c>
    </row>
    <row r="97" spans="1:5" x14ac:dyDescent="0.35">
      <c r="A97" s="580" t="s">
        <v>460</v>
      </c>
      <c r="B97" s="580" t="s">
        <v>301</v>
      </c>
      <c r="C97" s="580">
        <v>2096.65</v>
      </c>
      <c r="D97" s="580">
        <v>1.1382968</v>
      </c>
      <c r="E97" s="580">
        <v>2386.61</v>
      </c>
    </row>
    <row r="98" spans="1:5" x14ac:dyDescent="0.35">
      <c r="A98" s="580" t="s">
        <v>461</v>
      </c>
      <c r="B98" s="580" t="s">
        <v>304</v>
      </c>
      <c r="C98" s="580">
        <v>10703</v>
      </c>
      <c r="D98" s="580">
        <v>1.091E-2</v>
      </c>
      <c r="E98" s="580">
        <v>116.77</v>
      </c>
    </row>
    <row r="99" spans="1:5" x14ac:dyDescent="0.35">
      <c r="A99" s="580" t="s">
        <v>303</v>
      </c>
      <c r="B99" s="580" t="s">
        <v>303</v>
      </c>
      <c r="C99" s="580">
        <v>1077379</v>
      </c>
      <c r="D99" s="580">
        <v>1.371E-2</v>
      </c>
      <c r="E99" s="580">
        <v>14770.86</v>
      </c>
    </row>
    <row r="100" spans="1:5" x14ac:dyDescent="0.35">
      <c r="A100" s="580" t="s">
        <v>459</v>
      </c>
      <c r="B100" s="580" t="s">
        <v>301</v>
      </c>
      <c r="C100" s="580">
        <v>915363</v>
      </c>
      <c r="D100" s="580">
        <v>7.0699999999999999E-3</v>
      </c>
      <c r="E100" s="580">
        <v>6471.62</v>
      </c>
    </row>
    <row r="101" spans="1:5" x14ac:dyDescent="0.35">
      <c r="A101" s="580" t="s">
        <v>460</v>
      </c>
      <c r="B101" s="580" t="s">
        <v>301</v>
      </c>
      <c r="C101" s="580">
        <v>2082.21</v>
      </c>
      <c r="D101" s="580">
        <v>1.1383000000000001</v>
      </c>
      <c r="E101" s="580">
        <v>2370.1799999999998</v>
      </c>
    </row>
    <row r="102" spans="1:5" x14ac:dyDescent="0.35">
      <c r="A102" s="580" t="s">
        <v>303</v>
      </c>
      <c r="B102" s="580" t="s">
        <v>303</v>
      </c>
      <c r="C102" s="580">
        <v>1215702</v>
      </c>
      <c r="D102" s="580">
        <v>1.371E-2</v>
      </c>
      <c r="E102" s="580">
        <v>16667.27</v>
      </c>
    </row>
    <row r="103" spans="1:5" x14ac:dyDescent="0.35">
      <c r="A103" s="580" t="s">
        <v>461</v>
      </c>
      <c r="B103" s="580" t="s">
        <v>304</v>
      </c>
      <c r="C103" s="580">
        <v>10703</v>
      </c>
      <c r="D103" s="580">
        <v>1.091E-2</v>
      </c>
      <c r="E103" s="580">
        <v>116.77</v>
      </c>
    </row>
    <row r="104" spans="1:5" x14ac:dyDescent="0.35">
      <c r="A104" s="580" t="s">
        <v>458</v>
      </c>
      <c r="B104" s="580" t="s">
        <v>301</v>
      </c>
      <c r="C104" s="580">
        <v>207760</v>
      </c>
      <c r="D104" s="580">
        <v>1.091E-2</v>
      </c>
      <c r="E104" s="580">
        <v>2266.66</v>
      </c>
    </row>
    <row r="105" spans="1:5" x14ac:dyDescent="0.35">
      <c r="A105" s="580" t="s">
        <v>461</v>
      </c>
      <c r="B105" s="580" t="s">
        <v>304</v>
      </c>
      <c r="C105" s="580">
        <v>10746</v>
      </c>
      <c r="D105" s="580">
        <v>1.091E-2</v>
      </c>
      <c r="E105" s="580">
        <v>117.24</v>
      </c>
    </row>
    <row r="106" spans="1:5" ht="12.75" customHeight="1" x14ac:dyDescent="0.45">
      <c r="A106" s="580" t="s">
        <v>460</v>
      </c>
      <c r="B106" s="580" t="s">
        <v>301</v>
      </c>
      <c r="C106" s="279">
        <v>2026.25</v>
      </c>
      <c r="D106" s="581">
        <v>1.1383000000000001</v>
      </c>
      <c r="E106" s="279">
        <v>2306.48</v>
      </c>
    </row>
    <row r="107" spans="1:5" x14ac:dyDescent="0.35">
      <c r="A107" s="580" t="s">
        <v>459</v>
      </c>
      <c r="B107" s="580" t="s">
        <v>301</v>
      </c>
      <c r="C107" s="580">
        <v>840007</v>
      </c>
      <c r="D107" s="580">
        <v>7.0699999999999999E-3</v>
      </c>
      <c r="E107" s="580">
        <v>5938.85</v>
      </c>
    </row>
    <row r="108" spans="1:5" x14ac:dyDescent="0.35">
      <c r="A108" s="580" t="s">
        <v>458</v>
      </c>
      <c r="B108" s="580" t="s">
        <v>301</v>
      </c>
      <c r="C108" s="580">
        <v>168332</v>
      </c>
      <c r="D108" s="580">
        <v>1.091E-2</v>
      </c>
      <c r="E108" s="580">
        <v>1836.5</v>
      </c>
    </row>
    <row r="109" spans="1:5" x14ac:dyDescent="0.35">
      <c r="A109" s="580" t="s">
        <v>303</v>
      </c>
      <c r="B109" s="580" t="s">
        <v>303</v>
      </c>
      <c r="C109" s="580">
        <v>970814</v>
      </c>
      <c r="D109" s="580">
        <v>1.371E-2</v>
      </c>
      <c r="E109" s="580">
        <v>13309.86</v>
      </c>
    </row>
    <row r="110" spans="1:5" x14ac:dyDescent="0.35">
      <c r="A110" s="580" t="s">
        <v>461</v>
      </c>
      <c r="B110" s="580" t="s">
        <v>304</v>
      </c>
      <c r="C110" s="580">
        <v>10660</v>
      </c>
      <c r="D110" s="580">
        <v>1.091E-2</v>
      </c>
      <c r="E110" s="580">
        <v>116.3</v>
      </c>
    </row>
    <row r="111" spans="1:5" x14ac:dyDescent="0.35">
      <c r="A111" s="580" t="s">
        <v>459</v>
      </c>
      <c r="B111" s="580" t="s">
        <v>301</v>
      </c>
      <c r="C111" s="580">
        <v>927880</v>
      </c>
      <c r="D111" s="580">
        <v>7.0699999999999999E-3</v>
      </c>
      <c r="E111" s="580">
        <v>6560.11</v>
      </c>
    </row>
    <row r="112" spans="1:5" x14ac:dyDescent="0.35">
      <c r="A112" s="580" t="s">
        <v>458</v>
      </c>
      <c r="B112" s="580" t="s">
        <v>301</v>
      </c>
      <c r="C112" s="580">
        <v>167911</v>
      </c>
      <c r="D112" s="580">
        <v>1.091E-2</v>
      </c>
      <c r="E112" s="580">
        <v>1831.91</v>
      </c>
    </row>
    <row r="113" spans="1:5" x14ac:dyDescent="0.35">
      <c r="A113" s="580" t="s">
        <v>303</v>
      </c>
      <c r="B113" s="580" t="s">
        <v>303</v>
      </c>
      <c r="C113" s="580">
        <v>913063</v>
      </c>
      <c r="D113" s="580">
        <v>1.371E-2</v>
      </c>
      <c r="E113" s="580">
        <v>12518.09</v>
      </c>
    </row>
    <row r="114" spans="1:5" x14ac:dyDescent="0.35">
      <c r="A114" s="580" t="s">
        <v>460</v>
      </c>
      <c r="B114" s="580" t="s">
        <v>301</v>
      </c>
      <c r="C114" s="580">
        <v>1978.16</v>
      </c>
      <c r="D114" s="580">
        <v>1.1383000000000001</v>
      </c>
      <c r="E114" s="580">
        <v>2251.7399999999998</v>
      </c>
    </row>
    <row r="115" spans="1:5" x14ac:dyDescent="0.35">
      <c r="A115" s="580" t="s">
        <v>461</v>
      </c>
      <c r="B115" s="580" t="s">
        <v>304</v>
      </c>
      <c r="C115" s="580">
        <v>10660</v>
      </c>
      <c r="D115" s="580">
        <v>1.091E-2</v>
      </c>
      <c r="E115" s="580">
        <v>116.3</v>
      </c>
    </row>
    <row r="116" spans="1:5" x14ac:dyDescent="0.35">
      <c r="A116" s="580" t="s">
        <v>460</v>
      </c>
      <c r="B116" s="580" t="s">
        <v>301</v>
      </c>
      <c r="C116" s="580">
        <v>1975.39</v>
      </c>
      <c r="D116" s="580">
        <v>1.1383000000000001</v>
      </c>
      <c r="E116" s="580">
        <v>2248.59</v>
      </c>
    </row>
    <row r="117" spans="1:5" x14ac:dyDescent="0.35">
      <c r="A117" s="580" t="s">
        <v>459</v>
      </c>
      <c r="B117" s="580" t="s">
        <v>301</v>
      </c>
      <c r="C117" s="580">
        <v>654770</v>
      </c>
      <c r="D117" s="580">
        <v>7.0699999999999999E-3</v>
      </c>
      <c r="E117" s="580">
        <v>4629.22</v>
      </c>
    </row>
    <row r="118" spans="1:5" x14ac:dyDescent="0.35">
      <c r="A118" s="580" t="s">
        <v>458</v>
      </c>
      <c r="B118" s="580" t="s">
        <v>301</v>
      </c>
      <c r="C118" s="580">
        <v>156913</v>
      </c>
      <c r="D118" s="580">
        <v>1.091E-2</v>
      </c>
      <c r="E118" s="580">
        <v>1711.92</v>
      </c>
    </row>
    <row r="119" spans="1:5" x14ac:dyDescent="0.35">
      <c r="A119" s="580" t="s">
        <v>303</v>
      </c>
      <c r="B119" s="580" t="s">
        <v>303</v>
      </c>
      <c r="C119" s="580">
        <v>1016997</v>
      </c>
      <c r="D119" s="580">
        <v>1.371E-2</v>
      </c>
      <c r="E119" s="580">
        <v>13943.03</v>
      </c>
    </row>
    <row r="120" spans="1:5" x14ac:dyDescent="0.35">
      <c r="A120" s="580" t="s">
        <v>461</v>
      </c>
      <c r="B120" s="580" t="s">
        <v>304</v>
      </c>
      <c r="C120" s="580">
        <v>10498</v>
      </c>
      <c r="D120" s="580">
        <v>1.091E-2</v>
      </c>
      <c r="E120" s="580">
        <v>114.53</v>
      </c>
    </row>
    <row r="121" spans="1:5" x14ac:dyDescent="0.35">
      <c r="A121" s="580" t="s">
        <v>460</v>
      </c>
      <c r="B121" s="580" t="s">
        <v>301</v>
      </c>
      <c r="C121" s="580">
        <v>1935.62</v>
      </c>
      <c r="D121" s="580">
        <v>1.1383000000000001</v>
      </c>
      <c r="E121" s="580">
        <v>2203.3200000000002</v>
      </c>
    </row>
    <row r="122" spans="1:5" x14ac:dyDescent="0.35">
      <c r="A122" s="580" t="s">
        <v>459</v>
      </c>
      <c r="B122" s="580" t="s">
        <v>301</v>
      </c>
      <c r="C122" s="580">
        <v>1014404</v>
      </c>
      <c r="D122" s="580">
        <v>7.0699999999999999E-3</v>
      </c>
      <c r="E122" s="580">
        <v>7171.84</v>
      </c>
    </row>
    <row r="123" spans="1:5" x14ac:dyDescent="0.35">
      <c r="A123" s="580" t="s">
        <v>458</v>
      </c>
      <c r="B123" s="580" t="s">
        <v>301</v>
      </c>
      <c r="C123" s="580">
        <v>283880</v>
      </c>
      <c r="D123" s="580">
        <v>1.091E-2</v>
      </c>
      <c r="E123" s="580">
        <v>3097.13</v>
      </c>
    </row>
    <row r="124" spans="1:5" x14ac:dyDescent="0.35">
      <c r="A124" s="580" t="s">
        <v>303</v>
      </c>
      <c r="B124" s="580" t="s">
        <v>303</v>
      </c>
      <c r="C124" s="580">
        <v>1160185</v>
      </c>
      <c r="D124" s="580">
        <v>1.30118E-2</v>
      </c>
      <c r="E124" s="580">
        <v>15096.13</v>
      </c>
    </row>
    <row r="125" spans="1:5" x14ac:dyDescent="0.35">
      <c r="A125" s="580" t="s">
        <v>458</v>
      </c>
      <c r="B125" s="580" t="s">
        <v>301</v>
      </c>
      <c r="C125" s="580">
        <v>19535480</v>
      </c>
      <c r="D125" s="580">
        <v>1.091E-2</v>
      </c>
      <c r="E125" s="580">
        <v>213132.09</v>
      </c>
    </row>
    <row r="126" spans="1:5" x14ac:dyDescent="0.35">
      <c r="A126" s="580" t="s">
        <v>459</v>
      </c>
      <c r="B126" s="580" t="s">
        <v>301</v>
      </c>
      <c r="C126" s="580">
        <v>110669396</v>
      </c>
      <c r="D126" s="580">
        <v>7.0699999999999999E-3</v>
      </c>
      <c r="E126" s="580">
        <v>782432.63</v>
      </c>
    </row>
    <row r="127" spans="1:5" x14ac:dyDescent="0.35">
      <c r="A127" s="580" t="s">
        <v>460</v>
      </c>
      <c r="B127" s="580" t="s">
        <v>301</v>
      </c>
      <c r="C127" s="580">
        <v>314518.09999999998</v>
      </c>
      <c r="D127" s="580">
        <v>1.1383000000000001</v>
      </c>
      <c r="E127" s="580">
        <v>358015.99</v>
      </c>
    </row>
    <row r="128" spans="1:5" x14ac:dyDescent="0.35">
      <c r="A128" s="580" t="s">
        <v>463</v>
      </c>
      <c r="B128" s="580" t="s">
        <v>302</v>
      </c>
      <c r="C128" s="580">
        <v>60980492</v>
      </c>
      <c r="D128" s="580">
        <v>5.2199999999999998E-3</v>
      </c>
      <c r="E128" s="580">
        <v>318318.17</v>
      </c>
    </row>
    <row r="129" spans="1:5" x14ac:dyDescent="0.35">
      <c r="A129" s="580" t="s">
        <v>462</v>
      </c>
      <c r="B129" s="580" t="s">
        <v>302</v>
      </c>
      <c r="C129" s="580">
        <v>106229</v>
      </c>
      <c r="D129" s="580">
        <v>1.2132000000000001</v>
      </c>
      <c r="E129" s="580">
        <v>128877.04</v>
      </c>
    </row>
    <row r="130" spans="1:5" x14ac:dyDescent="0.35">
      <c r="A130" s="580" t="s">
        <v>461</v>
      </c>
      <c r="B130" s="580" t="s">
        <v>304</v>
      </c>
      <c r="C130" s="580">
        <v>928128</v>
      </c>
      <c r="D130" s="580">
        <v>1.091E-2</v>
      </c>
      <c r="E130" s="580">
        <v>10125.879999999999</v>
      </c>
    </row>
    <row r="131" spans="1:5" x14ac:dyDescent="0.35">
      <c r="A131" s="580" t="s">
        <v>303</v>
      </c>
      <c r="B131" s="580" t="s">
        <v>303</v>
      </c>
      <c r="C131" s="580">
        <v>158847640</v>
      </c>
      <c r="D131" s="580">
        <v>1.371E-2</v>
      </c>
      <c r="E131" s="580">
        <v>2177801.14</v>
      </c>
    </row>
    <row r="132" spans="1:5" x14ac:dyDescent="0.35">
      <c r="A132" s="580" t="s">
        <v>458</v>
      </c>
      <c r="B132" s="580" t="s">
        <v>301</v>
      </c>
      <c r="C132" s="580">
        <v>17698071</v>
      </c>
      <c r="D132" s="580">
        <v>1.091E-2</v>
      </c>
      <c r="E132" s="580">
        <v>193085.96</v>
      </c>
    </row>
    <row r="133" spans="1:5" x14ac:dyDescent="0.35">
      <c r="A133" s="580" t="s">
        <v>459</v>
      </c>
      <c r="B133" s="580" t="s">
        <v>301</v>
      </c>
      <c r="C133" s="580">
        <v>103830984</v>
      </c>
      <c r="D133" s="580">
        <v>7.0699999999999999E-3</v>
      </c>
      <c r="E133" s="580">
        <v>734085.06</v>
      </c>
    </row>
    <row r="134" spans="1:5" x14ac:dyDescent="0.35">
      <c r="A134" s="580" t="s">
        <v>460</v>
      </c>
      <c r="B134" s="580" t="s">
        <v>301</v>
      </c>
      <c r="C134" s="580">
        <v>310565.5</v>
      </c>
      <c r="D134" s="580">
        <v>1.1383000000000001</v>
      </c>
      <c r="E134" s="580">
        <v>353516.72</v>
      </c>
    </row>
    <row r="135" spans="1:5" x14ac:dyDescent="0.35">
      <c r="A135" s="580" t="s">
        <v>463</v>
      </c>
      <c r="B135" s="580" t="s">
        <v>302</v>
      </c>
      <c r="C135" s="580">
        <v>47128318</v>
      </c>
      <c r="D135" s="580">
        <v>5.2199999999999998E-3</v>
      </c>
      <c r="E135" s="580">
        <v>246009.82</v>
      </c>
    </row>
    <row r="136" spans="1:5" x14ac:dyDescent="0.35">
      <c r="A136" s="580" t="s">
        <v>462</v>
      </c>
      <c r="B136" s="580" t="s">
        <v>302</v>
      </c>
      <c r="C136" s="580">
        <v>90079</v>
      </c>
      <c r="D136" s="580">
        <v>1.2132004000000001</v>
      </c>
      <c r="E136" s="580">
        <v>109283.88</v>
      </c>
    </row>
    <row r="137" spans="1:5" x14ac:dyDescent="0.35">
      <c r="A137" s="580" t="s">
        <v>461</v>
      </c>
      <c r="B137" s="580" t="s">
        <v>304</v>
      </c>
      <c r="C137" s="580">
        <v>779523</v>
      </c>
      <c r="D137" s="580">
        <v>1.091E-2</v>
      </c>
      <c r="E137" s="580">
        <v>8504.6</v>
      </c>
    </row>
    <row r="138" spans="1:5" x14ac:dyDescent="0.35">
      <c r="A138" s="580" t="s">
        <v>303</v>
      </c>
      <c r="B138" s="580" t="s">
        <v>303</v>
      </c>
      <c r="C138" s="580">
        <v>137352654</v>
      </c>
      <c r="D138" s="580">
        <v>1.371E-2</v>
      </c>
      <c r="E138" s="580">
        <v>1883104.88</v>
      </c>
    </row>
    <row r="139" spans="1:5" x14ac:dyDescent="0.35">
      <c r="A139" s="580" t="s">
        <v>462</v>
      </c>
      <c r="B139" s="580" t="s">
        <v>302</v>
      </c>
      <c r="C139" s="580">
        <v>90332</v>
      </c>
      <c r="D139" s="580">
        <v>1.2131999</v>
      </c>
      <c r="E139" s="580">
        <v>109590.77</v>
      </c>
    </row>
    <row r="140" spans="1:5" x14ac:dyDescent="0.35">
      <c r="A140" s="580" t="s">
        <v>463</v>
      </c>
      <c r="B140" s="580" t="s">
        <v>302</v>
      </c>
      <c r="C140" s="580">
        <v>46552529</v>
      </c>
      <c r="D140" s="580">
        <v>5.2199999999999998E-3</v>
      </c>
      <c r="E140" s="580">
        <v>243004.2</v>
      </c>
    </row>
    <row r="141" spans="1:5" x14ac:dyDescent="0.35">
      <c r="A141" s="580" t="s">
        <v>460</v>
      </c>
      <c r="B141" s="580" t="s">
        <v>301</v>
      </c>
      <c r="C141" s="580">
        <v>306085.59999999998</v>
      </c>
      <c r="D141" s="580">
        <v>1.1383000000000001</v>
      </c>
      <c r="E141" s="580">
        <v>348417.23</v>
      </c>
    </row>
    <row r="142" spans="1:5" x14ac:dyDescent="0.35">
      <c r="A142" s="580" t="s">
        <v>459</v>
      </c>
      <c r="B142" s="580" t="s">
        <v>301</v>
      </c>
      <c r="C142" s="580">
        <v>104114386</v>
      </c>
      <c r="D142" s="580">
        <v>7.0699999999999999E-3</v>
      </c>
      <c r="E142" s="580">
        <v>736088.71</v>
      </c>
    </row>
    <row r="143" spans="1:5" x14ac:dyDescent="0.35">
      <c r="A143" s="580" t="s">
        <v>458</v>
      </c>
      <c r="B143" s="580" t="s">
        <v>301</v>
      </c>
      <c r="C143" s="580">
        <v>16895983</v>
      </c>
      <c r="D143" s="580">
        <v>1.091E-2</v>
      </c>
      <c r="E143" s="580">
        <v>184335.17</v>
      </c>
    </row>
    <row r="144" spans="1:5" x14ac:dyDescent="0.35">
      <c r="A144" s="580" t="s">
        <v>303</v>
      </c>
      <c r="B144" s="580" t="s">
        <v>303</v>
      </c>
      <c r="C144" s="580">
        <v>121083472</v>
      </c>
      <c r="D144" s="580">
        <v>1.371E-2</v>
      </c>
      <c r="E144" s="580">
        <v>1660054.4</v>
      </c>
    </row>
    <row r="145" spans="1:5" x14ac:dyDescent="0.35">
      <c r="A145" s="580" t="s">
        <v>461</v>
      </c>
      <c r="B145" s="580" t="s">
        <v>304</v>
      </c>
      <c r="C145" s="580">
        <v>807606</v>
      </c>
      <c r="D145" s="580">
        <v>1.091E-2</v>
      </c>
      <c r="E145" s="580">
        <v>8810.98</v>
      </c>
    </row>
    <row r="146" spans="1:5" x14ac:dyDescent="0.35">
      <c r="A146" s="580" t="s">
        <v>460</v>
      </c>
      <c r="B146" s="580" t="s">
        <v>301</v>
      </c>
      <c r="C146" s="580">
        <v>310080</v>
      </c>
      <c r="D146" s="580">
        <v>1.1383000000000001</v>
      </c>
      <c r="E146" s="580">
        <v>352964.06</v>
      </c>
    </row>
    <row r="147" spans="1:5" x14ac:dyDescent="0.35">
      <c r="A147" s="580" t="s">
        <v>459</v>
      </c>
      <c r="B147" s="580" t="s">
        <v>301</v>
      </c>
      <c r="C147" s="580">
        <v>96033349</v>
      </c>
      <c r="D147" s="580">
        <v>7.0699999999999999E-3</v>
      </c>
      <c r="E147" s="580">
        <v>678955.78</v>
      </c>
    </row>
    <row r="148" spans="1:5" x14ac:dyDescent="0.35">
      <c r="A148" s="580" t="s">
        <v>458</v>
      </c>
      <c r="B148" s="580" t="s">
        <v>301</v>
      </c>
      <c r="C148" s="580">
        <v>13509725</v>
      </c>
      <c r="D148" s="580">
        <v>1.091E-2</v>
      </c>
      <c r="E148" s="580">
        <v>147391.1</v>
      </c>
    </row>
    <row r="149" spans="1:5" x14ac:dyDescent="0.35">
      <c r="A149" s="580" t="s">
        <v>463</v>
      </c>
      <c r="B149" s="580" t="s">
        <v>302</v>
      </c>
      <c r="C149" s="580">
        <v>44011487</v>
      </c>
      <c r="D149" s="580">
        <v>5.2199999999999998E-3</v>
      </c>
      <c r="E149" s="580">
        <v>229739.96</v>
      </c>
    </row>
    <row r="150" spans="1:5" x14ac:dyDescent="0.35">
      <c r="A150" s="580" t="s">
        <v>462</v>
      </c>
      <c r="B150" s="580" t="s">
        <v>302</v>
      </c>
      <c r="C150" s="580">
        <v>92289</v>
      </c>
      <c r="D150" s="580">
        <v>1.2131999</v>
      </c>
      <c r="E150" s="580">
        <v>111965.01</v>
      </c>
    </row>
    <row r="151" spans="1:5" x14ac:dyDescent="0.35">
      <c r="A151" s="580" t="s">
        <v>461</v>
      </c>
      <c r="B151" s="580" t="s">
        <v>304</v>
      </c>
      <c r="C151" s="580">
        <v>795693</v>
      </c>
      <c r="D151" s="580">
        <v>1.091E-2</v>
      </c>
      <c r="E151" s="580">
        <v>8681.01</v>
      </c>
    </row>
    <row r="152" spans="1:5" x14ac:dyDescent="0.35">
      <c r="A152" s="580" t="s">
        <v>303</v>
      </c>
      <c r="B152" s="580" t="s">
        <v>303</v>
      </c>
      <c r="C152" s="580">
        <v>102070626</v>
      </c>
      <c r="D152" s="580">
        <v>1.371E-2</v>
      </c>
      <c r="E152" s="580">
        <v>1399388.28</v>
      </c>
    </row>
    <row r="153" spans="1:5" x14ac:dyDescent="0.35">
      <c r="A153" s="580" t="s">
        <v>461</v>
      </c>
      <c r="B153" s="580" t="s">
        <v>304</v>
      </c>
      <c r="C153" s="580">
        <v>804786</v>
      </c>
      <c r="D153" s="580">
        <v>1.091E-2</v>
      </c>
      <c r="E153" s="580">
        <v>8780.2199999999993</v>
      </c>
    </row>
    <row r="154" spans="1:5" x14ac:dyDescent="0.35">
      <c r="A154" s="580" t="s">
        <v>462</v>
      </c>
      <c r="B154" s="580" t="s">
        <v>302</v>
      </c>
      <c r="C154" s="580">
        <v>93411</v>
      </c>
      <c r="D154" s="580">
        <v>1.2131999</v>
      </c>
      <c r="E154" s="580">
        <v>113326.22</v>
      </c>
    </row>
    <row r="155" spans="1:5" x14ac:dyDescent="0.35">
      <c r="A155" s="580" t="s">
        <v>463</v>
      </c>
      <c r="B155" s="580" t="s">
        <v>302</v>
      </c>
      <c r="C155" s="580">
        <v>44357808</v>
      </c>
      <c r="D155" s="580">
        <v>5.2199999999999998E-3</v>
      </c>
      <c r="E155" s="580">
        <v>231547.76</v>
      </c>
    </row>
    <row r="156" spans="1:5" x14ac:dyDescent="0.35">
      <c r="A156" s="580" t="s">
        <v>460</v>
      </c>
      <c r="B156" s="580" t="s">
        <v>301</v>
      </c>
      <c r="C156" s="580">
        <v>322803.5</v>
      </c>
      <c r="D156" s="580">
        <v>1.1383000000000001</v>
      </c>
      <c r="E156" s="580">
        <v>367447.22</v>
      </c>
    </row>
    <row r="157" spans="1:5" x14ac:dyDescent="0.35">
      <c r="A157" s="580" t="s">
        <v>459</v>
      </c>
      <c r="B157" s="580" t="s">
        <v>301</v>
      </c>
      <c r="C157" s="580">
        <v>101252068</v>
      </c>
      <c r="D157" s="580">
        <v>7.0699999999999999E-3</v>
      </c>
      <c r="E157" s="580">
        <v>715852.12</v>
      </c>
    </row>
    <row r="158" spans="1:5" x14ac:dyDescent="0.35">
      <c r="A158" s="580" t="s">
        <v>458</v>
      </c>
      <c r="B158" s="580" t="s">
        <v>301</v>
      </c>
      <c r="C158" s="580">
        <v>13619372</v>
      </c>
      <c r="D158" s="580">
        <v>1.091E-2</v>
      </c>
      <c r="E158" s="580">
        <v>148587.35</v>
      </c>
    </row>
    <row r="159" spans="1:5" x14ac:dyDescent="0.35">
      <c r="A159" s="580" t="s">
        <v>303</v>
      </c>
      <c r="B159" s="580" t="s">
        <v>303</v>
      </c>
      <c r="C159" s="580">
        <v>100377861</v>
      </c>
      <c r="D159" s="580">
        <v>1.371E-2</v>
      </c>
      <c r="E159" s="580">
        <v>1376180.47</v>
      </c>
    </row>
    <row r="160" spans="1:5" x14ac:dyDescent="0.35">
      <c r="A160" s="580" t="s">
        <v>461</v>
      </c>
      <c r="B160" s="580" t="s">
        <v>304</v>
      </c>
      <c r="C160" s="580">
        <v>815460</v>
      </c>
      <c r="D160" s="580">
        <v>1.091E-2</v>
      </c>
      <c r="E160" s="580">
        <v>8896.67</v>
      </c>
    </row>
    <row r="161" spans="1:5" x14ac:dyDescent="0.35">
      <c r="A161" s="580" t="s">
        <v>462</v>
      </c>
      <c r="B161" s="580" t="s">
        <v>302</v>
      </c>
      <c r="C161" s="580">
        <v>100299</v>
      </c>
      <c r="D161" s="580">
        <v>1.2132000999999999</v>
      </c>
      <c r="E161" s="580">
        <v>121682.76</v>
      </c>
    </row>
    <row r="162" spans="1:5" x14ac:dyDescent="0.35">
      <c r="A162" s="580" t="s">
        <v>463</v>
      </c>
      <c r="B162" s="580" t="s">
        <v>302</v>
      </c>
      <c r="C162" s="580">
        <v>50093707</v>
      </c>
      <c r="D162" s="580">
        <v>5.2199999999999998E-3</v>
      </c>
      <c r="E162" s="580">
        <v>261489.15</v>
      </c>
    </row>
    <row r="163" spans="1:5" x14ac:dyDescent="0.35">
      <c r="A163" s="580" t="s">
        <v>460</v>
      </c>
      <c r="B163" s="580" t="s">
        <v>301</v>
      </c>
      <c r="C163" s="580">
        <v>347011.2</v>
      </c>
      <c r="D163" s="580">
        <v>1.1383000999999999</v>
      </c>
      <c r="E163" s="580">
        <v>395002.9</v>
      </c>
    </row>
    <row r="164" spans="1:5" x14ac:dyDescent="0.35">
      <c r="A164" s="580" t="s">
        <v>459</v>
      </c>
      <c r="B164" s="580" t="s">
        <v>301</v>
      </c>
      <c r="C164" s="580">
        <v>114803351</v>
      </c>
      <c r="D164" s="580">
        <v>7.0699999999999999E-3</v>
      </c>
      <c r="E164" s="580">
        <v>811659.69</v>
      </c>
    </row>
    <row r="165" spans="1:5" x14ac:dyDescent="0.35">
      <c r="A165" s="580" t="s">
        <v>458</v>
      </c>
      <c r="B165" s="580" t="s">
        <v>301</v>
      </c>
      <c r="C165" s="580">
        <v>16060729</v>
      </c>
      <c r="D165" s="580">
        <v>1.091E-2</v>
      </c>
      <c r="E165" s="580">
        <v>175222.55</v>
      </c>
    </row>
    <row r="166" spans="1:5" x14ac:dyDescent="0.35">
      <c r="A166" s="580" t="s">
        <v>303</v>
      </c>
      <c r="B166" s="580" t="s">
        <v>303</v>
      </c>
      <c r="C166" s="580">
        <v>121238981</v>
      </c>
      <c r="D166" s="580">
        <v>1.371E-2</v>
      </c>
      <c r="E166" s="580">
        <v>1662186.43</v>
      </c>
    </row>
    <row r="167" spans="1:5" x14ac:dyDescent="0.35">
      <c r="A167" s="580" t="s">
        <v>458</v>
      </c>
      <c r="B167" s="580" t="s">
        <v>301</v>
      </c>
      <c r="C167" s="580">
        <v>17328314</v>
      </c>
      <c r="D167" s="580">
        <v>1.091E-2</v>
      </c>
      <c r="E167" s="580">
        <v>189051.91</v>
      </c>
    </row>
    <row r="168" spans="1:5" x14ac:dyDescent="0.35">
      <c r="A168" s="580" t="s">
        <v>459</v>
      </c>
      <c r="B168" s="580" t="s">
        <v>301</v>
      </c>
      <c r="C168" s="580">
        <v>118760999</v>
      </c>
      <c r="D168" s="580">
        <v>7.0699999999999999E-3</v>
      </c>
      <c r="E168" s="580">
        <v>839640.26</v>
      </c>
    </row>
    <row r="169" spans="1:5" x14ac:dyDescent="0.35">
      <c r="A169" s="580" t="s">
        <v>460</v>
      </c>
      <c r="B169" s="580" t="s">
        <v>301</v>
      </c>
      <c r="C169" s="580">
        <v>357134.8</v>
      </c>
      <c r="D169" s="580">
        <v>1.1383000999999999</v>
      </c>
      <c r="E169" s="580">
        <v>406526.57</v>
      </c>
    </row>
    <row r="170" spans="1:5" x14ac:dyDescent="0.35">
      <c r="A170" s="580" t="s">
        <v>463</v>
      </c>
      <c r="B170" s="580" t="s">
        <v>302</v>
      </c>
      <c r="C170" s="580">
        <v>49179588</v>
      </c>
      <c r="D170" s="580">
        <v>5.2199999999999998E-3</v>
      </c>
      <c r="E170" s="580">
        <v>256717.45</v>
      </c>
    </row>
    <row r="171" spans="1:5" x14ac:dyDescent="0.35">
      <c r="A171" s="580" t="s">
        <v>462</v>
      </c>
      <c r="B171" s="580" t="s">
        <v>302</v>
      </c>
      <c r="C171" s="580">
        <v>101296</v>
      </c>
      <c r="D171" s="580">
        <v>1.2131996</v>
      </c>
      <c r="E171" s="580">
        <v>122892.27</v>
      </c>
    </row>
    <row r="172" spans="1:5" x14ac:dyDescent="0.35">
      <c r="A172" s="580" t="s">
        <v>461</v>
      </c>
      <c r="B172" s="580" t="s">
        <v>304</v>
      </c>
      <c r="C172" s="580">
        <v>799255</v>
      </c>
      <c r="D172" s="580">
        <v>1.091E-2</v>
      </c>
      <c r="E172" s="580">
        <v>8719.8700000000008</v>
      </c>
    </row>
    <row r="173" spans="1:5" x14ac:dyDescent="0.35">
      <c r="A173" s="580" t="s">
        <v>303</v>
      </c>
      <c r="B173" s="580" t="s">
        <v>303</v>
      </c>
      <c r="C173" s="580">
        <v>128927382</v>
      </c>
      <c r="D173" s="580">
        <v>1.371E-2</v>
      </c>
      <c r="E173" s="580">
        <v>1767594.41</v>
      </c>
    </row>
    <row r="174" spans="1:5" x14ac:dyDescent="0.35">
      <c r="A174" s="580" t="s">
        <v>463</v>
      </c>
      <c r="B174" s="580" t="s">
        <v>302</v>
      </c>
      <c r="C174" s="580">
        <v>46999828</v>
      </c>
      <c r="D174" s="580">
        <v>5.2199999999999998E-3</v>
      </c>
      <c r="E174" s="580">
        <v>245339.1</v>
      </c>
    </row>
    <row r="175" spans="1:5" x14ac:dyDescent="0.35">
      <c r="A175" s="580" t="s">
        <v>462</v>
      </c>
      <c r="B175" s="580" t="s">
        <v>302</v>
      </c>
      <c r="C175" s="580">
        <v>99865</v>
      </c>
      <c r="D175" s="580">
        <v>1.2131999</v>
      </c>
      <c r="E175" s="580">
        <v>121156.21</v>
      </c>
    </row>
    <row r="176" spans="1:5" x14ac:dyDescent="0.35">
      <c r="A176" s="580" t="s">
        <v>461</v>
      </c>
      <c r="B176" s="580" t="s">
        <v>304</v>
      </c>
      <c r="C176" s="580">
        <v>804274</v>
      </c>
      <c r="D176" s="580">
        <v>1.091E-2</v>
      </c>
      <c r="E176" s="580">
        <v>8774.6299999999992</v>
      </c>
    </row>
    <row r="177" spans="1:5" x14ac:dyDescent="0.35">
      <c r="A177" s="580" t="s">
        <v>460</v>
      </c>
      <c r="B177" s="580" t="s">
        <v>301</v>
      </c>
      <c r="C177" s="580">
        <v>339525.2</v>
      </c>
      <c r="D177" s="580">
        <v>1.1383000999999999</v>
      </c>
      <c r="E177" s="580">
        <v>386481.56</v>
      </c>
    </row>
    <row r="178" spans="1:5" x14ac:dyDescent="0.35">
      <c r="A178" s="580" t="s">
        <v>303</v>
      </c>
      <c r="B178" s="580" t="s">
        <v>303</v>
      </c>
      <c r="C178" s="580">
        <v>109860992</v>
      </c>
      <c r="D178" s="580">
        <v>1.371E-2</v>
      </c>
      <c r="E178" s="580">
        <v>1506194.2</v>
      </c>
    </row>
    <row r="179" spans="1:5" x14ac:dyDescent="0.35">
      <c r="A179" s="580" t="s">
        <v>458</v>
      </c>
      <c r="B179" s="580" t="s">
        <v>301</v>
      </c>
      <c r="C179" s="580">
        <v>11381049</v>
      </c>
      <c r="D179" s="580">
        <v>1.091E-2</v>
      </c>
      <c r="E179" s="580">
        <v>124167.24</v>
      </c>
    </row>
    <row r="180" spans="1:5" x14ac:dyDescent="0.35">
      <c r="A180" s="580" t="s">
        <v>459</v>
      </c>
      <c r="B180" s="580" t="s">
        <v>301</v>
      </c>
      <c r="C180" s="580">
        <v>108468149</v>
      </c>
      <c r="D180" s="580">
        <v>7.0699999999999999E-3</v>
      </c>
      <c r="E180" s="580">
        <v>766869.81</v>
      </c>
    </row>
    <row r="181" spans="1:5" x14ac:dyDescent="0.35">
      <c r="A181" s="580" t="s">
        <v>458</v>
      </c>
      <c r="B181" s="580" t="s">
        <v>301</v>
      </c>
      <c r="C181" s="580">
        <v>14295406</v>
      </c>
      <c r="D181" s="580">
        <v>1.091E-2</v>
      </c>
      <c r="E181" s="580">
        <v>155962.88</v>
      </c>
    </row>
    <row r="182" spans="1:5" x14ac:dyDescent="0.35">
      <c r="A182" s="580" t="s">
        <v>459</v>
      </c>
      <c r="B182" s="580" t="s">
        <v>301</v>
      </c>
      <c r="C182" s="580">
        <v>103687358</v>
      </c>
      <c r="D182" s="580">
        <v>7.0699999999999999E-3</v>
      </c>
      <c r="E182" s="580">
        <v>733069.62</v>
      </c>
    </row>
    <row r="183" spans="1:5" x14ac:dyDescent="0.35">
      <c r="A183" s="580" t="s">
        <v>460</v>
      </c>
      <c r="B183" s="580" t="s">
        <v>301</v>
      </c>
      <c r="C183" s="580">
        <v>327753.2</v>
      </c>
      <c r="D183" s="580">
        <v>1.1383002</v>
      </c>
      <c r="E183" s="580">
        <v>373081.52</v>
      </c>
    </row>
    <row r="184" spans="1:5" x14ac:dyDescent="0.35">
      <c r="A184" s="580" t="s">
        <v>463</v>
      </c>
      <c r="B184" s="580" t="s">
        <v>302</v>
      </c>
      <c r="C184" s="580">
        <v>45806785</v>
      </c>
      <c r="D184" s="580">
        <v>5.2199999999999998E-3</v>
      </c>
      <c r="E184" s="580">
        <v>239111.42</v>
      </c>
    </row>
    <row r="185" spans="1:5" x14ac:dyDescent="0.35">
      <c r="A185" s="580" t="s">
        <v>462</v>
      </c>
      <c r="B185" s="580" t="s">
        <v>302</v>
      </c>
      <c r="C185" s="580">
        <v>91996</v>
      </c>
      <c r="D185" s="580">
        <v>1.2132000000000001</v>
      </c>
      <c r="E185" s="580">
        <v>111609.55</v>
      </c>
    </row>
    <row r="186" spans="1:5" x14ac:dyDescent="0.35">
      <c r="A186" s="580" t="s">
        <v>461</v>
      </c>
      <c r="B186" s="580" t="s">
        <v>304</v>
      </c>
      <c r="C186" s="580">
        <v>792974</v>
      </c>
      <c r="D186" s="580">
        <v>1.091E-2</v>
      </c>
      <c r="E186" s="580">
        <v>8651.35</v>
      </c>
    </row>
    <row r="187" spans="1:5" x14ac:dyDescent="0.35">
      <c r="A187" s="580" t="s">
        <v>303</v>
      </c>
      <c r="B187" s="580" t="s">
        <v>303</v>
      </c>
      <c r="C187" s="580">
        <v>103111091</v>
      </c>
      <c r="D187" s="580">
        <v>1.371E-2</v>
      </c>
      <c r="E187" s="580">
        <v>1413653.06</v>
      </c>
    </row>
    <row r="188" spans="1:5" x14ac:dyDescent="0.35">
      <c r="A188" s="580" t="s">
        <v>461</v>
      </c>
      <c r="B188" s="580" t="s">
        <v>304</v>
      </c>
      <c r="C188" s="580">
        <v>777543</v>
      </c>
      <c r="D188" s="580">
        <v>1.091E-2</v>
      </c>
      <c r="E188" s="580">
        <v>8482.99</v>
      </c>
    </row>
    <row r="189" spans="1:5" x14ac:dyDescent="0.35">
      <c r="A189" s="580" t="s">
        <v>462</v>
      </c>
      <c r="B189" s="580" t="s">
        <v>302</v>
      </c>
      <c r="C189" s="580">
        <v>90911</v>
      </c>
      <c r="D189" s="580">
        <v>1.2131999</v>
      </c>
      <c r="E189" s="580">
        <v>110293.22</v>
      </c>
    </row>
    <row r="190" spans="1:5" x14ac:dyDescent="0.35">
      <c r="A190" s="580" t="s">
        <v>463</v>
      </c>
      <c r="B190" s="580" t="s">
        <v>302</v>
      </c>
      <c r="C190" s="580">
        <v>51121299</v>
      </c>
      <c r="D190" s="580">
        <v>5.2199999999999998E-3</v>
      </c>
      <c r="E190" s="580">
        <v>266853.18</v>
      </c>
    </row>
    <row r="191" spans="1:5" x14ac:dyDescent="0.35">
      <c r="A191" s="580" t="s">
        <v>460</v>
      </c>
      <c r="B191" s="580" t="s">
        <v>301</v>
      </c>
      <c r="C191" s="580">
        <v>306355.7</v>
      </c>
      <c r="D191" s="580">
        <v>1.1383000000000001</v>
      </c>
      <c r="E191" s="580">
        <v>348724.69</v>
      </c>
    </row>
    <row r="192" spans="1:5" x14ac:dyDescent="0.35">
      <c r="A192" s="580" t="s">
        <v>459</v>
      </c>
      <c r="B192" s="580" t="s">
        <v>301</v>
      </c>
      <c r="C192" s="580">
        <v>96680620</v>
      </c>
      <c r="D192" s="580">
        <v>7.0699999999999999E-3</v>
      </c>
      <c r="E192" s="580">
        <v>683531.98</v>
      </c>
    </row>
    <row r="193" spans="1:5" x14ac:dyDescent="0.35">
      <c r="A193" s="580" t="s">
        <v>458</v>
      </c>
      <c r="B193" s="580" t="s">
        <v>301</v>
      </c>
      <c r="C193" s="580">
        <v>15011201</v>
      </c>
      <c r="D193" s="580">
        <v>1.091E-2</v>
      </c>
      <c r="E193" s="580">
        <v>163772.20000000001</v>
      </c>
    </row>
    <row r="194" spans="1:5" x14ac:dyDescent="0.35">
      <c r="A194" s="580" t="s">
        <v>303</v>
      </c>
      <c r="B194" s="580" t="s">
        <v>303</v>
      </c>
      <c r="C194" s="580">
        <v>115984021</v>
      </c>
      <c r="D194" s="580">
        <v>1.371E-2</v>
      </c>
      <c r="E194" s="580">
        <v>1590140.93</v>
      </c>
    </row>
    <row r="195" spans="1:5" x14ac:dyDescent="0.35">
      <c r="A195" s="580" t="s">
        <v>461</v>
      </c>
      <c r="B195" s="580" t="s">
        <v>304</v>
      </c>
      <c r="C195" s="580">
        <v>762052</v>
      </c>
      <c r="D195" s="580">
        <v>1.091E-2</v>
      </c>
      <c r="E195" s="580">
        <v>8313.99</v>
      </c>
    </row>
    <row r="196" spans="1:5" x14ac:dyDescent="0.35">
      <c r="A196" s="580" t="s">
        <v>462</v>
      </c>
      <c r="B196" s="580" t="s">
        <v>302</v>
      </c>
      <c r="C196" s="580">
        <v>98269</v>
      </c>
      <c r="D196" s="580">
        <v>1.2131999</v>
      </c>
      <c r="E196" s="580">
        <v>119219.94</v>
      </c>
    </row>
    <row r="197" spans="1:5" x14ac:dyDescent="0.35">
      <c r="A197" s="580" t="s">
        <v>463</v>
      </c>
      <c r="B197" s="580" t="s">
        <v>302</v>
      </c>
      <c r="C197" s="580">
        <v>58798623</v>
      </c>
      <c r="D197" s="580">
        <v>5.2199999999999998E-3</v>
      </c>
      <c r="E197" s="580">
        <v>306928.81</v>
      </c>
    </row>
    <row r="198" spans="1:5" x14ac:dyDescent="0.35">
      <c r="A198" s="580" t="s">
        <v>460</v>
      </c>
      <c r="B198" s="580" t="s">
        <v>301</v>
      </c>
      <c r="C198" s="580">
        <v>307158.2</v>
      </c>
      <c r="D198" s="580">
        <v>1.1383000000000001</v>
      </c>
      <c r="E198" s="580">
        <v>349638.18</v>
      </c>
    </row>
    <row r="199" spans="1:5" x14ac:dyDescent="0.35">
      <c r="A199" s="580" t="s">
        <v>459</v>
      </c>
      <c r="B199" s="580" t="s">
        <v>301</v>
      </c>
      <c r="C199" s="580">
        <v>100871771</v>
      </c>
      <c r="D199" s="580">
        <v>7.0699999999999999E-3</v>
      </c>
      <c r="E199" s="580">
        <v>713163.42</v>
      </c>
    </row>
    <row r="200" spans="1:5" x14ac:dyDescent="0.35">
      <c r="A200" s="580" t="s">
        <v>458</v>
      </c>
      <c r="B200" s="580" t="s">
        <v>301</v>
      </c>
      <c r="C200" s="580">
        <v>16342117</v>
      </c>
      <c r="D200" s="580">
        <v>1.091E-2</v>
      </c>
      <c r="E200" s="580">
        <v>178292.5</v>
      </c>
    </row>
    <row r="201" spans="1:5" x14ac:dyDescent="0.35">
      <c r="A201" s="580" t="s">
        <v>303</v>
      </c>
      <c r="B201" s="580" t="s">
        <v>303</v>
      </c>
      <c r="C201" s="580">
        <v>137814459</v>
      </c>
      <c r="D201" s="580">
        <v>1.371E-2</v>
      </c>
      <c r="E201" s="580">
        <v>1889436.23</v>
      </c>
    </row>
    <row r="202" spans="1:5" x14ac:dyDescent="0.35">
      <c r="A202" s="580" t="s">
        <v>458</v>
      </c>
      <c r="B202" s="580" t="s">
        <v>301</v>
      </c>
      <c r="C202" s="580">
        <v>18285253</v>
      </c>
      <c r="D202" s="580">
        <v>1.091E-2</v>
      </c>
      <c r="E202" s="580">
        <v>199492.11</v>
      </c>
    </row>
    <row r="203" spans="1:5" x14ac:dyDescent="0.35">
      <c r="A203" s="580" t="s">
        <v>459</v>
      </c>
      <c r="B203" s="580" t="s">
        <v>301</v>
      </c>
      <c r="C203" s="580">
        <v>105428170</v>
      </c>
      <c r="D203" s="580">
        <v>7.0699999999999999E-3</v>
      </c>
      <c r="E203" s="580">
        <v>745377.16</v>
      </c>
    </row>
    <row r="204" spans="1:5" x14ac:dyDescent="0.35">
      <c r="A204" s="580" t="s">
        <v>460</v>
      </c>
      <c r="B204" s="580" t="s">
        <v>301</v>
      </c>
      <c r="C204" s="580">
        <v>303060.3</v>
      </c>
      <c r="D204" s="580">
        <v>1.1383002</v>
      </c>
      <c r="E204" s="580">
        <v>344973.59</v>
      </c>
    </row>
    <row r="205" spans="1:5" x14ac:dyDescent="0.35">
      <c r="A205" s="580" t="s">
        <v>461</v>
      </c>
      <c r="B205" s="580" t="s">
        <v>304</v>
      </c>
      <c r="C205" s="580">
        <v>795083</v>
      </c>
      <c r="D205" s="580">
        <v>1.091E-2</v>
      </c>
      <c r="E205" s="580">
        <v>8674.36</v>
      </c>
    </row>
    <row r="206" spans="1:5" x14ac:dyDescent="0.35">
      <c r="A206" s="580" t="s">
        <v>462</v>
      </c>
      <c r="B206" s="580" t="s">
        <v>302</v>
      </c>
      <c r="C206" s="580">
        <v>78286</v>
      </c>
      <c r="D206" s="580">
        <v>1.2132004000000001</v>
      </c>
      <c r="E206" s="580">
        <v>94976.61</v>
      </c>
    </row>
    <row r="207" spans="1:5" x14ac:dyDescent="0.35">
      <c r="A207" s="580" t="s">
        <v>463</v>
      </c>
      <c r="B207" s="580" t="s">
        <v>302</v>
      </c>
      <c r="C207" s="580">
        <v>54864640</v>
      </c>
      <c r="D207" s="580">
        <v>5.2199999999999998E-3</v>
      </c>
      <c r="E207" s="580">
        <v>286393.42</v>
      </c>
    </row>
    <row r="208" spans="1:5" x14ac:dyDescent="0.35">
      <c r="A208" s="580" t="s">
        <v>303</v>
      </c>
      <c r="B208" s="580" t="s">
        <v>303</v>
      </c>
      <c r="C208" s="580">
        <v>153474718</v>
      </c>
      <c r="D208" s="580">
        <v>1.371E-2</v>
      </c>
      <c r="E208" s="580">
        <v>2104138.39</v>
      </c>
    </row>
    <row r="209" spans="1:5" x14ac:dyDescent="0.35">
      <c r="A209" s="580" t="s">
        <v>461</v>
      </c>
      <c r="B209" s="580" t="s">
        <v>304</v>
      </c>
      <c r="C209" s="580">
        <v>8545.8799999999992</v>
      </c>
      <c r="D209" s="580">
        <v>1.09E-2</v>
      </c>
      <c r="E209" s="580">
        <v>93.15</v>
      </c>
    </row>
    <row r="210" spans="1:5" x14ac:dyDescent="0.35">
      <c r="A210" s="580" t="s">
        <v>460</v>
      </c>
      <c r="B210" s="580" t="s">
        <v>301</v>
      </c>
      <c r="C210" s="580">
        <v>1626.1179999999999</v>
      </c>
      <c r="D210" s="580">
        <v>1.1383000000000001</v>
      </c>
      <c r="E210" s="580">
        <v>1851.01</v>
      </c>
    </row>
    <row r="211" spans="1:5" x14ac:dyDescent="0.35">
      <c r="A211" s="580" t="s">
        <v>458</v>
      </c>
      <c r="B211" s="580" t="s">
        <v>301</v>
      </c>
      <c r="C211" s="580">
        <v>427770</v>
      </c>
      <c r="D211" s="580">
        <v>1.0829999999999999E-2</v>
      </c>
      <c r="E211" s="580">
        <v>4633.4799999999996</v>
      </c>
    </row>
    <row r="212" spans="1:5" x14ac:dyDescent="0.35">
      <c r="A212" s="580" t="s">
        <v>459</v>
      </c>
      <c r="B212" s="580" t="s">
        <v>301</v>
      </c>
      <c r="C212" s="580">
        <v>424820</v>
      </c>
      <c r="D212" s="580">
        <v>7.0699999999999999E-3</v>
      </c>
      <c r="E212" s="580">
        <v>3003.48</v>
      </c>
    </row>
    <row r="213" spans="1:5" x14ac:dyDescent="0.35">
      <c r="A213" s="580" t="s">
        <v>303</v>
      </c>
      <c r="B213" s="580" t="s">
        <v>303</v>
      </c>
      <c r="C213" s="580">
        <v>2191211</v>
      </c>
      <c r="D213" s="580">
        <v>1.413E-2</v>
      </c>
      <c r="E213" s="580">
        <v>30961.82</v>
      </c>
    </row>
    <row r="214" spans="1:5" x14ac:dyDescent="0.35">
      <c r="A214" s="580" t="s">
        <v>461</v>
      </c>
      <c r="B214" s="580" t="s">
        <v>304</v>
      </c>
      <c r="C214" s="580">
        <v>8536.2099999999991</v>
      </c>
      <c r="D214" s="580">
        <v>1.09123E-2</v>
      </c>
      <c r="E214" s="580">
        <v>93.15</v>
      </c>
    </row>
    <row r="215" spans="1:5" x14ac:dyDescent="0.35">
      <c r="A215" s="580" t="s">
        <v>460</v>
      </c>
      <c r="B215" s="580" t="s">
        <v>301</v>
      </c>
      <c r="C215" s="580">
        <v>1734.732</v>
      </c>
      <c r="D215" s="580">
        <v>1.1383000000000001</v>
      </c>
      <c r="E215" s="580">
        <v>1974.65</v>
      </c>
    </row>
    <row r="216" spans="1:5" x14ac:dyDescent="0.35">
      <c r="A216" s="580" t="s">
        <v>459</v>
      </c>
      <c r="B216" s="580" t="s">
        <v>301</v>
      </c>
      <c r="C216" s="580">
        <v>472738</v>
      </c>
      <c r="D216" s="580">
        <v>7.0699999999999999E-3</v>
      </c>
      <c r="E216" s="580">
        <v>3342.26</v>
      </c>
    </row>
    <row r="217" spans="1:5" x14ac:dyDescent="0.35">
      <c r="A217" s="580" t="s">
        <v>458</v>
      </c>
      <c r="B217" s="580" t="s">
        <v>301</v>
      </c>
      <c r="C217" s="580">
        <v>453769</v>
      </c>
      <c r="D217" s="580">
        <v>1.091E-2</v>
      </c>
      <c r="E217" s="580">
        <v>4950.62</v>
      </c>
    </row>
    <row r="218" spans="1:5" x14ac:dyDescent="0.35">
      <c r="A218" s="580" t="s">
        <v>303</v>
      </c>
      <c r="B218" s="580" t="s">
        <v>303</v>
      </c>
      <c r="C218" s="580">
        <v>2359565</v>
      </c>
      <c r="D218" s="580">
        <v>1.371E-2</v>
      </c>
      <c r="E218" s="580">
        <v>32349.64</v>
      </c>
    </row>
    <row r="219" spans="1:5" x14ac:dyDescent="0.35">
      <c r="A219" s="580" t="s">
        <v>460</v>
      </c>
      <c r="B219" s="580" t="s">
        <v>301</v>
      </c>
      <c r="C219" s="580">
        <v>1561.8720000000001</v>
      </c>
      <c r="D219" s="580">
        <v>1.1383000000000001</v>
      </c>
      <c r="E219" s="580">
        <v>1777.88</v>
      </c>
    </row>
    <row r="220" spans="1:5" x14ac:dyDescent="0.35">
      <c r="A220" s="580" t="s">
        <v>461</v>
      </c>
      <c r="B220" s="580" t="s">
        <v>304</v>
      </c>
      <c r="C220" s="580">
        <v>8538.0400000000009</v>
      </c>
      <c r="D220" s="580">
        <v>1.091E-2</v>
      </c>
      <c r="E220" s="580">
        <v>93.15</v>
      </c>
    </row>
    <row r="221" spans="1:5" x14ac:dyDescent="0.35">
      <c r="A221" s="580" t="s">
        <v>459</v>
      </c>
      <c r="B221" s="580" t="s">
        <v>301</v>
      </c>
      <c r="C221" s="580">
        <v>401814</v>
      </c>
      <c r="D221" s="580">
        <v>7.0699999999999999E-3</v>
      </c>
      <c r="E221" s="580">
        <v>2840.83</v>
      </c>
    </row>
    <row r="222" spans="1:5" x14ac:dyDescent="0.35">
      <c r="A222" s="580" t="s">
        <v>303</v>
      </c>
      <c r="B222" s="580" t="s">
        <v>303</v>
      </c>
      <c r="C222" s="580">
        <v>1940712</v>
      </c>
      <c r="D222" s="580">
        <v>1.371E-2</v>
      </c>
      <c r="E222" s="580">
        <v>26607.17</v>
      </c>
    </row>
    <row r="223" spans="1:5" x14ac:dyDescent="0.35">
      <c r="A223" s="580" t="s">
        <v>458</v>
      </c>
      <c r="B223" s="580" t="s">
        <v>301</v>
      </c>
      <c r="C223" s="580">
        <v>386242</v>
      </c>
      <c r="D223" s="580">
        <v>1.091E-2</v>
      </c>
      <c r="E223" s="580">
        <v>4213.91</v>
      </c>
    </row>
    <row r="224" spans="1:5" x14ac:dyDescent="0.35">
      <c r="A224" s="580" t="s">
        <v>461</v>
      </c>
      <c r="B224" s="580" t="s">
        <v>304</v>
      </c>
      <c r="C224" s="580">
        <v>8538.0400000000009</v>
      </c>
      <c r="D224" s="580">
        <v>1.091E-2</v>
      </c>
      <c r="E224" s="580">
        <v>93.15</v>
      </c>
    </row>
    <row r="225" spans="1:5" x14ac:dyDescent="0.35">
      <c r="A225" s="580" t="s">
        <v>460</v>
      </c>
      <c r="B225" s="580" t="s">
        <v>301</v>
      </c>
      <c r="C225" s="580">
        <v>1568.06</v>
      </c>
      <c r="D225" s="580">
        <v>1.1383046999999999</v>
      </c>
      <c r="E225" s="580">
        <v>1784.93</v>
      </c>
    </row>
    <row r="226" spans="1:5" x14ac:dyDescent="0.35">
      <c r="A226" s="580" t="s">
        <v>459</v>
      </c>
      <c r="B226" s="580" t="s">
        <v>301</v>
      </c>
      <c r="C226" s="580">
        <v>461453</v>
      </c>
      <c r="D226" s="580">
        <v>7.0699999999999999E-3</v>
      </c>
      <c r="E226" s="580">
        <v>3262.48</v>
      </c>
    </row>
    <row r="227" spans="1:5" x14ac:dyDescent="0.35">
      <c r="A227" s="580" t="s">
        <v>458</v>
      </c>
      <c r="B227" s="580" t="s">
        <v>301</v>
      </c>
      <c r="C227" s="580">
        <v>456294</v>
      </c>
      <c r="D227" s="580">
        <v>1.091E-2</v>
      </c>
      <c r="E227" s="580">
        <v>4978.17</v>
      </c>
    </row>
    <row r="228" spans="1:5" x14ac:dyDescent="0.35">
      <c r="A228" s="580" t="s">
        <v>303</v>
      </c>
      <c r="B228" s="580" t="s">
        <v>303</v>
      </c>
      <c r="C228" s="580">
        <v>2251630</v>
      </c>
      <c r="D228" s="580">
        <v>1.371E-2</v>
      </c>
      <c r="E228" s="580">
        <v>30869.85</v>
      </c>
    </row>
    <row r="229" spans="1:5" x14ac:dyDescent="0.35">
      <c r="A229" s="580" t="s">
        <v>460</v>
      </c>
      <c r="B229" s="580" t="s">
        <v>301</v>
      </c>
      <c r="C229" s="580">
        <v>1601.71</v>
      </c>
      <c r="D229" s="580">
        <v>1.1383046999999999</v>
      </c>
      <c r="E229" s="580">
        <v>1823.23</v>
      </c>
    </row>
    <row r="230" spans="1:5" x14ac:dyDescent="0.35">
      <c r="A230" s="580" t="s">
        <v>461</v>
      </c>
      <c r="B230" s="580" t="s">
        <v>304</v>
      </c>
      <c r="C230" s="580">
        <v>8538.0400000000009</v>
      </c>
      <c r="D230" s="580">
        <v>1.091E-2</v>
      </c>
      <c r="E230" s="580">
        <v>93.15</v>
      </c>
    </row>
    <row r="231" spans="1:5" x14ac:dyDescent="0.35">
      <c r="A231" s="580" t="s">
        <v>459</v>
      </c>
      <c r="B231" s="580" t="s">
        <v>301</v>
      </c>
      <c r="C231" s="580">
        <v>432789</v>
      </c>
      <c r="D231" s="580">
        <v>7.0699999999999999E-3</v>
      </c>
      <c r="E231" s="580">
        <v>3059.82</v>
      </c>
    </row>
    <row r="232" spans="1:5" x14ac:dyDescent="0.35">
      <c r="A232" s="580" t="s">
        <v>458</v>
      </c>
      <c r="B232" s="580" t="s">
        <v>301</v>
      </c>
      <c r="C232" s="580">
        <v>378768</v>
      </c>
      <c r="D232" s="580">
        <v>1.091E-2</v>
      </c>
      <c r="E232" s="580">
        <v>4132.3599999999997</v>
      </c>
    </row>
    <row r="233" spans="1:5" x14ac:dyDescent="0.35">
      <c r="A233" s="580" t="s">
        <v>303</v>
      </c>
      <c r="B233" s="580" t="s">
        <v>303</v>
      </c>
      <c r="C233" s="580">
        <v>1687827</v>
      </c>
      <c r="D233" s="580">
        <v>1.371E-2</v>
      </c>
      <c r="E233" s="580">
        <v>23140.11</v>
      </c>
    </row>
    <row r="234" spans="1:5" x14ac:dyDescent="0.35">
      <c r="A234" s="580" t="s">
        <v>303</v>
      </c>
      <c r="B234" s="580" t="s">
        <v>303</v>
      </c>
      <c r="C234" s="580">
        <v>1641178</v>
      </c>
      <c r="D234" s="580">
        <v>1.371E-2</v>
      </c>
      <c r="E234" s="580">
        <v>22500.55</v>
      </c>
    </row>
    <row r="235" spans="1:5" x14ac:dyDescent="0.35">
      <c r="A235" s="580" t="s">
        <v>461</v>
      </c>
      <c r="B235" s="580" t="s">
        <v>304</v>
      </c>
      <c r="C235" s="580">
        <v>8538.0400000000009</v>
      </c>
      <c r="D235" s="580">
        <v>1.091E-2</v>
      </c>
      <c r="E235" s="580">
        <v>93.15</v>
      </c>
    </row>
    <row r="236" spans="1:5" x14ac:dyDescent="0.35">
      <c r="A236" s="580" t="s">
        <v>460</v>
      </c>
      <c r="B236" s="580" t="s">
        <v>301</v>
      </c>
      <c r="C236" s="580">
        <v>1526.614</v>
      </c>
      <c r="D236" s="580">
        <v>1.1383046999999999</v>
      </c>
      <c r="E236" s="580">
        <v>1737.75</v>
      </c>
    </row>
    <row r="237" spans="1:5" x14ac:dyDescent="0.35">
      <c r="A237" s="580" t="s">
        <v>459</v>
      </c>
      <c r="B237" s="580" t="s">
        <v>301</v>
      </c>
      <c r="C237" s="580">
        <v>409264</v>
      </c>
      <c r="D237" s="580">
        <v>7.0699999999999999E-3</v>
      </c>
      <c r="E237" s="580">
        <v>2893.5</v>
      </c>
    </row>
    <row r="238" spans="1:5" x14ac:dyDescent="0.35">
      <c r="A238" s="580" t="s">
        <v>458</v>
      </c>
      <c r="B238" s="580" t="s">
        <v>301</v>
      </c>
      <c r="C238" s="580">
        <v>392046</v>
      </c>
      <c r="D238" s="580">
        <v>1.091E-2</v>
      </c>
      <c r="E238" s="580">
        <v>4277.2299999999996</v>
      </c>
    </row>
    <row r="239" spans="1:5" x14ac:dyDescent="0.35">
      <c r="A239" s="580" t="s">
        <v>458</v>
      </c>
      <c r="B239" s="580" t="s">
        <v>301</v>
      </c>
      <c r="C239" s="580">
        <v>433071</v>
      </c>
      <c r="D239" s="580">
        <v>1.091E-2</v>
      </c>
      <c r="E239" s="580">
        <v>4724.8100000000004</v>
      </c>
    </row>
    <row r="240" spans="1:5" x14ac:dyDescent="0.35">
      <c r="A240" s="580" t="s">
        <v>303</v>
      </c>
      <c r="B240" s="580" t="s">
        <v>303</v>
      </c>
      <c r="C240" s="580">
        <v>1674511</v>
      </c>
      <c r="D240" s="580">
        <v>1.371E-2</v>
      </c>
      <c r="E240" s="580">
        <v>22957.55</v>
      </c>
    </row>
    <row r="241" spans="1:5" x14ac:dyDescent="0.35">
      <c r="A241" s="580" t="s">
        <v>459</v>
      </c>
      <c r="B241" s="580" t="s">
        <v>301</v>
      </c>
      <c r="C241" s="580">
        <v>499297</v>
      </c>
      <c r="D241" s="580">
        <v>7.0699999999999999E-3</v>
      </c>
      <c r="E241" s="580">
        <v>3530.03</v>
      </c>
    </row>
    <row r="242" spans="1:5" x14ac:dyDescent="0.35">
      <c r="A242" s="580" t="s">
        <v>460</v>
      </c>
      <c r="B242" s="580" t="s">
        <v>301</v>
      </c>
      <c r="C242" s="580">
        <v>1588.1320000000001</v>
      </c>
      <c r="D242" s="580">
        <v>1.1382996000000001</v>
      </c>
      <c r="E242" s="580">
        <v>1807.77</v>
      </c>
    </row>
    <row r="243" spans="1:5" x14ac:dyDescent="0.35">
      <c r="A243" s="580" t="s">
        <v>461</v>
      </c>
      <c r="B243" s="580" t="s">
        <v>304</v>
      </c>
      <c r="C243" s="580">
        <v>8538.0400000000009</v>
      </c>
      <c r="D243" s="580">
        <v>1.091E-2</v>
      </c>
      <c r="E243" s="580">
        <v>93.15</v>
      </c>
    </row>
    <row r="244" spans="1:5" x14ac:dyDescent="0.35">
      <c r="A244" s="580" t="s">
        <v>461</v>
      </c>
      <c r="B244" s="580" t="s">
        <v>304</v>
      </c>
      <c r="C244" s="580">
        <v>8538.0400000000009</v>
      </c>
      <c r="D244" s="580">
        <v>1.091E-2</v>
      </c>
      <c r="E244" s="580">
        <v>93.15</v>
      </c>
    </row>
    <row r="245" spans="1:5" x14ac:dyDescent="0.35">
      <c r="A245" s="580" t="s">
        <v>459</v>
      </c>
      <c r="B245" s="580" t="s">
        <v>301</v>
      </c>
      <c r="C245" s="580">
        <v>494913</v>
      </c>
      <c r="D245" s="580">
        <v>7.0699999999999999E-3</v>
      </c>
      <c r="E245" s="580">
        <v>3499.04</v>
      </c>
    </row>
    <row r="246" spans="1:5" x14ac:dyDescent="0.35">
      <c r="A246" s="580" t="s">
        <v>458</v>
      </c>
      <c r="B246" s="580" t="s">
        <v>301</v>
      </c>
      <c r="C246" s="580">
        <v>460750</v>
      </c>
      <c r="D246" s="580">
        <v>1.091E-2</v>
      </c>
      <c r="E246" s="580">
        <v>5026.79</v>
      </c>
    </row>
    <row r="247" spans="1:5" x14ac:dyDescent="0.35">
      <c r="A247" s="580" t="s">
        <v>303</v>
      </c>
      <c r="B247" s="580" t="s">
        <v>303</v>
      </c>
      <c r="C247" s="580">
        <v>1853013</v>
      </c>
      <c r="D247" s="580">
        <v>1.371E-2</v>
      </c>
      <c r="E247" s="580">
        <v>25404.81</v>
      </c>
    </row>
    <row r="248" spans="1:5" x14ac:dyDescent="0.35">
      <c r="A248" s="580" t="s">
        <v>460</v>
      </c>
      <c r="B248" s="580" t="s">
        <v>301</v>
      </c>
      <c r="C248" s="580">
        <v>1605.6130000000001</v>
      </c>
      <c r="D248" s="580">
        <v>1.1382996000000001</v>
      </c>
      <c r="E248" s="580">
        <v>1827.67</v>
      </c>
    </row>
    <row r="249" spans="1:5" x14ac:dyDescent="0.35">
      <c r="A249" s="580" t="s">
        <v>461</v>
      </c>
      <c r="B249" s="580" t="s">
        <v>304</v>
      </c>
      <c r="C249" s="580">
        <v>8517.8799999999992</v>
      </c>
      <c r="D249" s="580">
        <v>1.091E-2</v>
      </c>
      <c r="E249" s="580">
        <v>92.93</v>
      </c>
    </row>
    <row r="250" spans="1:5" x14ac:dyDescent="0.35">
      <c r="A250" s="580" t="s">
        <v>460</v>
      </c>
      <c r="B250" s="580" t="s">
        <v>301</v>
      </c>
      <c r="C250" s="580">
        <v>1596.8119999999999</v>
      </c>
      <c r="D250" s="580">
        <v>1.1383056</v>
      </c>
      <c r="E250" s="580">
        <v>1817.66</v>
      </c>
    </row>
    <row r="251" spans="1:5" x14ac:dyDescent="0.35">
      <c r="A251" s="580" t="s">
        <v>459</v>
      </c>
      <c r="B251" s="580" t="s">
        <v>301</v>
      </c>
      <c r="C251" s="580">
        <v>392981</v>
      </c>
      <c r="D251" s="580">
        <v>7.0699999999999999E-3</v>
      </c>
      <c r="E251" s="580">
        <v>2778.38</v>
      </c>
    </row>
    <row r="252" spans="1:5" x14ac:dyDescent="0.35">
      <c r="A252" s="580" t="s">
        <v>458</v>
      </c>
      <c r="B252" s="580" t="s">
        <v>301</v>
      </c>
      <c r="C252" s="580">
        <v>425031</v>
      </c>
      <c r="D252" s="580">
        <v>1.091E-2</v>
      </c>
      <c r="E252" s="580">
        <v>4637.09</v>
      </c>
    </row>
    <row r="253" spans="1:5" x14ac:dyDescent="0.35">
      <c r="A253" s="580" t="s">
        <v>303</v>
      </c>
      <c r="B253" s="580" t="s">
        <v>303</v>
      </c>
      <c r="C253" s="580">
        <v>1710219</v>
      </c>
      <c r="D253" s="580">
        <v>1.371E-2</v>
      </c>
      <c r="E253" s="580">
        <v>23447.11</v>
      </c>
    </row>
    <row r="254" spans="1:5" x14ac:dyDescent="0.35">
      <c r="A254" s="580" t="s">
        <v>458</v>
      </c>
      <c r="B254" s="580" t="s">
        <v>301</v>
      </c>
      <c r="C254" s="580">
        <v>406540</v>
      </c>
      <c r="D254" s="580">
        <v>1.091E-2</v>
      </c>
      <c r="E254" s="580">
        <v>4435.3500000000004</v>
      </c>
    </row>
    <row r="255" spans="1:5" x14ac:dyDescent="0.35">
      <c r="A255" s="580" t="s">
        <v>459</v>
      </c>
      <c r="B255" s="580" t="s">
        <v>301</v>
      </c>
      <c r="C255" s="580">
        <v>442362</v>
      </c>
      <c r="D255" s="580">
        <v>7.0699999999999999E-3</v>
      </c>
      <c r="E255" s="580">
        <v>3127.5</v>
      </c>
    </row>
    <row r="256" spans="1:5" x14ac:dyDescent="0.35">
      <c r="A256" s="580" t="s">
        <v>460</v>
      </c>
      <c r="B256" s="580" t="s">
        <v>301</v>
      </c>
      <c r="C256" s="580">
        <v>1695.6410000000001</v>
      </c>
      <c r="D256" s="580">
        <v>1.1382996000000001</v>
      </c>
      <c r="E256" s="580">
        <v>1930.15</v>
      </c>
    </row>
    <row r="257" spans="1:5" x14ac:dyDescent="0.35">
      <c r="A257" s="580" t="s">
        <v>461</v>
      </c>
      <c r="B257" s="580" t="s">
        <v>304</v>
      </c>
      <c r="C257" s="580">
        <v>8517.8799999999992</v>
      </c>
      <c r="D257" s="580">
        <v>1.091E-2</v>
      </c>
      <c r="E257" s="580">
        <v>92.93</v>
      </c>
    </row>
    <row r="258" spans="1:5" x14ac:dyDescent="0.35">
      <c r="A258" s="580" t="s">
        <v>303</v>
      </c>
      <c r="B258" s="580" t="s">
        <v>303</v>
      </c>
      <c r="C258" s="580">
        <v>2368847</v>
      </c>
      <c r="D258" s="580">
        <v>1.37103E-2</v>
      </c>
      <c r="E258" s="580">
        <v>32477.58</v>
      </c>
    </row>
    <row r="259" spans="1:5" x14ac:dyDescent="0.35">
      <c r="A259" s="580" t="s">
        <v>461</v>
      </c>
      <c r="B259" s="580" t="s">
        <v>304</v>
      </c>
      <c r="C259" s="580">
        <v>8347.39</v>
      </c>
      <c r="D259" s="580">
        <v>1.091E-2</v>
      </c>
      <c r="E259" s="580">
        <v>91.07</v>
      </c>
    </row>
    <row r="260" spans="1:5" x14ac:dyDescent="0.35">
      <c r="A260" s="580" t="s">
        <v>460</v>
      </c>
      <c r="B260" s="580" t="s">
        <v>301</v>
      </c>
      <c r="C260" s="580">
        <v>1605.84</v>
      </c>
      <c r="D260" s="580">
        <v>1.1383076999999999</v>
      </c>
      <c r="E260" s="580">
        <v>1827.94</v>
      </c>
    </row>
    <row r="261" spans="1:5" x14ac:dyDescent="0.35">
      <c r="A261" s="580" t="s">
        <v>459</v>
      </c>
      <c r="B261" s="580" t="s">
        <v>301</v>
      </c>
      <c r="C261" s="580">
        <v>430564</v>
      </c>
      <c r="D261" s="580">
        <v>7.0699999999999999E-3</v>
      </c>
      <c r="E261" s="580">
        <v>3044.09</v>
      </c>
    </row>
    <row r="262" spans="1:5" x14ac:dyDescent="0.35">
      <c r="A262" s="580" t="s">
        <v>458</v>
      </c>
      <c r="B262" s="580" t="s">
        <v>301</v>
      </c>
      <c r="C262" s="580">
        <v>403527</v>
      </c>
      <c r="D262" s="580">
        <v>1.091E-2</v>
      </c>
      <c r="E262" s="580">
        <v>4402.4799999999996</v>
      </c>
    </row>
    <row r="263" spans="1:5" x14ac:dyDescent="0.35">
      <c r="A263" s="580" t="s">
        <v>303</v>
      </c>
      <c r="B263" s="580" t="s">
        <v>303</v>
      </c>
      <c r="C263" s="580">
        <v>1712166</v>
      </c>
      <c r="D263" s="580">
        <v>1.371E-2</v>
      </c>
      <c r="E263" s="580">
        <v>23473.8</v>
      </c>
    </row>
    <row r="264" spans="1:5" x14ac:dyDescent="0.35">
      <c r="A264" s="580" t="s">
        <v>461</v>
      </c>
      <c r="B264" s="580" t="s">
        <v>304</v>
      </c>
      <c r="C264" s="580">
        <v>10498</v>
      </c>
      <c r="D264" s="580">
        <v>1.091E-2</v>
      </c>
      <c r="E264" s="580">
        <v>114.53</v>
      </c>
    </row>
    <row r="265" spans="1:5" x14ac:dyDescent="0.35">
      <c r="A265" s="580" t="s">
        <v>460</v>
      </c>
      <c r="B265" s="580" t="s">
        <v>301</v>
      </c>
      <c r="C265" s="580">
        <v>2114.8200000000002</v>
      </c>
      <c r="D265" s="580">
        <v>1.1383002</v>
      </c>
      <c r="E265" s="580">
        <v>2407.3000000000002</v>
      </c>
    </row>
    <row r="266" spans="1:5" x14ac:dyDescent="0.35">
      <c r="A266" s="580" t="s">
        <v>459</v>
      </c>
      <c r="B266" s="580" t="s">
        <v>301</v>
      </c>
      <c r="C266" s="580">
        <v>492412</v>
      </c>
      <c r="D266" s="580">
        <v>7.0699999999999999E-3</v>
      </c>
      <c r="E266" s="580">
        <v>3481.35</v>
      </c>
    </row>
    <row r="267" spans="1:5" x14ac:dyDescent="0.35">
      <c r="A267" s="580" t="s">
        <v>458</v>
      </c>
      <c r="B267" s="580" t="s">
        <v>301</v>
      </c>
      <c r="C267" s="580">
        <v>432359</v>
      </c>
      <c r="D267" s="580">
        <v>1.091E-2</v>
      </c>
      <c r="E267" s="580">
        <v>4717.04</v>
      </c>
    </row>
    <row r="268" spans="1:5" x14ac:dyDescent="0.35">
      <c r="A268" s="580" t="s">
        <v>303</v>
      </c>
      <c r="B268" s="580" t="s">
        <v>303</v>
      </c>
      <c r="C268" s="580">
        <v>1999392</v>
      </c>
      <c r="D268" s="580">
        <v>1.371E-2</v>
      </c>
      <c r="E268" s="580">
        <v>27411.67</v>
      </c>
    </row>
    <row r="269" spans="1:5" x14ac:dyDescent="0.35">
      <c r="A269" s="580" t="s">
        <v>461</v>
      </c>
      <c r="B269" s="580" t="s">
        <v>304</v>
      </c>
      <c r="C269" s="580">
        <v>3592</v>
      </c>
      <c r="D269" s="580">
        <v>1.091E-2</v>
      </c>
      <c r="E269" s="580">
        <v>39.19</v>
      </c>
    </row>
    <row r="270" spans="1:5" x14ac:dyDescent="0.35">
      <c r="A270" s="580" t="s">
        <v>460</v>
      </c>
      <c r="B270" s="580" t="s">
        <v>301</v>
      </c>
      <c r="C270" s="580">
        <v>413.58</v>
      </c>
      <c r="D270" s="580">
        <v>1.1383000000000001</v>
      </c>
      <c r="E270" s="580">
        <v>470.78</v>
      </c>
    </row>
    <row r="271" spans="1:5" x14ac:dyDescent="0.35">
      <c r="A271" s="580" t="s">
        <v>459</v>
      </c>
      <c r="B271" s="580" t="s">
        <v>301</v>
      </c>
      <c r="C271" s="580">
        <v>146400</v>
      </c>
      <c r="D271" s="580">
        <v>7.0699999999999999E-3</v>
      </c>
      <c r="E271" s="580">
        <v>1035.05</v>
      </c>
    </row>
    <row r="272" spans="1:5" x14ac:dyDescent="0.35">
      <c r="A272" s="580" t="s">
        <v>458</v>
      </c>
      <c r="B272" s="580" t="s">
        <v>301</v>
      </c>
      <c r="C272" s="580">
        <v>223610</v>
      </c>
      <c r="D272" s="580">
        <v>1.091E-2</v>
      </c>
      <c r="E272" s="580">
        <v>2439.59</v>
      </c>
    </row>
    <row r="273" spans="1:5" ht="12.75" customHeight="1" x14ac:dyDescent="0.45">
      <c r="A273" s="580" t="s">
        <v>303</v>
      </c>
      <c r="B273" s="580" t="s">
        <v>303</v>
      </c>
      <c r="C273" s="279">
        <v>958467</v>
      </c>
      <c r="D273" s="581">
        <v>1.3710200000000001E-2</v>
      </c>
      <c r="E273" s="279">
        <v>13140.77</v>
      </c>
    </row>
    <row r="274" spans="1:5" x14ac:dyDescent="0.35">
      <c r="A274" s="580" t="s">
        <v>461</v>
      </c>
      <c r="B274" s="580" t="s">
        <v>304</v>
      </c>
      <c r="C274" s="580">
        <v>3592</v>
      </c>
      <c r="D274" s="580">
        <v>1.091E-2</v>
      </c>
      <c r="E274" s="580">
        <v>39.19</v>
      </c>
    </row>
    <row r="275" spans="1:5" x14ac:dyDescent="0.35">
      <c r="A275" s="580" t="s">
        <v>460</v>
      </c>
      <c r="B275" s="580" t="s">
        <v>301</v>
      </c>
      <c r="C275" s="580">
        <v>418.9</v>
      </c>
      <c r="D275" s="580">
        <v>1.1383000000000001</v>
      </c>
      <c r="E275" s="580">
        <v>476.83</v>
      </c>
    </row>
    <row r="276" spans="1:5" x14ac:dyDescent="0.35">
      <c r="A276" s="580" t="s">
        <v>459</v>
      </c>
      <c r="B276" s="580" t="s">
        <v>301</v>
      </c>
      <c r="C276" s="580">
        <v>122400</v>
      </c>
      <c r="D276" s="580">
        <v>7.0699999999999999E-3</v>
      </c>
      <c r="E276" s="580">
        <v>865.37</v>
      </c>
    </row>
    <row r="277" spans="1:5" x14ac:dyDescent="0.35">
      <c r="A277" s="580" t="s">
        <v>458</v>
      </c>
      <c r="B277" s="580" t="s">
        <v>301</v>
      </c>
      <c r="C277" s="580">
        <v>176227</v>
      </c>
      <c r="D277" s="580">
        <v>1.091E-2</v>
      </c>
      <c r="E277" s="580">
        <v>1922.64</v>
      </c>
    </row>
    <row r="278" spans="1:5" x14ac:dyDescent="0.35">
      <c r="A278" s="580" t="s">
        <v>303</v>
      </c>
      <c r="B278" s="580" t="s">
        <v>303</v>
      </c>
      <c r="C278" s="580">
        <v>718668</v>
      </c>
      <c r="D278" s="580">
        <v>1.371E-2</v>
      </c>
      <c r="E278" s="580">
        <v>9852.94</v>
      </c>
    </row>
    <row r="279" spans="1:5" x14ac:dyDescent="0.35">
      <c r="A279" s="580" t="s">
        <v>458</v>
      </c>
      <c r="B279" s="580" t="s">
        <v>301</v>
      </c>
      <c r="C279" s="580">
        <v>169681</v>
      </c>
      <c r="D279" s="580">
        <v>1.091E-2</v>
      </c>
      <c r="E279" s="580">
        <v>1851.22</v>
      </c>
    </row>
    <row r="280" spans="1:5" x14ac:dyDescent="0.35">
      <c r="A280" s="580" t="s">
        <v>459</v>
      </c>
      <c r="B280" s="580" t="s">
        <v>301</v>
      </c>
      <c r="C280" s="580">
        <v>104560</v>
      </c>
      <c r="D280" s="580">
        <v>7.0699999999999999E-3</v>
      </c>
      <c r="E280" s="580">
        <v>739.24</v>
      </c>
    </row>
    <row r="281" spans="1:5" x14ac:dyDescent="0.35">
      <c r="A281" s="580" t="s">
        <v>460</v>
      </c>
      <c r="B281" s="580" t="s">
        <v>301</v>
      </c>
      <c r="C281" s="580">
        <v>419.28</v>
      </c>
      <c r="D281" s="580">
        <v>1.1383000000000001</v>
      </c>
      <c r="E281" s="580">
        <v>477.27</v>
      </c>
    </row>
    <row r="282" spans="1:5" x14ac:dyDescent="0.35">
      <c r="A282" s="580" t="s">
        <v>461</v>
      </c>
      <c r="B282" s="580" t="s">
        <v>304</v>
      </c>
      <c r="C282" s="580">
        <v>3592</v>
      </c>
      <c r="D282" s="580">
        <v>1.091E-2</v>
      </c>
      <c r="E282" s="580">
        <v>39.19</v>
      </c>
    </row>
    <row r="283" spans="1:5" x14ac:dyDescent="0.35">
      <c r="A283" s="580" t="s">
        <v>303</v>
      </c>
      <c r="B283" s="580" t="s">
        <v>303</v>
      </c>
      <c r="C283" s="580">
        <v>680293.5</v>
      </c>
      <c r="D283" s="580">
        <v>1.371E-2</v>
      </c>
      <c r="E283" s="580">
        <v>9326.82</v>
      </c>
    </row>
    <row r="284" spans="1:5" x14ac:dyDescent="0.35">
      <c r="A284" s="580" t="s">
        <v>458</v>
      </c>
      <c r="B284" s="580" t="s">
        <v>301</v>
      </c>
      <c r="C284" s="580">
        <v>185692</v>
      </c>
      <c r="D284" s="580">
        <v>1.091E-2</v>
      </c>
      <c r="E284" s="580">
        <v>2025.9</v>
      </c>
    </row>
    <row r="285" spans="1:5" x14ac:dyDescent="0.35">
      <c r="A285" s="580" t="s">
        <v>459</v>
      </c>
      <c r="B285" s="580" t="s">
        <v>301</v>
      </c>
      <c r="C285" s="580">
        <v>133600</v>
      </c>
      <c r="D285" s="580">
        <v>7.0699999999999999E-3</v>
      </c>
      <c r="E285" s="580">
        <v>944.55</v>
      </c>
    </row>
    <row r="286" spans="1:5" x14ac:dyDescent="0.35">
      <c r="A286" s="580" t="s">
        <v>460</v>
      </c>
      <c r="B286" s="580" t="s">
        <v>301</v>
      </c>
      <c r="C286" s="580">
        <v>412.16</v>
      </c>
      <c r="D286" s="580">
        <v>1.1383000000000001</v>
      </c>
      <c r="E286" s="580">
        <v>469.16</v>
      </c>
    </row>
    <row r="287" spans="1:5" x14ac:dyDescent="0.35">
      <c r="A287" s="580" t="s">
        <v>461</v>
      </c>
      <c r="B287" s="580" t="s">
        <v>304</v>
      </c>
      <c r="C287" s="580">
        <v>3592</v>
      </c>
      <c r="D287" s="580">
        <v>1.091E-2</v>
      </c>
      <c r="E287" s="580">
        <v>39.19</v>
      </c>
    </row>
    <row r="288" spans="1:5" x14ac:dyDescent="0.35">
      <c r="A288" s="580" t="s">
        <v>303</v>
      </c>
      <c r="B288" s="580" t="s">
        <v>303</v>
      </c>
      <c r="C288" s="580">
        <v>688294.5</v>
      </c>
      <c r="D288" s="580">
        <v>1.371E-2</v>
      </c>
      <c r="E288" s="580">
        <v>9436.52</v>
      </c>
    </row>
    <row r="289" spans="1:5" x14ac:dyDescent="0.35">
      <c r="A289" s="580" t="s">
        <v>458</v>
      </c>
      <c r="B289" s="580" t="s">
        <v>301</v>
      </c>
      <c r="C289" s="580">
        <v>184648</v>
      </c>
      <c r="D289" s="580">
        <v>1.091E-2</v>
      </c>
      <c r="E289" s="580">
        <v>2014.51</v>
      </c>
    </row>
    <row r="290" spans="1:5" x14ac:dyDescent="0.35">
      <c r="A290" s="580" t="s">
        <v>303</v>
      </c>
      <c r="B290" s="580" t="s">
        <v>303</v>
      </c>
      <c r="C290" s="580">
        <v>614836</v>
      </c>
      <c r="D290" s="580">
        <v>1.371E-2</v>
      </c>
      <c r="E290" s="580">
        <v>8429.4</v>
      </c>
    </row>
    <row r="291" spans="1:5" x14ac:dyDescent="0.35">
      <c r="A291" s="580" t="s">
        <v>459</v>
      </c>
      <c r="B291" s="580" t="s">
        <v>301</v>
      </c>
      <c r="C291" s="580">
        <v>118280</v>
      </c>
      <c r="D291" s="580">
        <v>7.0699999999999999E-3</v>
      </c>
      <c r="E291" s="580">
        <v>836.24</v>
      </c>
    </row>
    <row r="292" spans="1:5" x14ac:dyDescent="0.35">
      <c r="A292" s="580" t="s">
        <v>460</v>
      </c>
      <c r="B292" s="580" t="s">
        <v>301</v>
      </c>
      <c r="C292" s="580">
        <v>411.52</v>
      </c>
      <c r="D292" s="580">
        <v>1.1383000000000001</v>
      </c>
      <c r="E292" s="580">
        <v>468.43</v>
      </c>
    </row>
    <row r="293" spans="1:5" x14ac:dyDescent="0.35">
      <c r="A293" s="580" t="s">
        <v>461</v>
      </c>
      <c r="B293" s="580" t="s">
        <v>304</v>
      </c>
      <c r="C293" s="580">
        <v>3592</v>
      </c>
      <c r="D293" s="580">
        <v>1.091E-2</v>
      </c>
      <c r="E293" s="580">
        <v>39.19</v>
      </c>
    </row>
    <row r="294" spans="1:5" x14ac:dyDescent="0.35">
      <c r="A294" s="580" t="s">
        <v>461</v>
      </c>
      <c r="B294" s="580" t="s">
        <v>304</v>
      </c>
      <c r="C294" s="580">
        <v>37323</v>
      </c>
      <c r="D294" s="580">
        <v>1.091E-3</v>
      </c>
      <c r="E294" s="580">
        <v>40.72</v>
      </c>
    </row>
    <row r="295" spans="1:5" x14ac:dyDescent="0.35">
      <c r="A295" s="580" t="s">
        <v>460</v>
      </c>
      <c r="B295" s="580" t="s">
        <v>301</v>
      </c>
      <c r="C295" s="580">
        <v>409.12</v>
      </c>
      <c r="D295" s="580">
        <v>1.1383000000000001</v>
      </c>
      <c r="E295" s="580">
        <v>465.7</v>
      </c>
    </row>
    <row r="296" spans="1:5" x14ac:dyDescent="0.35">
      <c r="A296" s="580" t="s">
        <v>459</v>
      </c>
      <c r="B296" s="580" t="s">
        <v>301</v>
      </c>
      <c r="C296" s="580">
        <v>111080</v>
      </c>
      <c r="D296" s="580">
        <v>7.0699999999999999E-3</v>
      </c>
      <c r="E296" s="580">
        <v>785.34</v>
      </c>
    </row>
    <row r="297" spans="1:5" x14ac:dyDescent="0.35">
      <c r="A297" s="580" t="s">
        <v>458</v>
      </c>
      <c r="B297" s="580" t="s">
        <v>301</v>
      </c>
      <c r="C297" s="580">
        <v>192143</v>
      </c>
      <c r="D297" s="580">
        <v>1.091E-2</v>
      </c>
      <c r="E297" s="580">
        <v>2096.2800000000002</v>
      </c>
    </row>
    <row r="298" spans="1:5" x14ac:dyDescent="0.35">
      <c r="A298" s="580" t="s">
        <v>303</v>
      </c>
      <c r="B298" s="580" t="s">
        <v>303</v>
      </c>
      <c r="C298" s="580">
        <v>661447</v>
      </c>
      <c r="D298" s="580">
        <v>1.371E-2</v>
      </c>
      <c r="E298" s="580">
        <v>9068.43</v>
      </c>
    </row>
    <row r="299" spans="1:5" x14ac:dyDescent="0.35">
      <c r="A299" s="580" t="s">
        <v>461</v>
      </c>
      <c r="B299" s="580" t="s">
        <v>304</v>
      </c>
      <c r="C299" s="580">
        <v>3632</v>
      </c>
      <c r="D299" s="580">
        <v>1.091E-2</v>
      </c>
      <c r="E299" s="580">
        <v>39.630000000000003</v>
      </c>
    </row>
    <row r="300" spans="1:5" x14ac:dyDescent="0.35">
      <c r="A300" s="580" t="s">
        <v>460</v>
      </c>
      <c r="B300" s="580" t="s">
        <v>301</v>
      </c>
      <c r="C300" s="580">
        <v>412.32</v>
      </c>
      <c r="D300" s="580">
        <v>1.1383000000000001</v>
      </c>
      <c r="E300" s="580">
        <v>469.34</v>
      </c>
    </row>
    <row r="301" spans="1:5" x14ac:dyDescent="0.35">
      <c r="A301" s="580" t="s">
        <v>459</v>
      </c>
      <c r="B301" s="580" t="s">
        <v>301</v>
      </c>
      <c r="C301" s="580">
        <v>105960</v>
      </c>
      <c r="D301" s="580">
        <v>7.0699999999999999E-3</v>
      </c>
      <c r="E301" s="580">
        <v>749.14</v>
      </c>
    </row>
    <row r="302" spans="1:5" x14ac:dyDescent="0.35">
      <c r="A302" s="580" t="s">
        <v>458</v>
      </c>
      <c r="B302" s="580" t="s">
        <v>301</v>
      </c>
      <c r="C302" s="580">
        <v>180680</v>
      </c>
      <c r="D302" s="580">
        <v>1.091E-2</v>
      </c>
      <c r="E302" s="580">
        <v>1971.22</v>
      </c>
    </row>
    <row r="303" spans="1:5" x14ac:dyDescent="0.35">
      <c r="A303" s="580" t="s">
        <v>303</v>
      </c>
      <c r="B303" s="580" t="s">
        <v>303</v>
      </c>
      <c r="C303" s="580">
        <v>741457</v>
      </c>
      <c r="D303" s="580">
        <v>1.371E-2</v>
      </c>
      <c r="E303" s="580">
        <v>10165.379999999999</v>
      </c>
    </row>
    <row r="304" spans="1:5" x14ac:dyDescent="0.35">
      <c r="A304" s="580" t="s">
        <v>458</v>
      </c>
      <c r="B304" s="580" t="s">
        <v>301</v>
      </c>
      <c r="C304" s="580">
        <v>217493</v>
      </c>
      <c r="D304" s="580">
        <v>1.091E-2</v>
      </c>
      <c r="E304" s="580">
        <v>2372.85</v>
      </c>
    </row>
    <row r="305" spans="1:5" x14ac:dyDescent="0.35">
      <c r="A305" s="580" t="s">
        <v>303</v>
      </c>
      <c r="B305" s="580" t="s">
        <v>303</v>
      </c>
      <c r="C305" s="580">
        <v>540500</v>
      </c>
      <c r="D305" s="580">
        <v>1.371E-2</v>
      </c>
      <c r="E305" s="580">
        <v>7410.25</v>
      </c>
    </row>
    <row r="306" spans="1:5" x14ac:dyDescent="0.35">
      <c r="A306" s="580" t="s">
        <v>460</v>
      </c>
      <c r="B306" s="580" t="s">
        <v>301</v>
      </c>
      <c r="C306" s="580">
        <v>411.52</v>
      </c>
      <c r="D306" s="580">
        <v>1.1383000000000001</v>
      </c>
      <c r="E306" s="580">
        <v>468.43</v>
      </c>
    </row>
    <row r="307" spans="1:5" ht="12.75" customHeight="1" x14ac:dyDescent="0.45">
      <c r="A307" s="580" t="s">
        <v>461</v>
      </c>
      <c r="B307" s="580" t="s">
        <v>304</v>
      </c>
      <c r="C307" s="582">
        <v>3732</v>
      </c>
      <c r="D307" s="581">
        <v>1.091E-2</v>
      </c>
      <c r="E307" s="279">
        <v>40.72</v>
      </c>
    </row>
    <row r="308" spans="1:5" x14ac:dyDescent="0.35">
      <c r="A308" s="580" t="s">
        <v>459</v>
      </c>
      <c r="B308" s="580" t="s">
        <v>301</v>
      </c>
      <c r="C308" s="580">
        <v>108640</v>
      </c>
      <c r="D308" s="580">
        <v>7.0699999999999999E-3</v>
      </c>
      <c r="E308" s="580">
        <v>768.08</v>
      </c>
    </row>
    <row r="309" spans="1:5" x14ac:dyDescent="0.35">
      <c r="A309" s="580" t="s">
        <v>303</v>
      </c>
      <c r="B309" s="580" t="s">
        <v>303</v>
      </c>
      <c r="C309" s="580">
        <v>618146.5</v>
      </c>
      <c r="D309" s="580">
        <v>1.371E-2</v>
      </c>
      <c r="E309" s="580">
        <v>8474.7900000000009</v>
      </c>
    </row>
    <row r="310" spans="1:5" x14ac:dyDescent="0.35">
      <c r="A310" s="580" t="s">
        <v>458</v>
      </c>
      <c r="B310" s="580" t="s">
        <v>301</v>
      </c>
      <c r="C310" s="580">
        <v>197588</v>
      </c>
      <c r="D310" s="580">
        <v>1.091E-2</v>
      </c>
      <c r="E310" s="580">
        <v>2155.69</v>
      </c>
    </row>
    <row r="311" spans="1:5" x14ac:dyDescent="0.35">
      <c r="A311" s="580" t="s">
        <v>459</v>
      </c>
      <c r="B311" s="580" t="s">
        <v>301</v>
      </c>
      <c r="C311" s="580">
        <v>122560</v>
      </c>
      <c r="D311" s="580">
        <v>7.0699999999999999E-3</v>
      </c>
      <c r="E311" s="580">
        <v>866.5</v>
      </c>
    </row>
    <row r="312" spans="1:5" x14ac:dyDescent="0.35">
      <c r="A312" s="580" t="s">
        <v>461</v>
      </c>
      <c r="B312" s="580" t="s">
        <v>304</v>
      </c>
      <c r="C312" s="580">
        <v>3732</v>
      </c>
      <c r="D312" s="580">
        <v>1.091E-2</v>
      </c>
      <c r="E312" s="580">
        <v>40.72</v>
      </c>
    </row>
    <row r="313" spans="1:5" x14ac:dyDescent="0.35">
      <c r="A313" s="580" t="s">
        <v>460</v>
      </c>
      <c r="B313" s="580" t="s">
        <v>301</v>
      </c>
      <c r="C313" s="580">
        <v>414</v>
      </c>
      <c r="D313" s="580">
        <v>1.13831E-2</v>
      </c>
      <c r="E313" s="580">
        <v>491.51</v>
      </c>
    </row>
    <row r="314" spans="1:5" x14ac:dyDescent="0.35">
      <c r="A314" s="580" t="s">
        <v>303</v>
      </c>
      <c r="B314" s="580" t="s">
        <v>303</v>
      </c>
      <c r="C314" s="580">
        <v>802075</v>
      </c>
      <c r="D314" s="580">
        <v>1.371E-2</v>
      </c>
      <c r="E314" s="580">
        <v>10996.44</v>
      </c>
    </row>
    <row r="315" spans="1:5" x14ac:dyDescent="0.35">
      <c r="A315" s="580" t="s">
        <v>458</v>
      </c>
      <c r="B315" s="580" t="s">
        <v>301</v>
      </c>
      <c r="C315" s="580">
        <v>195301</v>
      </c>
      <c r="D315" s="580">
        <v>1.091E-2</v>
      </c>
      <c r="E315" s="580">
        <v>2130.73</v>
      </c>
    </row>
    <row r="316" spans="1:5" x14ac:dyDescent="0.35">
      <c r="A316" s="580" t="s">
        <v>459</v>
      </c>
      <c r="B316" s="580" t="s">
        <v>301</v>
      </c>
      <c r="C316" s="580">
        <v>137040</v>
      </c>
      <c r="D316" s="580">
        <v>7.0699999999999999E-3</v>
      </c>
      <c r="E316" s="580">
        <v>968.87</v>
      </c>
    </row>
    <row r="317" spans="1:5" x14ac:dyDescent="0.35">
      <c r="A317" s="580" t="s">
        <v>460</v>
      </c>
      <c r="B317" s="580" t="s">
        <v>301</v>
      </c>
      <c r="C317" s="580">
        <v>38066</v>
      </c>
      <c r="D317" s="580">
        <v>1.13831E-2</v>
      </c>
      <c r="E317" s="580">
        <v>433.31</v>
      </c>
    </row>
    <row r="318" spans="1:5" x14ac:dyDescent="0.35">
      <c r="A318" s="580" t="s">
        <v>461</v>
      </c>
      <c r="B318" s="580" t="s">
        <v>304</v>
      </c>
      <c r="C318" s="580">
        <v>3732</v>
      </c>
      <c r="D318" s="580">
        <v>1.091E-2</v>
      </c>
      <c r="E318" s="580">
        <v>40.72</v>
      </c>
    </row>
    <row r="319" spans="1:5" x14ac:dyDescent="0.35">
      <c r="A319" s="580" t="s">
        <v>458</v>
      </c>
      <c r="B319" s="580" t="s">
        <v>301</v>
      </c>
      <c r="C319" s="580">
        <v>50809</v>
      </c>
      <c r="D319" s="580">
        <v>1.091E-2</v>
      </c>
      <c r="E319" s="580">
        <v>554.32000000000005</v>
      </c>
    </row>
    <row r="320" spans="1:5" x14ac:dyDescent="0.35">
      <c r="A320" s="580" t="s">
        <v>459</v>
      </c>
      <c r="B320" s="580" t="s">
        <v>301</v>
      </c>
      <c r="C320" s="580">
        <v>72857</v>
      </c>
      <c r="D320" s="580">
        <v>7.0699999999999999E-3</v>
      </c>
      <c r="E320" s="580">
        <v>515.09</v>
      </c>
    </row>
    <row r="321" spans="1:5" x14ac:dyDescent="0.35">
      <c r="A321" s="580" t="s">
        <v>460</v>
      </c>
      <c r="B321" s="580" t="s">
        <v>301</v>
      </c>
      <c r="C321" s="580">
        <v>426</v>
      </c>
      <c r="D321" s="580">
        <v>1.1383099999999999</v>
      </c>
      <c r="E321" s="580">
        <v>484.92</v>
      </c>
    </row>
    <row r="322" spans="1:5" x14ac:dyDescent="0.35">
      <c r="A322" s="580" t="s">
        <v>461</v>
      </c>
      <c r="B322" s="580" t="s">
        <v>304</v>
      </c>
      <c r="C322" s="580">
        <v>4347</v>
      </c>
      <c r="D322" s="580">
        <v>1.091E-2</v>
      </c>
      <c r="E322" s="580">
        <v>47.43</v>
      </c>
    </row>
    <row r="323" spans="1:5" x14ac:dyDescent="0.35">
      <c r="A323" s="580" t="s">
        <v>303</v>
      </c>
      <c r="B323" s="580" t="s">
        <v>303</v>
      </c>
      <c r="C323" s="580">
        <v>333425</v>
      </c>
      <c r="D323" s="580">
        <v>1.371E-2</v>
      </c>
      <c r="E323" s="580">
        <v>4571.26</v>
      </c>
    </row>
    <row r="324" spans="1:5" x14ac:dyDescent="0.35">
      <c r="A324" s="580" t="s">
        <v>458</v>
      </c>
      <c r="B324" s="580" t="s">
        <v>301</v>
      </c>
      <c r="C324" s="580">
        <v>56032</v>
      </c>
      <c r="D324" s="580">
        <v>1.09102E-2</v>
      </c>
      <c r="E324" s="580">
        <v>611.32000000000005</v>
      </c>
    </row>
    <row r="325" spans="1:5" x14ac:dyDescent="0.35">
      <c r="A325" s="580" t="s">
        <v>303</v>
      </c>
      <c r="B325" s="580" t="s">
        <v>303</v>
      </c>
      <c r="C325" s="580">
        <v>385810</v>
      </c>
      <c r="D325" s="580">
        <v>1.3709900000000001E-2</v>
      </c>
      <c r="E325" s="580">
        <v>5289.43</v>
      </c>
    </row>
    <row r="326" spans="1:5" x14ac:dyDescent="0.35">
      <c r="A326" s="580" t="s">
        <v>459</v>
      </c>
      <c r="B326" s="580" t="s">
        <v>301</v>
      </c>
      <c r="C326" s="580">
        <v>99511</v>
      </c>
      <c r="D326" s="580">
        <v>7.0699999999999999E-3</v>
      </c>
      <c r="E326" s="580">
        <v>703.54</v>
      </c>
    </row>
    <row r="327" spans="1:5" x14ac:dyDescent="0.35">
      <c r="A327" s="580" t="s">
        <v>460</v>
      </c>
      <c r="B327" s="580" t="s">
        <v>301</v>
      </c>
      <c r="C327" s="580">
        <v>423</v>
      </c>
      <c r="D327" s="580">
        <v>1.1383099999999999</v>
      </c>
      <c r="E327" s="580">
        <v>481.51</v>
      </c>
    </row>
    <row r="328" spans="1:5" x14ac:dyDescent="0.35">
      <c r="A328" s="580" t="s">
        <v>461</v>
      </c>
      <c r="B328" s="580" t="s">
        <v>304</v>
      </c>
      <c r="C328" s="580">
        <v>4347</v>
      </c>
      <c r="D328" s="580">
        <v>1.0899499999999999E-2</v>
      </c>
      <c r="E328" s="580">
        <v>47.38</v>
      </c>
    </row>
    <row r="329" spans="1:5" x14ac:dyDescent="0.35">
      <c r="A329" s="580" t="s">
        <v>458</v>
      </c>
      <c r="B329" s="580" t="s">
        <v>301</v>
      </c>
      <c r="C329" s="580">
        <v>47010</v>
      </c>
      <c r="D329" s="580">
        <v>1.0910700000000001E-2</v>
      </c>
      <c r="E329" s="580">
        <v>512.91</v>
      </c>
    </row>
    <row r="330" spans="1:5" x14ac:dyDescent="0.35">
      <c r="A330" s="580" t="s">
        <v>459</v>
      </c>
      <c r="B330" s="580" t="s">
        <v>301</v>
      </c>
      <c r="C330" s="580">
        <v>75668</v>
      </c>
      <c r="D330" s="580">
        <v>7.0701000000000002E-3</v>
      </c>
      <c r="E330" s="580">
        <v>534.98</v>
      </c>
    </row>
    <row r="331" spans="1:5" x14ac:dyDescent="0.35">
      <c r="A331" s="580" t="s">
        <v>460</v>
      </c>
      <c r="B331" s="580" t="s">
        <v>301</v>
      </c>
      <c r="C331" s="580">
        <v>422</v>
      </c>
      <c r="D331" s="580">
        <v>1.1383175000000001</v>
      </c>
      <c r="E331" s="580">
        <v>480.37</v>
      </c>
    </row>
    <row r="332" spans="1:5" x14ac:dyDescent="0.35">
      <c r="A332" s="580" t="s">
        <v>461</v>
      </c>
      <c r="B332" s="580" t="s">
        <v>304</v>
      </c>
      <c r="C332" s="580">
        <v>4347</v>
      </c>
      <c r="D332" s="580">
        <v>1.0899499999999999E-2</v>
      </c>
      <c r="E332" s="580">
        <v>47.38</v>
      </c>
    </row>
    <row r="333" spans="1:5" x14ac:dyDescent="0.35">
      <c r="A333" s="580" t="s">
        <v>303</v>
      </c>
      <c r="B333" s="580" t="s">
        <v>303</v>
      </c>
      <c r="C333" s="580">
        <v>304675</v>
      </c>
      <c r="D333" s="580">
        <v>1.37097E-2</v>
      </c>
      <c r="E333" s="580">
        <v>4177</v>
      </c>
    </row>
    <row r="334" spans="1:5" x14ac:dyDescent="0.35">
      <c r="A334" s="580" t="s">
        <v>303</v>
      </c>
      <c r="B334" s="580" t="s">
        <v>303</v>
      </c>
      <c r="C334" s="580">
        <v>298728</v>
      </c>
      <c r="D334" s="580">
        <v>1.3709300000000001E-2</v>
      </c>
      <c r="E334" s="580">
        <v>4095.35</v>
      </c>
    </row>
    <row r="335" spans="1:5" x14ac:dyDescent="0.35">
      <c r="A335" s="580" t="s">
        <v>458</v>
      </c>
      <c r="B335" s="580" t="s">
        <v>301</v>
      </c>
      <c r="C335" s="580">
        <v>48681</v>
      </c>
      <c r="D335" s="580">
        <v>1.0910400000000001E-2</v>
      </c>
      <c r="E335" s="580">
        <v>531.13</v>
      </c>
    </row>
    <row r="336" spans="1:5" x14ac:dyDescent="0.35">
      <c r="A336" s="580" t="s">
        <v>459</v>
      </c>
      <c r="B336" s="580" t="s">
        <v>301</v>
      </c>
      <c r="C336" s="580">
        <v>85537</v>
      </c>
      <c r="D336" s="580">
        <v>7.0699999999999999E-3</v>
      </c>
      <c r="E336" s="580">
        <v>604.75</v>
      </c>
    </row>
    <row r="337" spans="1:5" x14ac:dyDescent="0.35">
      <c r="A337" s="580" t="s">
        <v>461</v>
      </c>
      <c r="B337" s="580" t="s">
        <v>304</v>
      </c>
      <c r="C337" s="580">
        <v>4347</v>
      </c>
      <c r="D337" s="580">
        <v>1.09225E-2</v>
      </c>
      <c r="E337" s="580">
        <v>47.48</v>
      </c>
    </row>
    <row r="338" spans="1:5" x14ac:dyDescent="0.35">
      <c r="A338" s="580" t="s">
        <v>460</v>
      </c>
      <c r="B338" s="580" t="s">
        <v>301</v>
      </c>
      <c r="C338" s="580">
        <v>442</v>
      </c>
      <c r="D338" s="580">
        <v>1.1383000000000001</v>
      </c>
      <c r="E338" s="580">
        <v>503.13</v>
      </c>
    </row>
    <row r="339" spans="1:5" x14ac:dyDescent="0.35">
      <c r="A339" s="580" t="s">
        <v>303</v>
      </c>
      <c r="B339" s="580" t="s">
        <v>303</v>
      </c>
      <c r="C339" s="580">
        <v>228888</v>
      </c>
      <c r="D339" s="580">
        <v>1.3710200000000001E-2</v>
      </c>
      <c r="E339" s="580">
        <v>3138.11</v>
      </c>
    </row>
    <row r="340" spans="1:5" x14ac:dyDescent="0.35">
      <c r="A340" s="580" t="s">
        <v>458</v>
      </c>
      <c r="B340" s="580" t="s">
        <v>301</v>
      </c>
      <c r="C340" s="580">
        <v>40325</v>
      </c>
      <c r="D340" s="580">
        <v>1.091E-2</v>
      </c>
      <c r="E340" s="580">
        <v>439.95</v>
      </c>
    </row>
    <row r="341" spans="1:5" x14ac:dyDescent="0.35">
      <c r="A341" s="580" t="s">
        <v>459</v>
      </c>
      <c r="B341" s="580" t="s">
        <v>301</v>
      </c>
      <c r="C341" s="580">
        <v>76440</v>
      </c>
      <c r="D341" s="580">
        <v>7.0699999999999999E-3</v>
      </c>
      <c r="E341" s="580">
        <v>540.42999999999995</v>
      </c>
    </row>
    <row r="342" spans="1:5" x14ac:dyDescent="0.35">
      <c r="A342" s="580" t="s">
        <v>460</v>
      </c>
      <c r="B342" s="580" t="s">
        <v>301</v>
      </c>
      <c r="C342" s="580">
        <v>420</v>
      </c>
      <c r="D342" s="580">
        <v>1.1383000000000001</v>
      </c>
      <c r="E342" s="580">
        <v>478.09</v>
      </c>
    </row>
    <row r="343" spans="1:5" x14ac:dyDescent="0.35">
      <c r="A343" s="580" t="s">
        <v>461</v>
      </c>
      <c r="B343" s="580" t="s">
        <v>304</v>
      </c>
      <c r="C343" s="580">
        <v>4347</v>
      </c>
      <c r="D343" s="580">
        <v>1.0899499999999999E-2</v>
      </c>
      <c r="E343" s="580">
        <v>47.38</v>
      </c>
    </row>
    <row r="344" spans="1:5" x14ac:dyDescent="0.35">
      <c r="A344" s="580" t="s">
        <v>303</v>
      </c>
      <c r="B344" s="580" t="s">
        <v>303</v>
      </c>
      <c r="C344" s="580">
        <v>256177</v>
      </c>
      <c r="D344" s="580">
        <v>1.37097E-2</v>
      </c>
      <c r="E344" s="580">
        <v>3512.11</v>
      </c>
    </row>
    <row r="345" spans="1:5" x14ac:dyDescent="0.35">
      <c r="A345" s="580" t="s">
        <v>458</v>
      </c>
      <c r="B345" s="580" t="s">
        <v>301</v>
      </c>
      <c r="C345" s="580">
        <v>47670</v>
      </c>
      <c r="D345" s="580">
        <v>1.091E-2</v>
      </c>
      <c r="E345" s="580">
        <v>520.08000000000004</v>
      </c>
    </row>
    <row r="346" spans="1:5" x14ac:dyDescent="0.35">
      <c r="A346" s="580" t="s">
        <v>459</v>
      </c>
      <c r="B346" s="580" t="s">
        <v>301</v>
      </c>
      <c r="C346" s="580">
        <v>81622</v>
      </c>
      <c r="D346" s="580">
        <v>7.0701999999999996E-3</v>
      </c>
      <c r="E346" s="580">
        <v>577.08000000000004</v>
      </c>
    </row>
    <row r="347" spans="1:5" x14ac:dyDescent="0.35">
      <c r="A347" s="580" t="s">
        <v>461</v>
      </c>
      <c r="B347" s="580" t="s">
        <v>304</v>
      </c>
      <c r="C347" s="580">
        <v>4347</v>
      </c>
      <c r="D347" s="580">
        <v>1.0899499999999999E-2</v>
      </c>
      <c r="E347" s="580">
        <v>47.38</v>
      </c>
    </row>
    <row r="348" spans="1:5" x14ac:dyDescent="0.35">
      <c r="A348" s="580" t="s">
        <v>460</v>
      </c>
      <c r="B348" s="580" t="s">
        <v>301</v>
      </c>
      <c r="C348" s="580">
        <v>406</v>
      </c>
      <c r="D348" s="580">
        <v>1.1383000000000001</v>
      </c>
      <c r="E348" s="580">
        <v>462.15</v>
      </c>
    </row>
    <row r="349" spans="1:5" x14ac:dyDescent="0.35">
      <c r="A349" s="580" t="s">
        <v>458</v>
      </c>
      <c r="B349" s="580" t="s">
        <v>301</v>
      </c>
      <c r="C349" s="580">
        <v>40376</v>
      </c>
      <c r="D349" s="580">
        <v>1.09097E-2</v>
      </c>
      <c r="E349" s="580">
        <v>440.49</v>
      </c>
    </row>
    <row r="350" spans="1:5" x14ac:dyDescent="0.35">
      <c r="A350" s="580" t="s">
        <v>303</v>
      </c>
      <c r="B350" s="580" t="s">
        <v>303</v>
      </c>
      <c r="C350" s="580">
        <v>244441</v>
      </c>
      <c r="D350" s="580">
        <v>1.3709799999999999E-2</v>
      </c>
      <c r="E350" s="580">
        <v>3351.24</v>
      </c>
    </row>
    <row r="351" spans="1:5" x14ac:dyDescent="0.35">
      <c r="A351" s="580" t="s">
        <v>459</v>
      </c>
      <c r="B351" s="580" t="s">
        <v>301</v>
      </c>
      <c r="C351" s="580">
        <v>53306</v>
      </c>
      <c r="D351" s="580">
        <v>7.0701000000000002E-3</v>
      </c>
      <c r="E351" s="580">
        <v>376.88</v>
      </c>
    </row>
    <row r="352" spans="1:5" x14ac:dyDescent="0.35">
      <c r="A352" s="580" t="s">
        <v>460</v>
      </c>
      <c r="B352" s="580" t="s">
        <v>301</v>
      </c>
      <c r="C352" s="580">
        <v>356</v>
      </c>
      <c r="D352" s="580">
        <v>1.1383000000000001</v>
      </c>
      <c r="E352" s="580">
        <v>405.23</v>
      </c>
    </row>
    <row r="353" spans="1:5" x14ac:dyDescent="0.35">
      <c r="A353" s="580" t="s">
        <v>461</v>
      </c>
      <c r="B353" s="580" t="s">
        <v>304</v>
      </c>
      <c r="C353" s="580">
        <v>4347</v>
      </c>
      <c r="D353" s="580">
        <v>1.0899499999999999E-2</v>
      </c>
      <c r="E353" s="580">
        <v>47.38</v>
      </c>
    </row>
    <row r="354" spans="1:5" x14ac:dyDescent="0.35">
      <c r="A354" s="580" t="s">
        <v>461</v>
      </c>
      <c r="B354" s="580" t="s">
        <v>304</v>
      </c>
      <c r="C354" s="580">
        <v>4347</v>
      </c>
      <c r="D354" s="580">
        <v>1.0899499999999999E-2</v>
      </c>
      <c r="E354" s="580">
        <v>47.38</v>
      </c>
    </row>
    <row r="355" spans="1:5" x14ac:dyDescent="0.35">
      <c r="A355" s="580" t="s">
        <v>459</v>
      </c>
      <c r="B355" s="580" t="s">
        <v>301</v>
      </c>
      <c r="C355" s="580">
        <v>54958</v>
      </c>
      <c r="D355" s="580">
        <v>7.0699999999999999E-3</v>
      </c>
      <c r="E355" s="580">
        <v>388.55</v>
      </c>
    </row>
    <row r="356" spans="1:5" x14ac:dyDescent="0.35">
      <c r="A356" s="580" t="s">
        <v>458</v>
      </c>
      <c r="B356" s="580" t="s">
        <v>301</v>
      </c>
      <c r="C356" s="580">
        <v>44629</v>
      </c>
      <c r="D356" s="580">
        <v>1.0909500000000001E-2</v>
      </c>
      <c r="E356" s="580">
        <v>486.88</v>
      </c>
    </row>
    <row r="357" spans="1:5" x14ac:dyDescent="0.35">
      <c r="A357" s="580" t="s">
        <v>303</v>
      </c>
      <c r="B357" s="580" t="s">
        <v>303</v>
      </c>
      <c r="C357" s="580">
        <v>283088</v>
      </c>
      <c r="D357" s="580">
        <v>1.3710399999999999E-2</v>
      </c>
      <c r="E357" s="580">
        <v>3881.24</v>
      </c>
    </row>
    <row r="358" spans="1:5" x14ac:dyDescent="0.35">
      <c r="A358" s="580" t="s">
        <v>460</v>
      </c>
      <c r="B358" s="580" t="s">
        <v>301</v>
      </c>
      <c r="C358" s="580">
        <v>401</v>
      </c>
      <c r="D358" s="580">
        <v>1.1382793</v>
      </c>
      <c r="E358" s="580">
        <v>456.45</v>
      </c>
    </row>
    <row r="359" spans="1:5" x14ac:dyDescent="0.35">
      <c r="A359" s="580" t="s">
        <v>461</v>
      </c>
      <c r="B359" s="580" t="s">
        <v>304</v>
      </c>
      <c r="C359" s="580">
        <v>4347</v>
      </c>
      <c r="D359" s="580">
        <v>1.0899499999999999E-2</v>
      </c>
      <c r="E359" s="580">
        <v>47.38</v>
      </c>
    </row>
    <row r="360" spans="1:5" x14ac:dyDescent="0.35">
      <c r="A360" s="580" t="s">
        <v>460</v>
      </c>
      <c r="B360" s="580" t="s">
        <v>301</v>
      </c>
      <c r="C360" s="580">
        <v>364</v>
      </c>
      <c r="D360" s="580">
        <v>1.1382692000000001</v>
      </c>
      <c r="E360" s="580">
        <v>414.33</v>
      </c>
    </row>
    <row r="361" spans="1:5" x14ac:dyDescent="0.35">
      <c r="A361" s="580" t="s">
        <v>459</v>
      </c>
      <c r="B361" s="580" t="s">
        <v>301</v>
      </c>
      <c r="C361" s="580">
        <v>64487</v>
      </c>
      <c r="D361" s="580">
        <v>7.0699999999999999E-3</v>
      </c>
      <c r="E361" s="580">
        <v>455.92</v>
      </c>
    </row>
    <row r="362" spans="1:5" x14ac:dyDescent="0.35">
      <c r="A362" s="580" t="s">
        <v>458</v>
      </c>
      <c r="B362" s="580" t="s">
        <v>301</v>
      </c>
      <c r="C362" s="580">
        <v>46535</v>
      </c>
      <c r="D362" s="580">
        <v>1.09096E-2</v>
      </c>
      <c r="E362" s="580">
        <v>507.68</v>
      </c>
    </row>
    <row r="363" spans="1:5" x14ac:dyDescent="0.35">
      <c r="A363" s="580" t="s">
        <v>303</v>
      </c>
      <c r="B363" s="580" t="s">
        <v>303</v>
      </c>
      <c r="C363" s="580">
        <v>277016</v>
      </c>
      <c r="D363" s="580">
        <v>1.3710099999999999E-2</v>
      </c>
      <c r="E363" s="580">
        <v>3797.93</v>
      </c>
    </row>
    <row r="364" spans="1:5" x14ac:dyDescent="0.35">
      <c r="A364" s="580" t="s">
        <v>458</v>
      </c>
      <c r="B364" s="580" t="s">
        <v>301</v>
      </c>
      <c r="C364" s="580">
        <v>39874</v>
      </c>
      <c r="D364" s="580">
        <v>1.09099E-2</v>
      </c>
      <c r="E364" s="580">
        <v>435.02</v>
      </c>
    </row>
    <row r="365" spans="1:5" x14ac:dyDescent="0.35">
      <c r="A365" s="580" t="s">
        <v>459</v>
      </c>
      <c r="B365" s="580" t="s">
        <v>301</v>
      </c>
      <c r="C365" s="580">
        <v>64282</v>
      </c>
      <c r="D365" s="580">
        <v>7.0701000000000002E-3</v>
      </c>
      <c r="E365" s="580">
        <v>454.48</v>
      </c>
    </row>
    <row r="366" spans="1:5" x14ac:dyDescent="0.35">
      <c r="A366" s="580" t="s">
        <v>460</v>
      </c>
      <c r="B366" s="580" t="s">
        <v>301</v>
      </c>
      <c r="C366" s="580">
        <v>338</v>
      </c>
      <c r="D366" s="580">
        <v>1.1382840000000001</v>
      </c>
      <c r="E366" s="580">
        <v>384.74</v>
      </c>
    </row>
    <row r="367" spans="1:5" x14ac:dyDescent="0.35">
      <c r="A367" s="580" t="s">
        <v>461</v>
      </c>
      <c r="B367" s="580" t="s">
        <v>304</v>
      </c>
      <c r="C367" s="580">
        <v>4347</v>
      </c>
      <c r="D367" s="580">
        <v>1.0899499999999999E-2</v>
      </c>
      <c r="E367" s="580">
        <v>47.38</v>
      </c>
    </row>
    <row r="368" spans="1:5" x14ac:dyDescent="0.35">
      <c r="A368" s="580" t="s">
        <v>303</v>
      </c>
      <c r="B368" s="580" t="s">
        <v>303</v>
      </c>
      <c r="C368" s="580">
        <v>233102</v>
      </c>
      <c r="D368" s="580">
        <v>1.3709900000000001E-2</v>
      </c>
      <c r="E368" s="580">
        <v>3195.8</v>
      </c>
    </row>
    <row r="369" spans="1:5" x14ac:dyDescent="0.35">
      <c r="A369" s="580" t="s">
        <v>461</v>
      </c>
      <c r="B369" s="580" t="s">
        <v>304</v>
      </c>
      <c r="C369" s="580">
        <v>4347</v>
      </c>
      <c r="D369" s="580">
        <v>1.0899499999999999E-2</v>
      </c>
      <c r="E369" s="580">
        <v>47.38</v>
      </c>
    </row>
    <row r="370" spans="1:5" x14ac:dyDescent="0.35">
      <c r="A370" s="580" t="s">
        <v>460</v>
      </c>
      <c r="B370" s="580" t="s">
        <v>301</v>
      </c>
      <c r="C370" s="580">
        <v>348</v>
      </c>
      <c r="D370" s="580">
        <v>1.1382840000000001</v>
      </c>
      <c r="E370" s="580">
        <v>396.12</v>
      </c>
    </row>
    <row r="371" spans="1:5" x14ac:dyDescent="0.35">
      <c r="A371" s="580" t="s">
        <v>459</v>
      </c>
      <c r="B371" s="580" t="s">
        <v>301</v>
      </c>
      <c r="C371" s="580">
        <v>68990</v>
      </c>
      <c r="D371" s="580">
        <v>7.0701000000000002E-3</v>
      </c>
      <c r="E371" s="580">
        <v>487.77</v>
      </c>
    </row>
    <row r="372" spans="1:5" x14ac:dyDescent="0.35">
      <c r="A372" s="580" t="s">
        <v>458</v>
      </c>
      <c r="B372" s="580" t="s">
        <v>301</v>
      </c>
      <c r="C372" s="580">
        <v>42380</v>
      </c>
      <c r="D372" s="580">
        <v>1.09099E-2</v>
      </c>
      <c r="E372" s="580">
        <v>462.36</v>
      </c>
    </row>
    <row r="373" spans="1:5" x14ac:dyDescent="0.35">
      <c r="A373" s="580" t="s">
        <v>303</v>
      </c>
      <c r="B373" s="580" t="s">
        <v>303</v>
      </c>
      <c r="C373" s="580">
        <v>297059</v>
      </c>
      <c r="D373" s="580">
        <v>1.3709900000000001E-2</v>
      </c>
      <c r="E373" s="580">
        <v>4072.65</v>
      </c>
    </row>
    <row r="374" spans="1:5" x14ac:dyDescent="0.35">
      <c r="A374" s="580" t="s">
        <v>461</v>
      </c>
      <c r="B374" s="580" t="s">
        <v>304</v>
      </c>
      <c r="C374" s="580">
        <v>4347</v>
      </c>
      <c r="D374" s="580">
        <v>1.0899499999999999E-2</v>
      </c>
      <c r="E374" s="580">
        <v>47.38</v>
      </c>
    </row>
    <row r="375" spans="1:5" x14ac:dyDescent="0.35">
      <c r="A375" s="580" t="s">
        <v>460</v>
      </c>
      <c r="B375" s="580" t="s">
        <v>301</v>
      </c>
      <c r="C375" s="580">
        <v>402</v>
      </c>
      <c r="D375" s="580">
        <v>1.1383084999999999</v>
      </c>
      <c r="E375" s="580">
        <v>457.6</v>
      </c>
    </row>
    <row r="376" spans="1:5" x14ac:dyDescent="0.35">
      <c r="A376" s="580" t="s">
        <v>459</v>
      </c>
      <c r="B376" s="580" t="s">
        <v>301</v>
      </c>
      <c r="C376" s="580">
        <v>67955</v>
      </c>
      <c r="D376" s="580">
        <v>7.0701000000000002E-3</v>
      </c>
      <c r="E376" s="580">
        <v>480.45</v>
      </c>
    </row>
    <row r="377" spans="1:5" x14ac:dyDescent="0.35">
      <c r="A377" s="580" t="s">
        <v>458</v>
      </c>
      <c r="B377" s="580" t="s">
        <v>301</v>
      </c>
      <c r="C377" s="580">
        <v>48117</v>
      </c>
      <c r="D377" s="580">
        <v>1.0910700000000001E-2</v>
      </c>
      <c r="E377" s="580">
        <v>524.99</v>
      </c>
    </row>
    <row r="378" spans="1:5" x14ac:dyDescent="0.35">
      <c r="A378" s="580" t="s">
        <v>303</v>
      </c>
      <c r="B378" s="580" t="s">
        <v>303</v>
      </c>
      <c r="C378" s="580">
        <v>328320</v>
      </c>
      <c r="D378" s="580">
        <v>1.3709900000000001E-2</v>
      </c>
      <c r="E378" s="580">
        <v>4501.2299999999996</v>
      </c>
    </row>
    <row r="379" spans="1:5" x14ac:dyDescent="0.35">
      <c r="A379" s="580" t="s">
        <v>461</v>
      </c>
      <c r="B379" s="580" t="s">
        <v>304</v>
      </c>
      <c r="C379" s="580">
        <v>5922</v>
      </c>
      <c r="D379" s="580">
        <v>1.091E-2</v>
      </c>
      <c r="E379" s="580">
        <v>64.61</v>
      </c>
    </row>
    <row r="380" spans="1:5" x14ac:dyDescent="0.35">
      <c r="A380" s="580" t="s">
        <v>460</v>
      </c>
      <c r="B380" s="580" t="s">
        <v>301</v>
      </c>
      <c r="C380" s="580">
        <v>1072</v>
      </c>
      <c r="D380" s="580">
        <v>1.1383000000000001</v>
      </c>
      <c r="E380" s="580">
        <v>1220.26</v>
      </c>
    </row>
    <row r="381" spans="1:5" x14ac:dyDescent="0.35">
      <c r="A381" s="580" t="s">
        <v>458</v>
      </c>
      <c r="B381" s="580" t="s">
        <v>301</v>
      </c>
      <c r="C381" s="580">
        <v>191837</v>
      </c>
      <c r="D381" s="580">
        <v>1.091E-2</v>
      </c>
      <c r="E381" s="580">
        <v>2092.94</v>
      </c>
    </row>
    <row r="382" spans="1:5" x14ac:dyDescent="0.35">
      <c r="A382" s="580" t="s">
        <v>459</v>
      </c>
      <c r="B382" s="580" t="s">
        <v>301</v>
      </c>
      <c r="C382" s="580">
        <v>565238</v>
      </c>
      <c r="D382" s="580">
        <v>7.0699999999999999E-3</v>
      </c>
      <c r="E382" s="580">
        <v>3996.23</v>
      </c>
    </row>
    <row r="383" spans="1:5" x14ac:dyDescent="0.35">
      <c r="A383" s="580" t="s">
        <v>303</v>
      </c>
      <c r="B383" s="580" t="s">
        <v>303</v>
      </c>
      <c r="C383" s="580">
        <v>570710</v>
      </c>
      <c r="D383" s="580">
        <v>1.371E-2</v>
      </c>
      <c r="E383" s="580">
        <v>7824.43</v>
      </c>
    </row>
    <row r="384" spans="1:5" x14ac:dyDescent="0.35">
      <c r="A384" s="580" t="s">
        <v>461</v>
      </c>
      <c r="B384" s="580" t="s">
        <v>304</v>
      </c>
      <c r="C384" s="580">
        <v>5539</v>
      </c>
      <c r="D384" s="580">
        <v>1.091E-2</v>
      </c>
      <c r="E384" s="580">
        <v>60.43</v>
      </c>
    </row>
    <row r="385" spans="1:5" x14ac:dyDescent="0.35">
      <c r="A385" s="580" t="s">
        <v>460</v>
      </c>
      <c r="B385" s="580" t="s">
        <v>301</v>
      </c>
      <c r="C385" s="580">
        <v>1111</v>
      </c>
      <c r="D385" s="580">
        <v>1.1383000000000001</v>
      </c>
      <c r="E385" s="580">
        <v>1264.6500000000001</v>
      </c>
    </row>
    <row r="386" spans="1:5" ht="15" customHeight="1" x14ac:dyDescent="0.35">
      <c r="A386" s="580" t="s">
        <v>459</v>
      </c>
      <c r="B386" s="580" t="s">
        <v>301</v>
      </c>
      <c r="C386" s="580">
        <v>553596</v>
      </c>
      <c r="D386" s="580">
        <v>7.0699999999999999E-3</v>
      </c>
      <c r="E386" s="580">
        <v>3913.92</v>
      </c>
    </row>
    <row r="387" spans="1:5" ht="15" customHeight="1" x14ac:dyDescent="0.35">
      <c r="A387" s="580" t="s">
        <v>458</v>
      </c>
      <c r="B387" s="580" t="s">
        <v>301</v>
      </c>
      <c r="C387" s="580">
        <v>182806</v>
      </c>
      <c r="D387" s="580">
        <v>1.091E-2</v>
      </c>
      <c r="E387" s="580">
        <v>1994.41</v>
      </c>
    </row>
    <row r="388" spans="1:5" ht="15" customHeight="1" x14ac:dyDescent="0.35">
      <c r="A388" s="580" t="s">
        <v>303</v>
      </c>
      <c r="B388" s="580" t="s">
        <v>303</v>
      </c>
      <c r="C388" s="580">
        <v>509564</v>
      </c>
      <c r="D388" s="580">
        <v>1.371E-2</v>
      </c>
      <c r="E388" s="580">
        <v>6986.12</v>
      </c>
    </row>
    <row r="389" spans="1:5" ht="15" customHeight="1" x14ac:dyDescent="0.35">
      <c r="A389" s="580" t="s">
        <v>460</v>
      </c>
      <c r="B389" s="580" t="s">
        <v>301</v>
      </c>
      <c r="C389" s="580">
        <v>1092</v>
      </c>
      <c r="D389" s="580">
        <v>1.1383000000000001</v>
      </c>
      <c r="E389" s="580">
        <v>1243.02</v>
      </c>
    </row>
    <row r="390" spans="1:5" ht="15" customHeight="1" x14ac:dyDescent="0.35">
      <c r="A390" s="580" t="s">
        <v>461</v>
      </c>
      <c r="B390" s="580" t="s">
        <v>304</v>
      </c>
      <c r="C390" s="580">
        <v>5338</v>
      </c>
      <c r="D390" s="580">
        <v>1.091E-2</v>
      </c>
      <c r="E390" s="580">
        <v>58.24</v>
      </c>
    </row>
    <row r="391" spans="1:5" x14ac:dyDescent="0.35">
      <c r="A391" s="580" t="s">
        <v>459</v>
      </c>
      <c r="B391" s="580" t="s">
        <v>301</v>
      </c>
      <c r="C391" s="580">
        <v>533782</v>
      </c>
      <c r="D391" s="580">
        <v>7.0699999999999999E-3</v>
      </c>
      <c r="E391" s="580">
        <v>3773.84</v>
      </c>
    </row>
    <row r="392" spans="1:5" x14ac:dyDescent="0.35">
      <c r="A392" s="580" t="s">
        <v>303</v>
      </c>
      <c r="B392" s="580" t="s">
        <v>303</v>
      </c>
      <c r="C392" s="580">
        <v>472261</v>
      </c>
      <c r="D392" s="580">
        <v>1.371E-2</v>
      </c>
      <c r="E392" s="580">
        <v>6474.7</v>
      </c>
    </row>
    <row r="393" spans="1:5" x14ac:dyDescent="0.35">
      <c r="A393" s="580" t="s">
        <v>458</v>
      </c>
      <c r="B393" s="580" t="s">
        <v>301</v>
      </c>
      <c r="C393" s="580">
        <v>167326</v>
      </c>
      <c r="D393" s="580">
        <v>1.091E-2</v>
      </c>
      <c r="E393" s="580">
        <v>1825.53</v>
      </c>
    </row>
    <row r="394" spans="1:5" x14ac:dyDescent="0.35">
      <c r="A394" s="580" t="s">
        <v>461</v>
      </c>
      <c r="B394" s="580" t="s">
        <v>304</v>
      </c>
      <c r="C394" s="580">
        <v>5296</v>
      </c>
      <c r="D394" s="580">
        <v>1.091E-2</v>
      </c>
      <c r="E394" s="580">
        <v>57.78</v>
      </c>
    </row>
    <row r="395" spans="1:5" x14ac:dyDescent="0.35">
      <c r="A395" s="580" t="s">
        <v>460</v>
      </c>
      <c r="B395" s="580" t="s">
        <v>301</v>
      </c>
      <c r="C395" s="580">
        <v>1052</v>
      </c>
      <c r="D395" s="580">
        <v>1.1383000000000001</v>
      </c>
      <c r="E395" s="580">
        <v>1197.49</v>
      </c>
    </row>
    <row r="396" spans="1:5" x14ac:dyDescent="0.35">
      <c r="A396" s="580" t="s">
        <v>459</v>
      </c>
      <c r="B396" s="580" t="s">
        <v>301</v>
      </c>
      <c r="C396" s="580">
        <v>538651</v>
      </c>
      <c r="D396" s="580">
        <v>7.0699999999999999E-3</v>
      </c>
      <c r="E396" s="580">
        <v>3808.26</v>
      </c>
    </row>
    <row r="397" spans="1:5" x14ac:dyDescent="0.35">
      <c r="A397" s="580" t="s">
        <v>458</v>
      </c>
      <c r="B397" s="580" t="s">
        <v>301</v>
      </c>
      <c r="C397" s="580">
        <v>166706</v>
      </c>
      <c r="D397" s="580">
        <v>1.091E-2</v>
      </c>
      <c r="E397" s="580">
        <v>1818.76</v>
      </c>
    </row>
    <row r="398" spans="1:5" x14ac:dyDescent="0.35">
      <c r="A398" s="580" t="s">
        <v>303</v>
      </c>
      <c r="B398" s="580" t="s">
        <v>303</v>
      </c>
      <c r="C398" s="580">
        <v>435130</v>
      </c>
      <c r="D398" s="580">
        <v>1.371E-2</v>
      </c>
      <c r="E398" s="580">
        <v>5965.63</v>
      </c>
    </row>
    <row r="399" spans="1:5" x14ac:dyDescent="0.35">
      <c r="A399" s="580" t="s">
        <v>460</v>
      </c>
      <c r="B399" s="580" t="s">
        <v>301</v>
      </c>
      <c r="C399" s="580">
        <v>1054</v>
      </c>
      <c r="D399" s="580">
        <v>1.1383000000000001</v>
      </c>
      <c r="E399" s="580">
        <v>1199.77</v>
      </c>
    </row>
    <row r="400" spans="1:5" x14ac:dyDescent="0.35">
      <c r="A400" s="580" t="s">
        <v>461</v>
      </c>
      <c r="B400" s="580" t="s">
        <v>304</v>
      </c>
      <c r="C400" s="580">
        <v>5098</v>
      </c>
      <c r="D400" s="580">
        <v>1.091E-2</v>
      </c>
      <c r="E400" s="580">
        <v>55.62</v>
      </c>
    </row>
    <row r="401" spans="1:5" x14ac:dyDescent="0.35">
      <c r="A401" s="580" t="s">
        <v>459</v>
      </c>
      <c r="B401" s="580" t="s">
        <v>301</v>
      </c>
      <c r="C401" s="580">
        <v>482914</v>
      </c>
      <c r="D401" s="580">
        <v>7.0699999999999999E-3</v>
      </c>
      <c r="E401" s="580">
        <v>3414.2</v>
      </c>
    </row>
    <row r="402" spans="1:5" x14ac:dyDescent="0.35">
      <c r="A402" s="580" t="s">
        <v>458</v>
      </c>
      <c r="B402" s="580" t="s">
        <v>301</v>
      </c>
      <c r="C402" s="580">
        <v>132335</v>
      </c>
      <c r="D402" s="580">
        <v>1.091E-2</v>
      </c>
      <c r="E402" s="580">
        <v>1443.77</v>
      </c>
    </row>
    <row r="403" spans="1:5" x14ac:dyDescent="0.35">
      <c r="A403" s="580" t="s">
        <v>303</v>
      </c>
      <c r="B403" s="580" t="s">
        <v>303</v>
      </c>
      <c r="C403" s="580">
        <v>369118</v>
      </c>
      <c r="D403" s="580">
        <v>1.371E-2</v>
      </c>
      <c r="E403" s="580">
        <v>5060.6099999999997</v>
      </c>
    </row>
    <row r="404" spans="1:5" x14ac:dyDescent="0.35">
      <c r="A404" s="580" t="s">
        <v>303</v>
      </c>
      <c r="B404" s="580" t="s">
        <v>303</v>
      </c>
      <c r="C404" s="580">
        <v>358282</v>
      </c>
      <c r="D404" s="580">
        <v>1.371E-2</v>
      </c>
      <c r="E404" s="580">
        <v>4912.05</v>
      </c>
    </row>
    <row r="405" spans="1:5" x14ac:dyDescent="0.35">
      <c r="A405" s="580" t="s">
        <v>461</v>
      </c>
      <c r="B405" s="580" t="s">
        <v>304</v>
      </c>
      <c r="C405" s="580">
        <v>4986</v>
      </c>
      <c r="D405" s="580">
        <v>1.091E-2</v>
      </c>
      <c r="E405" s="580">
        <v>54.4</v>
      </c>
    </row>
    <row r="406" spans="1:5" x14ac:dyDescent="0.35">
      <c r="A406" s="580" t="s">
        <v>460</v>
      </c>
      <c r="B406" s="580" t="s">
        <v>301</v>
      </c>
      <c r="C406" s="580">
        <v>1116</v>
      </c>
      <c r="D406" s="580">
        <v>1.1383000000000001</v>
      </c>
      <c r="E406" s="580">
        <v>1270.3399999999999</v>
      </c>
    </row>
    <row r="407" spans="1:5" x14ac:dyDescent="0.35">
      <c r="A407" s="580" t="s">
        <v>459</v>
      </c>
      <c r="B407" s="580" t="s">
        <v>301</v>
      </c>
      <c r="C407" s="580">
        <v>430320</v>
      </c>
      <c r="D407" s="580">
        <v>7.0699999999999999E-3</v>
      </c>
      <c r="E407" s="580">
        <v>3042.36</v>
      </c>
    </row>
    <row r="408" spans="1:5" x14ac:dyDescent="0.35">
      <c r="A408" s="580" t="s">
        <v>458</v>
      </c>
      <c r="B408" s="580" t="s">
        <v>301</v>
      </c>
      <c r="C408" s="580">
        <v>133696</v>
      </c>
      <c r="D408" s="580">
        <v>1.091E-2</v>
      </c>
      <c r="E408" s="580">
        <v>1458.62</v>
      </c>
    </row>
    <row r="409" spans="1:5" x14ac:dyDescent="0.35">
      <c r="A409" s="580" t="s">
        <v>458</v>
      </c>
      <c r="B409" s="580" t="s">
        <v>301</v>
      </c>
      <c r="C409" s="580">
        <v>130123</v>
      </c>
      <c r="D409" s="580">
        <v>1.091E-2</v>
      </c>
      <c r="E409" s="580">
        <v>1419.64</v>
      </c>
    </row>
    <row r="410" spans="1:5" x14ac:dyDescent="0.35">
      <c r="A410" s="580" t="s">
        <v>303</v>
      </c>
      <c r="B410" s="580" t="s">
        <v>303</v>
      </c>
      <c r="C410" s="580">
        <v>416261</v>
      </c>
      <c r="D410" s="580">
        <v>1.371E-2</v>
      </c>
      <c r="E410" s="580">
        <v>5706.94</v>
      </c>
    </row>
    <row r="411" spans="1:5" x14ac:dyDescent="0.35">
      <c r="A411" s="580" t="s">
        <v>459</v>
      </c>
      <c r="B411" s="580" t="s">
        <v>301</v>
      </c>
      <c r="C411" s="580">
        <v>501301</v>
      </c>
      <c r="D411" s="580">
        <v>7.0699999999999999E-3</v>
      </c>
      <c r="E411" s="580">
        <v>3544.2</v>
      </c>
    </row>
    <row r="412" spans="1:5" x14ac:dyDescent="0.35">
      <c r="A412" s="580" t="s">
        <v>460</v>
      </c>
      <c r="B412" s="580" t="s">
        <v>301</v>
      </c>
      <c r="C412" s="580">
        <v>1234</v>
      </c>
      <c r="D412" s="580">
        <v>1.1383000000000001</v>
      </c>
      <c r="E412" s="580">
        <v>1404.66</v>
      </c>
    </row>
    <row r="413" spans="1:5" x14ac:dyDescent="0.35">
      <c r="A413" s="580" t="s">
        <v>461</v>
      </c>
      <c r="B413" s="580" t="s">
        <v>304</v>
      </c>
      <c r="C413" s="580">
        <v>4925</v>
      </c>
      <c r="D413" s="580">
        <v>1.091E-2</v>
      </c>
      <c r="E413" s="580">
        <v>53.73</v>
      </c>
    </row>
    <row r="414" spans="1:5" x14ac:dyDescent="0.35">
      <c r="A414" s="580" t="s">
        <v>461</v>
      </c>
      <c r="B414" s="580" t="s">
        <v>304</v>
      </c>
      <c r="C414" s="580">
        <v>5073</v>
      </c>
      <c r="D414" s="580">
        <v>1.091E-2</v>
      </c>
      <c r="E414" s="580">
        <v>55.35</v>
      </c>
    </row>
    <row r="415" spans="1:5" x14ac:dyDescent="0.35">
      <c r="A415" s="580" t="s">
        <v>459</v>
      </c>
      <c r="B415" s="580" t="s">
        <v>301</v>
      </c>
      <c r="C415" s="580">
        <v>491841</v>
      </c>
      <c r="D415" s="580">
        <v>7.0699999999999999E-3</v>
      </c>
      <c r="E415" s="580">
        <v>3477.32</v>
      </c>
    </row>
    <row r="416" spans="1:5" x14ac:dyDescent="0.35">
      <c r="A416" s="580" t="s">
        <v>458</v>
      </c>
      <c r="B416" s="580" t="s">
        <v>301</v>
      </c>
      <c r="C416" s="580">
        <v>143319</v>
      </c>
      <c r="D416" s="580">
        <v>1.091E-2</v>
      </c>
      <c r="E416" s="580">
        <v>1563.61</v>
      </c>
    </row>
    <row r="417" spans="1:5" x14ac:dyDescent="0.35">
      <c r="A417" s="580" t="s">
        <v>303</v>
      </c>
      <c r="B417" s="580" t="s">
        <v>303</v>
      </c>
      <c r="C417" s="580">
        <v>415908</v>
      </c>
      <c r="D417" s="580">
        <v>1.371E-2</v>
      </c>
      <c r="E417" s="580">
        <v>5702.1</v>
      </c>
    </row>
    <row r="418" spans="1:5" x14ac:dyDescent="0.35">
      <c r="A418" s="580" t="s">
        <v>460</v>
      </c>
      <c r="B418" s="580" t="s">
        <v>301</v>
      </c>
      <c r="C418" s="580">
        <v>1202</v>
      </c>
      <c r="D418" s="580">
        <v>1.1383000000000001</v>
      </c>
      <c r="E418" s="580">
        <v>1368.24</v>
      </c>
    </row>
    <row r="419" spans="1:5" x14ac:dyDescent="0.35">
      <c r="A419" s="580" t="s">
        <v>461</v>
      </c>
      <c r="B419" s="580" t="s">
        <v>304</v>
      </c>
      <c r="C419" s="580">
        <v>5381</v>
      </c>
      <c r="D419" s="580">
        <v>1.091E-2</v>
      </c>
      <c r="E419" s="580">
        <v>58.71</v>
      </c>
    </row>
    <row r="420" spans="1:5" x14ac:dyDescent="0.35">
      <c r="A420" s="580" t="s">
        <v>460</v>
      </c>
      <c r="B420" s="580" t="s">
        <v>301</v>
      </c>
      <c r="C420" s="580">
        <v>1190</v>
      </c>
      <c r="D420" s="580">
        <v>1.1383000000000001</v>
      </c>
      <c r="E420" s="580">
        <v>1354.58</v>
      </c>
    </row>
    <row r="421" spans="1:5" x14ac:dyDescent="0.35">
      <c r="A421" s="580" t="s">
        <v>459</v>
      </c>
      <c r="B421" s="580" t="s">
        <v>301</v>
      </c>
      <c r="C421" s="580">
        <v>540231</v>
      </c>
      <c r="D421" s="580">
        <v>7.0699999999999999E-3</v>
      </c>
      <c r="E421" s="580">
        <v>3819.43</v>
      </c>
    </row>
    <row r="422" spans="1:5" x14ac:dyDescent="0.35">
      <c r="A422" s="580" t="s">
        <v>458</v>
      </c>
      <c r="B422" s="580" t="s">
        <v>301</v>
      </c>
      <c r="C422" s="580">
        <v>153943</v>
      </c>
      <c r="D422" s="580">
        <v>1.091E-2</v>
      </c>
      <c r="E422" s="580">
        <v>1679.52</v>
      </c>
    </row>
    <row r="423" spans="1:5" x14ac:dyDescent="0.35">
      <c r="A423" s="580" t="s">
        <v>303</v>
      </c>
      <c r="B423" s="580" t="s">
        <v>303</v>
      </c>
      <c r="C423" s="580">
        <v>390944</v>
      </c>
      <c r="D423" s="580">
        <v>1.371E-2</v>
      </c>
      <c r="E423" s="580">
        <v>5359.84</v>
      </c>
    </row>
    <row r="424" spans="1:5" x14ac:dyDescent="0.35">
      <c r="A424" s="580" t="s">
        <v>458</v>
      </c>
      <c r="B424" s="580" t="s">
        <v>301</v>
      </c>
      <c r="C424" s="580">
        <v>147533</v>
      </c>
      <c r="D424" s="580">
        <v>1.091E-2</v>
      </c>
      <c r="E424" s="580">
        <v>1609.59</v>
      </c>
    </row>
    <row r="425" spans="1:5" x14ac:dyDescent="0.35">
      <c r="A425" s="580" t="s">
        <v>459</v>
      </c>
      <c r="B425" s="580" t="s">
        <v>301</v>
      </c>
      <c r="C425" s="580">
        <v>469721</v>
      </c>
      <c r="D425" s="580">
        <v>7.0699999999999999E-3</v>
      </c>
      <c r="E425" s="580">
        <v>3320.93</v>
      </c>
    </row>
    <row r="426" spans="1:5" x14ac:dyDescent="0.35">
      <c r="A426" s="580" t="s">
        <v>460</v>
      </c>
      <c r="B426" s="580" t="s">
        <v>301</v>
      </c>
      <c r="C426" s="580">
        <v>1168</v>
      </c>
      <c r="D426" s="580">
        <v>1.1383000000000001</v>
      </c>
      <c r="E426" s="580">
        <v>1329.53</v>
      </c>
    </row>
    <row r="427" spans="1:5" x14ac:dyDescent="0.35">
      <c r="A427" s="580" t="s">
        <v>461</v>
      </c>
      <c r="B427" s="580" t="s">
        <v>304</v>
      </c>
      <c r="C427" s="580">
        <v>5415</v>
      </c>
      <c r="D427" s="580">
        <v>1.091E-2</v>
      </c>
      <c r="E427" s="580">
        <v>59.08</v>
      </c>
    </row>
    <row r="428" spans="1:5" x14ac:dyDescent="0.35">
      <c r="A428" s="580" t="s">
        <v>303</v>
      </c>
      <c r="B428" s="580" t="s">
        <v>303</v>
      </c>
      <c r="C428" s="580">
        <v>380288</v>
      </c>
      <c r="D428" s="580">
        <v>1.371E-2</v>
      </c>
      <c r="E428" s="580">
        <v>5213.75</v>
      </c>
    </row>
    <row r="429" spans="1:5" x14ac:dyDescent="0.35">
      <c r="A429" s="580" t="s">
        <v>461</v>
      </c>
      <c r="B429" s="580" t="s">
        <v>304</v>
      </c>
      <c r="C429" s="580">
        <v>5746</v>
      </c>
      <c r="D429" s="580">
        <v>1.091E-2</v>
      </c>
      <c r="E429" s="580">
        <v>62.69</v>
      </c>
    </row>
    <row r="430" spans="1:5" x14ac:dyDescent="0.35">
      <c r="A430" s="580" t="s">
        <v>460</v>
      </c>
      <c r="B430" s="580" t="s">
        <v>301</v>
      </c>
      <c r="C430" s="580">
        <v>1123</v>
      </c>
      <c r="D430" s="580">
        <v>1.1383000000000001</v>
      </c>
      <c r="E430" s="580">
        <v>1278.31</v>
      </c>
    </row>
    <row r="431" spans="1:5" x14ac:dyDescent="0.35">
      <c r="A431" s="580" t="s">
        <v>459</v>
      </c>
      <c r="B431" s="580" t="s">
        <v>301</v>
      </c>
      <c r="C431" s="580">
        <v>574951</v>
      </c>
      <c r="D431" s="580">
        <v>7.0699999999999999E-3</v>
      </c>
      <c r="E431" s="580">
        <v>4064.9</v>
      </c>
    </row>
    <row r="432" spans="1:5" x14ac:dyDescent="0.35">
      <c r="A432" s="580" t="s">
        <v>458</v>
      </c>
      <c r="B432" s="580" t="s">
        <v>301</v>
      </c>
      <c r="C432" s="580">
        <v>166498</v>
      </c>
      <c r="D432" s="580">
        <v>1.091E-2</v>
      </c>
      <c r="E432" s="580">
        <v>1816.49</v>
      </c>
    </row>
    <row r="433" spans="1:5" x14ac:dyDescent="0.35">
      <c r="A433" s="580" t="s">
        <v>303</v>
      </c>
      <c r="B433" s="580" t="s">
        <v>303</v>
      </c>
      <c r="C433" s="580">
        <v>480765</v>
      </c>
      <c r="D433" s="580">
        <v>1.371E-2</v>
      </c>
      <c r="E433" s="580">
        <v>6591.29</v>
      </c>
    </row>
    <row r="434" spans="1:5" x14ac:dyDescent="0.35">
      <c r="A434" s="580" t="s">
        <v>461</v>
      </c>
      <c r="B434" s="580" t="s">
        <v>304</v>
      </c>
      <c r="C434" s="580">
        <v>5539</v>
      </c>
      <c r="D434" s="580">
        <v>1.091E-2</v>
      </c>
      <c r="E434" s="580">
        <v>60.43</v>
      </c>
    </row>
    <row r="435" spans="1:5" x14ac:dyDescent="0.35">
      <c r="A435" s="580" t="s">
        <v>460</v>
      </c>
      <c r="B435" s="580" t="s">
        <v>301</v>
      </c>
      <c r="C435" s="580">
        <v>1120</v>
      </c>
      <c r="D435" s="580">
        <v>1.1383000000000001</v>
      </c>
      <c r="E435" s="580">
        <v>1274.9000000000001</v>
      </c>
    </row>
    <row r="436" spans="1:5" x14ac:dyDescent="0.35">
      <c r="A436" s="580" t="s">
        <v>459</v>
      </c>
      <c r="B436" s="580" t="s">
        <v>301</v>
      </c>
      <c r="C436" s="580">
        <v>481781</v>
      </c>
      <c r="D436" s="580">
        <v>7.0699999999999999E-3</v>
      </c>
      <c r="E436" s="580">
        <v>3406.19</v>
      </c>
    </row>
    <row r="437" spans="1:5" x14ac:dyDescent="0.35">
      <c r="A437" s="580" t="s">
        <v>458</v>
      </c>
      <c r="B437" s="580" t="s">
        <v>301</v>
      </c>
      <c r="C437" s="580">
        <v>137984</v>
      </c>
      <c r="D437" s="580">
        <v>1.091E-2</v>
      </c>
      <c r="E437" s="580">
        <v>1505.41</v>
      </c>
    </row>
    <row r="438" spans="1:5" x14ac:dyDescent="0.35">
      <c r="A438" s="580" t="s">
        <v>303</v>
      </c>
      <c r="B438" s="580" t="s">
        <v>303</v>
      </c>
      <c r="C438" s="580">
        <v>426599</v>
      </c>
      <c r="D438" s="580">
        <v>1.371E-2</v>
      </c>
      <c r="E438" s="580">
        <v>5848.67</v>
      </c>
    </row>
    <row r="439" spans="1:5" x14ac:dyDescent="0.35">
      <c r="A439" s="580" t="s">
        <v>461</v>
      </c>
      <c r="B439" s="580" t="s">
        <v>304</v>
      </c>
      <c r="C439" s="580">
        <v>38776</v>
      </c>
      <c r="D439" s="580">
        <v>1.091E-2</v>
      </c>
      <c r="E439" s="580">
        <v>423.05</v>
      </c>
    </row>
    <row r="440" spans="1:5" x14ac:dyDescent="0.35">
      <c r="A440" s="580" t="s">
        <v>303</v>
      </c>
      <c r="B440" s="580" t="s">
        <v>303</v>
      </c>
      <c r="C440" s="580">
        <v>3126297</v>
      </c>
      <c r="D440" s="580">
        <v>1.371E-2</v>
      </c>
      <c r="E440" s="580">
        <v>42861.53</v>
      </c>
    </row>
    <row r="441" spans="1:5" x14ac:dyDescent="0.35">
      <c r="A441" s="580" t="s">
        <v>460</v>
      </c>
      <c r="B441" s="580" t="s">
        <v>301</v>
      </c>
      <c r="C441" s="580">
        <v>6314.5</v>
      </c>
      <c r="D441" s="580">
        <v>1.1383000000000001</v>
      </c>
      <c r="E441" s="580">
        <v>7187.8</v>
      </c>
    </row>
    <row r="442" spans="1:5" x14ac:dyDescent="0.35">
      <c r="A442" s="580" t="s">
        <v>459</v>
      </c>
      <c r="B442" s="580" t="s">
        <v>301</v>
      </c>
      <c r="C442" s="580">
        <v>1551203</v>
      </c>
      <c r="D442" s="580">
        <v>7.0699999999999999E-3</v>
      </c>
      <c r="E442" s="580">
        <v>10967.01</v>
      </c>
    </row>
    <row r="443" spans="1:5" x14ac:dyDescent="0.35">
      <c r="A443" s="580" t="s">
        <v>458</v>
      </c>
      <c r="B443" s="580" t="s">
        <v>301</v>
      </c>
      <c r="C443" s="580">
        <v>1188429</v>
      </c>
      <c r="D443" s="580">
        <v>1.091E-2</v>
      </c>
      <c r="E443" s="580">
        <v>12965.76</v>
      </c>
    </row>
    <row r="444" spans="1:5" x14ac:dyDescent="0.35">
      <c r="A444" s="580" t="s">
        <v>461</v>
      </c>
      <c r="B444" s="580" t="s">
        <v>304</v>
      </c>
      <c r="C444" s="580">
        <v>40000</v>
      </c>
      <c r="D444" s="580">
        <v>1.091E-2</v>
      </c>
      <c r="E444" s="580">
        <v>436.4</v>
      </c>
    </row>
    <row r="445" spans="1:5" x14ac:dyDescent="0.35">
      <c r="A445" s="580" t="s">
        <v>459</v>
      </c>
      <c r="B445" s="580" t="s">
        <v>301</v>
      </c>
      <c r="C445" s="580">
        <v>1545184</v>
      </c>
      <c r="D445" s="580">
        <v>7.0699999999999999E-3</v>
      </c>
      <c r="E445" s="580">
        <v>10924.45</v>
      </c>
    </row>
    <row r="446" spans="1:5" x14ac:dyDescent="0.35">
      <c r="A446" s="580" t="s">
        <v>458</v>
      </c>
      <c r="B446" s="580" t="s">
        <v>301</v>
      </c>
      <c r="C446" s="580">
        <v>966480</v>
      </c>
      <c r="D446" s="580">
        <v>1.091E-2</v>
      </c>
      <c r="E446" s="580">
        <v>10544.3</v>
      </c>
    </row>
    <row r="447" spans="1:5" x14ac:dyDescent="0.35">
      <c r="A447" s="580" t="s">
        <v>303</v>
      </c>
      <c r="B447" s="580" t="s">
        <v>303</v>
      </c>
      <c r="C447" s="580">
        <v>2762496</v>
      </c>
      <c r="D447" s="580">
        <v>1.371E-2</v>
      </c>
      <c r="E447" s="580">
        <v>37873.82</v>
      </c>
    </row>
    <row r="448" spans="1:5" x14ac:dyDescent="0.35">
      <c r="A448" s="580" t="s">
        <v>460</v>
      </c>
      <c r="B448" s="580" t="s">
        <v>301</v>
      </c>
      <c r="C448" s="580">
        <v>4968.41</v>
      </c>
      <c r="D448" s="580">
        <v>1.1383000000000001</v>
      </c>
      <c r="E448" s="580">
        <v>5655.54</v>
      </c>
    </row>
    <row r="449" spans="1:5" x14ac:dyDescent="0.35">
      <c r="A449" s="580" t="s">
        <v>458</v>
      </c>
      <c r="B449" s="580" t="s">
        <v>301</v>
      </c>
      <c r="C449" s="580">
        <v>1050565</v>
      </c>
      <c r="D449" s="580">
        <v>1.091E-2</v>
      </c>
      <c r="E449" s="580">
        <v>11461.66</v>
      </c>
    </row>
    <row r="450" spans="1:5" x14ac:dyDescent="0.35">
      <c r="A450" s="580" t="s">
        <v>459</v>
      </c>
      <c r="B450" s="580" t="s">
        <v>301</v>
      </c>
      <c r="C450" s="580">
        <v>1283245</v>
      </c>
      <c r="D450" s="580">
        <v>7.0699999999999999E-3</v>
      </c>
      <c r="E450" s="580">
        <v>9072.5400000000009</v>
      </c>
    </row>
    <row r="451" spans="1:5" x14ac:dyDescent="0.35">
      <c r="A451" s="580" t="s">
        <v>460</v>
      </c>
      <c r="B451" s="580" t="s">
        <v>301</v>
      </c>
      <c r="C451" s="580">
        <v>4056</v>
      </c>
      <c r="D451" s="580">
        <v>1.138358</v>
      </c>
      <c r="E451" s="580">
        <v>4617.18</v>
      </c>
    </row>
    <row r="452" spans="1:5" x14ac:dyDescent="0.35">
      <c r="A452" s="580" t="s">
        <v>461</v>
      </c>
      <c r="B452" s="580" t="s">
        <v>304</v>
      </c>
      <c r="C452" s="580">
        <v>40000</v>
      </c>
      <c r="D452" s="580">
        <v>1.091E-2</v>
      </c>
      <c r="E452" s="580">
        <v>436.4</v>
      </c>
    </row>
    <row r="453" spans="1:5" x14ac:dyDescent="0.35">
      <c r="A453" s="580" t="s">
        <v>303</v>
      </c>
      <c r="B453" s="580" t="s">
        <v>303</v>
      </c>
      <c r="C453" s="580">
        <v>2626568</v>
      </c>
      <c r="D453" s="580">
        <v>1.371E-2</v>
      </c>
      <c r="E453" s="580">
        <v>36010.25</v>
      </c>
    </row>
    <row r="454" spans="1:5" x14ac:dyDescent="0.35">
      <c r="A454" s="580" t="s">
        <v>461</v>
      </c>
      <c r="B454" s="580" t="s">
        <v>304</v>
      </c>
      <c r="C454" s="580">
        <v>40063</v>
      </c>
      <c r="D454" s="580">
        <v>1.091E-2</v>
      </c>
      <c r="E454" s="580">
        <v>437.09</v>
      </c>
    </row>
    <row r="455" spans="1:5" x14ac:dyDescent="0.35">
      <c r="A455" s="580" t="s">
        <v>460</v>
      </c>
      <c r="B455" s="580" t="s">
        <v>301</v>
      </c>
      <c r="C455" s="580">
        <v>3652.95</v>
      </c>
      <c r="D455" s="580">
        <v>1.1383000000000001</v>
      </c>
      <c r="E455" s="580">
        <v>4158.1499999999996</v>
      </c>
    </row>
    <row r="456" spans="1:5" x14ac:dyDescent="0.35">
      <c r="A456" s="580" t="s">
        <v>459</v>
      </c>
      <c r="B456" s="580" t="s">
        <v>301</v>
      </c>
      <c r="C456" s="580">
        <v>1251347</v>
      </c>
      <c r="D456" s="580">
        <v>7.0699999999999999E-3</v>
      </c>
      <c r="E456" s="580">
        <v>8847.02</v>
      </c>
    </row>
    <row r="457" spans="1:5" x14ac:dyDescent="0.35">
      <c r="A457" s="580" t="s">
        <v>458</v>
      </c>
      <c r="B457" s="580" t="s">
        <v>301</v>
      </c>
      <c r="C457" s="580">
        <v>947726</v>
      </c>
      <c r="D457" s="580">
        <v>1.091E-2</v>
      </c>
      <c r="E457" s="580">
        <v>10339.69</v>
      </c>
    </row>
    <row r="458" spans="1:5" x14ac:dyDescent="0.35">
      <c r="A458" s="580" t="s">
        <v>303</v>
      </c>
      <c r="B458" s="580" t="s">
        <v>303</v>
      </c>
      <c r="C458" s="580">
        <v>2360421</v>
      </c>
      <c r="D458" s="580">
        <v>1.371E-2</v>
      </c>
      <c r="E458" s="580">
        <v>32361.37</v>
      </c>
    </row>
    <row r="459" spans="1:5" x14ac:dyDescent="0.35">
      <c r="A459" s="580" t="s">
        <v>461</v>
      </c>
      <c r="B459" s="580" t="s">
        <v>304</v>
      </c>
      <c r="C459" s="580">
        <v>40126</v>
      </c>
      <c r="D459" s="580">
        <v>1.091E-2</v>
      </c>
      <c r="E459" s="580">
        <v>437.77</v>
      </c>
    </row>
    <row r="460" spans="1:5" x14ac:dyDescent="0.35">
      <c r="A460" s="580" t="s">
        <v>460</v>
      </c>
      <c r="B460" s="580" t="s">
        <v>301</v>
      </c>
      <c r="C460" s="580">
        <v>3552.95</v>
      </c>
      <c r="D460" s="580">
        <v>1.1383000000000001</v>
      </c>
      <c r="E460" s="580">
        <v>4044.32</v>
      </c>
    </row>
    <row r="461" spans="1:5" x14ac:dyDescent="0.35">
      <c r="A461" s="580" t="s">
        <v>459</v>
      </c>
      <c r="B461" s="580" t="s">
        <v>301</v>
      </c>
      <c r="C461" s="580">
        <v>1168804</v>
      </c>
      <c r="D461" s="580">
        <v>7.0699999999999999E-3</v>
      </c>
      <c r="E461" s="580">
        <v>8263.44</v>
      </c>
    </row>
    <row r="462" spans="1:5" ht="12.75" customHeight="1" x14ac:dyDescent="0.45">
      <c r="A462" s="580" t="s">
        <v>458</v>
      </c>
      <c r="B462" s="580" t="s">
        <v>301</v>
      </c>
      <c r="C462" s="582">
        <v>962905</v>
      </c>
      <c r="D462" s="581">
        <v>1.091E-2</v>
      </c>
      <c r="E462" s="279">
        <v>10505.29</v>
      </c>
    </row>
    <row r="463" spans="1:5" x14ac:dyDescent="0.35">
      <c r="A463" s="580" t="s">
        <v>303</v>
      </c>
      <c r="B463" s="580" t="s">
        <v>303</v>
      </c>
      <c r="C463" s="580">
        <v>2304634</v>
      </c>
      <c r="D463" s="580">
        <v>1.371E-2</v>
      </c>
      <c r="E463" s="580">
        <v>31596.53</v>
      </c>
    </row>
    <row r="464" spans="1:5" x14ac:dyDescent="0.35">
      <c r="A464" s="580" t="s">
        <v>458</v>
      </c>
      <c r="B464" s="580" t="s">
        <v>301</v>
      </c>
      <c r="C464" s="580">
        <v>856666</v>
      </c>
      <c r="D464" s="580">
        <v>1.091E-2</v>
      </c>
      <c r="E464" s="580">
        <v>9346.23</v>
      </c>
    </row>
    <row r="465" spans="1:5" x14ac:dyDescent="0.35">
      <c r="A465" s="580" t="s">
        <v>459</v>
      </c>
      <c r="B465" s="580" t="s">
        <v>301</v>
      </c>
      <c r="C465" s="580">
        <v>1208116</v>
      </c>
      <c r="D465" s="580">
        <v>7.0699999999999999E-3</v>
      </c>
      <c r="E465" s="580">
        <v>8541.3799999999992</v>
      </c>
    </row>
    <row r="466" spans="1:5" x14ac:dyDescent="0.35">
      <c r="A466" s="580" t="s">
        <v>460</v>
      </c>
      <c r="B466" s="580" t="s">
        <v>301</v>
      </c>
      <c r="C466" s="580">
        <v>3471.53</v>
      </c>
      <c r="D466" s="580">
        <v>1.1383000000000001</v>
      </c>
      <c r="E466" s="580">
        <v>3951.64</v>
      </c>
    </row>
    <row r="467" spans="1:5" x14ac:dyDescent="0.35">
      <c r="A467" s="580" t="s">
        <v>461</v>
      </c>
      <c r="B467" s="580" t="s">
        <v>304</v>
      </c>
      <c r="C467" s="580">
        <v>40135</v>
      </c>
      <c r="D467" s="580">
        <v>1.091E-2</v>
      </c>
      <c r="E467" s="580">
        <v>437.87</v>
      </c>
    </row>
    <row r="468" spans="1:5" x14ac:dyDescent="0.35">
      <c r="A468" s="580" t="s">
        <v>303</v>
      </c>
      <c r="B468" s="580" t="s">
        <v>303</v>
      </c>
      <c r="C468" s="580">
        <v>2047277</v>
      </c>
      <c r="D468" s="580">
        <v>1.371E-2</v>
      </c>
      <c r="E468" s="580">
        <v>28068.17</v>
      </c>
    </row>
    <row r="469" spans="1:5" x14ac:dyDescent="0.35">
      <c r="A469" s="580" t="s">
        <v>458</v>
      </c>
      <c r="B469" s="580" t="s">
        <v>301</v>
      </c>
      <c r="C469" s="580">
        <v>1249109</v>
      </c>
      <c r="D469" s="580">
        <v>1.091E-2</v>
      </c>
      <c r="E469" s="580">
        <v>13627.78</v>
      </c>
    </row>
    <row r="470" spans="1:5" x14ac:dyDescent="0.35">
      <c r="A470" s="580" t="s">
        <v>459</v>
      </c>
      <c r="B470" s="580" t="s">
        <v>301</v>
      </c>
      <c r="C470" s="580">
        <v>1202441</v>
      </c>
      <c r="D470" s="580">
        <v>7.0698000000000002E-3</v>
      </c>
      <c r="E470" s="580">
        <v>8501.0499999999993</v>
      </c>
    </row>
    <row r="471" spans="1:5" x14ac:dyDescent="0.35">
      <c r="A471" s="580" t="s">
        <v>460</v>
      </c>
      <c r="B471" s="580" t="s">
        <v>301</v>
      </c>
      <c r="C471" s="580">
        <v>3676.83</v>
      </c>
      <c r="D471" s="580">
        <v>1.1383000000000001</v>
      </c>
      <c r="E471" s="580">
        <v>4185.34</v>
      </c>
    </row>
    <row r="472" spans="1:5" x14ac:dyDescent="0.35">
      <c r="A472" s="580" t="s">
        <v>461</v>
      </c>
      <c r="B472" s="580" t="s">
        <v>304</v>
      </c>
      <c r="C472" s="580">
        <v>39847</v>
      </c>
      <c r="D472" s="580">
        <v>1.091E-2</v>
      </c>
      <c r="E472" s="580">
        <v>434.73</v>
      </c>
    </row>
    <row r="473" spans="1:5" x14ac:dyDescent="0.35">
      <c r="A473" s="580" t="s">
        <v>303</v>
      </c>
      <c r="B473" s="580" t="s">
        <v>303</v>
      </c>
      <c r="C473" s="580">
        <v>2628285</v>
      </c>
      <c r="D473" s="580">
        <v>1.371E-2</v>
      </c>
      <c r="E473" s="580">
        <v>36033.79</v>
      </c>
    </row>
    <row r="474" spans="1:5" x14ac:dyDescent="0.35">
      <c r="A474" s="580" t="s">
        <v>459</v>
      </c>
      <c r="B474" s="580" t="s">
        <v>301</v>
      </c>
      <c r="C474" s="580">
        <v>1176392</v>
      </c>
      <c r="D474" s="580">
        <v>7.0699999999999999E-3</v>
      </c>
      <c r="E474" s="580">
        <v>8317.09</v>
      </c>
    </row>
    <row r="475" spans="1:5" x14ac:dyDescent="0.35">
      <c r="A475" s="580" t="s">
        <v>460</v>
      </c>
      <c r="B475" s="580" t="s">
        <v>301</v>
      </c>
      <c r="C475" s="580">
        <v>4006.65</v>
      </c>
      <c r="D475" s="580">
        <v>1.1383000000000001</v>
      </c>
      <c r="E475" s="580">
        <v>4560.7700000000004</v>
      </c>
    </row>
    <row r="476" spans="1:5" x14ac:dyDescent="0.35">
      <c r="A476" s="580" t="s">
        <v>303</v>
      </c>
      <c r="B476" s="580" t="s">
        <v>303</v>
      </c>
      <c r="C476" s="580">
        <v>2273525</v>
      </c>
      <c r="D476" s="580">
        <v>1.371E-2</v>
      </c>
      <c r="E476" s="580">
        <v>31170.03</v>
      </c>
    </row>
    <row r="477" spans="1:5" x14ac:dyDescent="0.35">
      <c r="A477" s="580" t="s">
        <v>461</v>
      </c>
      <c r="B477" s="580" t="s">
        <v>304</v>
      </c>
      <c r="C477" s="580">
        <v>39730</v>
      </c>
      <c r="D477" s="580">
        <v>1.091E-2</v>
      </c>
      <c r="E477" s="580">
        <v>433.45</v>
      </c>
    </row>
    <row r="478" spans="1:5" x14ac:dyDescent="0.35">
      <c r="A478" s="580" t="s">
        <v>458</v>
      </c>
      <c r="B478" s="580" t="s">
        <v>301</v>
      </c>
      <c r="C478" s="580">
        <v>967026</v>
      </c>
      <c r="D478" s="580">
        <v>1.091E-2</v>
      </c>
      <c r="E478" s="580">
        <v>10550.25</v>
      </c>
    </row>
    <row r="479" spans="1:5" x14ac:dyDescent="0.35">
      <c r="A479" s="580" t="s">
        <v>461</v>
      </c>
      <c r="B479" s="580" t="s">
        <v>304</v>
      </c>
      <c r="C479" s="580">
        <v>39694</v>
      </c>
      <c r="D479" s="580">
        <v>1.091E-2</v>
      </c>
      <c r="E479" s="580">
        <v>433.06</v>
      </c>
    </row>
    <row r="480" spans="1:5" x14ac:dyDescent="0.35">
      <c r="A480" s="580" t="s">
        <v>460</v>
      </c>
      <c r="B480" s="580" t="s">
        <v>301</v>
      </c>
      <c r="C480" s="580">
        <v>3914.95</v>
      </c>
      <c r="D480" s="580">
        <v>1.1383000000000001</v>
      </c>
      <c r="E480" s="580">
        <v>4456.3900000000003</v>
      </c>
    </row>
    <row r="481" spans="1:5" x14ac:dyDescent="0.35">
      <c r="A481" s="580" t="s">
        <v>459</v>
      </c>
      <c r="B481" s="580" t="s">
        <v>301</v>
      </c>
      <c r="C481" s="580">
        <v>1229294.3</v>
      </c>
      <c r="D481" s="580">
        <v>0.70699959999999995</v>
      </c>
      <c r="E481" s="580">
        <v>8676.66</v>
      </c>
    </row>
    <row r="482" spans="1:5" x14ac:dyDescent="0.35">
      <c r="A482" s="580" t="s">
        <v>458</v>
      </c>
      <c r="B482" s="580" t="s">
        <v>301</v>
      </c>
      <c r="C482" s="580">
        <v>894428</v>
      </c>
      <c r="D482" s="580">
        <v>1.091E-2</v>
      </c>
      <c r="E482" s="580">
        <v>9758.2099999999991</v>
      </c>
    </row>
    <row r="483" spans="1:5" x14ac:dyDescent="0.35">
      <c r="A483" s="580" t="s">
        <v>303</v>
      </c>
      <c r="B483" s="580" t="s">
        <v>303</v>
      </c>
      <c r="C483" s="580">
        <v>2209153</v>
      </c>
      <c r="D483" s="580">
        <v>1.371E-2</v>
      </c>
      <c r="E483" s="580">
        <v>30287.49</v>
      </c>
    </row>
    <row r="484" spans="1:5" x14ac:dyDescent="0.35">
      <c r="A484" s="580" t="s">
        <v>461</v>
      </c>
      <c r="B484" s="580" t="s">
        <v>304</v>
      </c>
      <c r="C484" s="580">
        <v>39712</v>
      </c>
      <c r="D484" s="580">
        <v>1.091E-2</v>
      </c>
      <c r="E484" s="580">
        <v>433.26</v>
      </c>
    </row>
    <row r="485" spans="1:5" x14ac:dyDescent="0.35">
      <c r="A485" s="580" t="s">
        <v>459</v>
      </c>
      <c r="B485" s="580" t="s">
        <v>301</v>
      </c>
      <c r="C485" s="580">
        <v>1744085</v>
      </c>
      <c r="D485" s="580">
        <v>7.0699999999999999E-3</v>
      </c>
      <c r="E485" s="580">
        <v>12330.68</v>
      </c>
    </row>
    <row r="486" spans="1:5" x14ac:dyDescent="0.35">
      <c r="A486" s="580" t="s">
        <v>458</v>
      </c>
      <c r="B486" s="580" t="s">
        <v>301</v>
      </c>
      <c r="C486" s="580">
        <v>991969</v>
      </c>
      <c r="D486" s="580">
        <v>1.091E-2</v>
      </c>
      <c r="E486" s="580">
        <v>10822.38</v>
      </c>
    </row>
    <row r="487" spans="1:5" x14ac:dyDescent="0.35">
      <c r="A487" s="580" t="s">
        <v>303</v>
      </c>
      <c r="B487" s="580" t="s">
        <v>303</v>
      </c>
      <c r="C487" s="580">
        <v>25958.3</v>
      </c>
      <c r="D487" s="580">
        <v>1.371</v>
      </c>
      <c r="E487" s="580">
        <v>35588.83</v>
      </c>
    </row>
    <row r="488" spans="1:5" x14ac:dyDescent="0.35">
      <c r="A488" s="580" t="s">
        <v>460</v>
      </c>
      <c r="B488" s="580" t="s">
        <v>301</v>
      </c>
      <c r="C488" s="580">
        <v>5757.09</v>
      </c>
      <c r="D488" s="580">
        <v>1.1383000000000001</v>
      </c>
      <c r="E488" s="580">
        <v>6553.3</v>
      </c>
    </row>
    <row r="489" spans="1:5" x14ac:dyDescent="0.35">
      <c r="A489" s="580" t="s">
        <v>461</v>
      </c>
      <c r="B489" s="580" t="s">
        <v>304</v>
      </c>
      <c r="C489" s="580">
        <v>39721</v>
      </c>
      <c r="D489" s="580">
        <v>1.091E-2</v>
      </c>
      <c r="E489" s="580">
        <v>433.36</v>
      </c>
    </row>
    <row r="490" spans="1:5" x14ac:dyDescent="0.35">
      <c r="A490" s="580" t="s">
        <v>460</v>
      </c>
      <c r="B490" s="580" t="s">
        <v>301</v>
      </c>
      <c r="C490" s="580">
        <v>5923.71</v>
      </c>
      <c r="D490" s="580">
        <v>1.1383000000000001</v>
      </c>
      <c r="E490" s="580">
        <v>6742.96</v>
      </c>
    </row>
    <row r="491" spans="1:5" x14ac:dyDescent="0.35">
      <c r="A491" s="580" t="s">
        <v>459</v>
      </c>
      <c r="B491" s="580" t="s">
        <v>301</v>
      </c>
      <c r="C491" s="580">
        <v>2234547</v>
      </c>
      <c r="D491" s="580">
        <v>7.0699999999999999E-3</v>
      </c>
      <c r="E491" s="580">
        <v>15798.25</v>
      </c>
    </row>
    <row r="492" spans="1:5" x14ac:dyDescent="0.35">
      <c r="A492" s="580" t="s">
        <v>458</v>
      </c>
      <c r="B492" s="580" t="s">
        <v>301</v>
      </c>
      <c r="C492" s="580">
        <v>1033663</v>
      </c>
      <c r="D492" s="580">
        <v>1.091E-2</v>
      </c>
      <c r="E492" s="580">
        <v>11277.26</v>
      </c>
    </row>
    <row r="493" spans="1:5" x14ac:dyDescent="0.35">
      <c r="A493" s="580" t="s">
        <v>303</v>
      </c>
      <c r="B493" s="580" t="s">
        <v>303</v>
      </c>
      <c r="C493" s="580">
        <v>2963188</v>
      </c>
      <c r="D493" s="580">
        <v>1.371E-2</v>
      </c>
      <c r="E493" s="580">
        <v>40625.31</v>
      </c>
    </row>
    <row r="494" spans="1:5" x14ac:dyDescent="0.35">
      <c r="A494" s="580" t="s">
        <v>461</v>
      </c>
      <c r="B494" s="580" t="s">
        <v>304</v>
      </c>
      <c r="C494" s="580">
        <v>39631</v>
      </c>
      <c r="D494" s="580">
        <v>1.091E-2</v>
      </c>
      <c r="E494" s="580">
        <v>432.37</v>
      </c>
    </row>
    <row r="495" spans="1:5" x14ac:dyDescent="0.35">
      <c r="A495" s="580" t="s">
        <v>460</v>
      </c>
      <c r="B495" s="580" t="s">
        <v>301</v>
      </c>
      <c r="C495" s="580">
        <v>6308.71</v>
      </c>
      <c r="D495" s="580">
        <v>1.1383000000000001</v>
      </c>
      <c r="E495" s="580">
        <v>7181.2</v>
      </c>
    </row>
    <row r="496" spans="1:5" ht="12.75" customHeight="1" x14ac:dyDescent="0.45">
      <c r="A496" s="580" t="s">
        <v>459</v>
      </c>
      <c r="B496" s="580" t="s">
        <v>301</v>
      </c>
      <c r="C496" s="279">
        <v>2132184</v>
      </c>
      <c r="D496" s="581">
        <v>7.0699999999999999E-3</v>
      </c>
      <c r="E496" s="279">
        <v>15074.54</v>
      </c>
    </row>
    <row r="497" spans="1:5" x14ac:dyDescent="0.35">
      <c r="A497" s="580" t="s">
        <v>458</v>
      </c>
      <c r="B497" s="580" t="s">
        <v>301</v>
      </c>
      <c r="C497" s="580">
        <v>1078593</v>
      </c>
      <c r="D497" s="580">
        <v>1.091E-2</v>
      </c>
      <c r="E497" s="580">
        <v>11767.45</v>
      </c>
    </row>
    <row r="498" spans="1:5" x14ac:dyDescent="0.35">
      <c r="A498" s="580" t="s">
        <v>303</v>
      </c>
      <c r="B498" s="580" t="s">
        <v>303</v>
      </c>
      <c r="C498" s="580">
        <v>3083712</v>
      </c>
      <c r="D498" s="580">
        <v>1.371E-2</v>
      </c>
      <c r="E498" s="580">
        <v>42277.69</v>
      </c>
    </row>
    <row r="499" spans="1:5" x14ac:dyDescent="0.35">
      <c r="A499" s="580" t="s">
        <v>459</v>
      </c>
      <c r="B499" s="580" t="s">
        <v>301</v>
      </c>
      <c r="C499" s="580">
        <v>1438565</v>
      </c>
      <c r="D499" s="580">
        <v>7.0699999999999999E-3</v>
      </c>
      <c r="E499" s="580">
        <v>10170.65</v>
      </c>
    </row>
    <row r="500" spans="1:5" x14ac:dyDescent="0.35">
      <c r="A500" s="580" t="s">
        <v>458</v>
      </c>
      <c r="B500" s="580" t="s">
        <v>301</v>
      </c>
      <c r="C500" s="580">
        <v>490636</v>
      </c>
      <c r="D500" s="580">
        <v>1.091E-2</v>
      </c>
      <c r="E500" s="580">
        <v>5352.84</v>
      </c>
    </row>
    <row r="501" spans="1:5" x14ac:dyDescent="0.35">
      <c r="A501" s="580" t="s">
        <v>460</v>
      </c>
      <c r="B501" s="580" t="s">
        <v>301</v>
      </c>
      <c r="C501" s="580">
        <v>3973.5</v>
      </c>
      <c r="D501" s="580">
        <v>1.1383000000000001</v>
      </c>
      <c r="E501" s="580">
        <v>4523.04</v>
      </c>
    </row>
    <row r="502" spans="1:5" x14ac:dyDescent="0.35">
      <c r="A502" s="580" t="s">
        <v>461</v>
      </c>
      <c r="B502" s="580" t="s">
        <v>304</v>
      </c>
      <c r="C502" s="580">
        <v>5903</v>
      </c>
      <c r="D502" s="580">
        <v>1.091E-2</v>
      </c>
      <c r="E502" s="580">
        <v>64.400000000000006</v>
      </c>
    </row>
    <row r="503" spans="1:5" x14ac:dyDescent="0.35">
      <c r="A503" s="580" t="s">
        <v>303</v>
      </c>
      <c r="B503" s="580" t="s">
        <v>303</v>
      </c>
      <c r="C503" s="580">
        <v>2072203</v>
      </c>
      <c r="D503" s="580">
        <v>1.371E-2</v>
      </c>
      <c r="E503" s="580">
        <v>28409.9</v>
      </c>
    </row>
    <row r="504" spans="1:5" x14ac:dyDescent="0.35">
      <c r="A504" s="580" t="s">
        <v>460</v>
      </c>
      <c r="B504" s="580" t="s">
        <v>301</v>
      </c>
      <c r="C504" s="580">
        <v>4066.6</v>
      </c>
      <c r="D504" s="580">
        <v>1.1383000000000001</v>
      </c>
      <c r="E504" s="580">
        <v>4629.01</v>
      </c>
    </row>
    <row r="505" spans="1:5" x14ac:dyDescent="0.35">
      <c r="A505" s="580" t="s">
        <v>461</v>
      </c>
      <c r="B505" s="580" t="s">
        <v>304</v>
      </c>
      <c r="C505" s="580">
        <v>5903</v>
      </c>
      <c r="D505" s="580">
        <v>1.091E-2</v>
      </c>
      <c r="E505" s="580">
        <v>64.400000000000006</v>
      </c>
    </row>
    <row r="506" spans="1:5" x14ac:dyDescent="0.35">
      <c r="A506" s="580" t="s">
        <v>459</v>
      </c>
      <c r="B506" s="580" t="s">
        <v>301</v>
      </c>
      <c r="C506" s="580">
        <v>1388663</v>
      </c>
      <c r="D506" s="580">
        <v>7.0699999999999999E-3</v>
      </c>
      <c r="E506" s="580">
        <v>9817.85</v>
      </c>
    </row>
    <row r="507" spans="1:5" x14ac:dyDescent="0.35">
      <c r="A507" s="580" t="s">
        <v>303</v>
      </c>
      <c r="B507" s="580" t="s">
        <v>303</v>
      </c>
      <c r="C507" s="580">
        <v>1907069</v>
      </c>
      <c r="D507" s="580">
        <v>1.371E-2</v>
      </c>
      <c r="E507" s="580">
        <v>26145.919999999998</v>
      </c>
    </row>
    <row r="508" spans="1:5" x14ac:dyDescent="0.35">
      <c r="A508" s="580" t="s">
        <v>458</v>
      </c>
      <c r="B508" s="580" t="s">
        <v>301</v>
      </c>
      <c r="C508" s="580">
        <v>465421</v>
      </c>
      <c r="D508" s="580">
        <v>1.091E-2</v>
      </c>
      <c r="E508" s="580">
        <v>5077.74</v>
      </c>
    </row>
    <row r="509" spans="1:5" x14ac:dyDescent="0.35">
      <c r="A509" s="580" t="s">
        <v>458</v>
      </c>
      <c r="B509" s="580" t="s">
        <v>301</v>
      </c>
      <c r="C509" s="580">
        <v>467236</v>
      </c>
      <c r="D509" s="580">
        <v>1.091E-2</v>
      </c>
      <c r="E509" s="580">
        <v>5097.54</v>
      </c>
    </row>
    <row r="510" spans="1:5" x14ac:dyDescent="0.35">
      <c r="A510" s="580" t="s">
        <v>459</v>
      </c>
      <c r="B510" s="580" t="s">
        <v>301</v>
      </c>
      <c r="C510" s="580">
        <v>1421124</v>
      </c>
      <c r="D510" s="580">
        <v>7.0699999999999999E-3</v>
      </c>
      <c r="E510" s="580">
        <v>10047.35</v>
      </c>
    </row>
    <row r="511" spans="1:5" x14ac:dyDescent="0.35">
      <c r="A511" s="580" t="s">
        <v>461</v>
      </c>
      <c r="B511" s="580" t="s">
        <v>304</v>
      </c>
      <c r="C511" s="580">
        <v>5840</v>
      </c>
      <c r="D511" s="580">
        <v>1.0911000000000001E-2</v>
      </c>
      <c r="E511" s="580">
        <v>63.72</v>
      </c>
    </row>
    <row r="512" spans="1:5" x14ac:dyDescent="0.35">
      <c r="A512" s="580" t="s">
        <v>460</v>
      </c>
      <c r="B512" s="580" t="s">
        <v>301</v>
      </c>
      <c r="C512" s="580">
        <v>4019.7</v>
      </c>
      <c r="D512" s="580">
        <v>1.1383000000000001</v>
      </c>
      <c r="E512" s="580">
        <v>4575.62</v>
      </c>
    </row>
    <row r="513" spans="1:5" x14ac:dyDescent="0.35">
      <c r="A513" s="580" t="s">
        <v>303</v>
      </c>
      <c r="B513" s="580" t="s">
        <v>303</v>
      </c>
      <c r="C513" s="580">
        <v>1752923</v>
      </c>
      <c r="D513" s="580">
        <v>1.371E-2</v>
      </c>
      <c r="E513" s="580">
        <v>24032.57</v>
      </c>
    </row>
    <row r="514" spans="1:5" x14ac:dyDescent="0.35">
      <c r="A514" s="580" t="s">
        <v>461</v>
      </c>
      <c r="B514" s="580" t="s">
        <v>304</v>
      </c>
      <c r="C514" s="580">
        <v>5940</v>
      </c>
      <c r="D514" s="580">
        <v>1.09091E-2</v>
      </c>
      <c r="E514" s="580">
        <v>64.8</v>
      </c>
    </row>
    <row r="515" spans="1:5" x14ac:dyDescent="0.35">
      <c r="A515" s="580" t="s">
        <v>460</v>
      </c>
      <c r="B515" s="580" t="s">
        <v>301</v>
      </c>
      <c r="C515" s="580">
        <v>4259.5</v>
      </c>
      <c r="D515" s="580">
        <v>1.1383000000000001</v>
      </c>
      <c r="E515" s="580">
        <v>4848.59</v>
      </c>
    </row>
    <row r="516" spans="1:5" x14ac:dyDescent="0.35">
      <c r="A516" s="580" t="s">
        <v>459</v>
      </c>
      <c r="B516" s="580" t="s">
        <v>301</v>
      </c>
      <c r="C516" s="580">
        <v>1445144</v>
      </c>
      <c r="D516" s="580">
        <v>7.0699999999999999E-3</v>
      </c>
      <c r="E516" s="580">
        <v>10217.17</v>
      </c>
    </row>
    <row r="517" spans="1:5" x14ac:dyDescent="0.35">
      <c r="A517" s="580" t="s">
        <v>458</v>
      </c>
      <c r="B517" s="580" t="s">
        <v>301</v>
      </c>
      <c r="C517" s="580">
        <v>429051</v>
      </c>
      <c r="D517" s="580">
        <v>1.091E-2</v>
      </c>
      <c r="E517" s="580">
        <v>4680.95</v>
      </c>
    </row>
    <row r="518" spans="1:5" x14ac:dyDescent="0.35">
      <c r="A518" s="580" t="s">
        <v>303</v>
      </c>
      <c r="B518" s="580" t="s">
        <v>303</v>
      </c>
      <c r="C518" s="580">
        <v>1535165</v>
      </c>
      <c r="D518" s="580">
        <v>1.371E-2</v>
      </c>
      <c r="E518" s="580">
        <v>21047.11</v>
      </c>
    </row>
    <row r="519" spans="1:5" x14ac:dyDescent="0.35">
      <c r="A519" s="580" t="s">
        <v>461</v>
      </c>
      <c r="B519" s="580" t="s">
        <v>304</v>
      </c>
      <c r="C519" s="580">
        <v>5962</v>
      </c>
      <c r="D519" s="580">
        <v>1.0907399999999999E-2</v>
      </c>
      <c r="E519" s="580">
        <v>65.03</v>
      </c>
    </row>
    <row r="520" spans="1:5" x14ac:dyDescent="0.35">
      <c r="A520" s="580" t="s">
        <v>460</v>
      </c>
      <c r="B520" s="580" t="s">
        <v>301</v>
      </c>
      <c r="C520" s="580">
        <v>4512.7</v>
      </c>
      <c r="D520" s="580">
        <v>1.1383000000000001</v>
      </c>
      <c r="E520" s="580">
        <v>5136.8100000000004</v>
      </c>
    </row>
    <row r="521" spans="1:5" x14ac:dyDescent="0.35">
      <c r="A521" s="580" t="s">
        <v>459</v>
      </c>
      <c r="B521" s="580" t="s">
        <v>301</v>
      </c>
      <c r="C521" s="580">
        <v>1499686</v>
      </c>
      <c r="D521" s="580">
        <v>7.0699999999999999E-3</v>
      </c>
      <c r="E521" s="580">
        <v>10602.78</v>
      </c>
    </row>
    <row r="522" spans="1:5" x14ac:dyDescent="0.35">
      <c r="A522" s="580" t="s">
        <v>458</v>
      </c>
      <c r="B522" s="580" t="s">
        <v>301</v>
      </c>
      <c r="C522" s="580">
        <v>409688</v>
      </c>
      <c r="D522" s="580">
        <v>1.091E-2</v>
      </c>
      <c r="E522" s="580">
        <v>4469.7</v>
      </c>
    </row>
    <row r="523" spans="1:5" x14ac:dyDescent="0.35">
      <c r="A523" s="580" t="s">
        <v>303</v>
      </c>
      <c r="B523" s="580" t="s">
        <v>303</v>
      </c>
      <c r="C523" s="580">
        <v>1479751</v>
      </c>
      <c r="D523" s="580">
        <v>1.371E-2</v>
      </c>
      <c r="E523" s="580">
        <v>20287.39</v>
      </c>
    </row>
    <row r="524" spans="1:5" x14ac:dyDescent="0.35">
      <c r="A524" s="580" t="s">
        <v>461</v>
      </c>
      <c r="B524" s="580" t="s">
        <v>304</v>
      </c>
      <c r="C524" s="580">
        <v>5894</v>
      </c>
      <c r="D524" s="580">
        <v>1.09094E-2</v>
      </c>
      <c r="E524" s="580">
        <v>64.3</v>
      </c>
    </row>
    <row r="525" spans="1:5" x14ac:dyDescent="0.35">
      <c r="A525" s="580" t="s">
        <v>460</v>
      </c>
      <c r="B525" s="580" t="s">
        <v>301</v>
      </c>
      <c r="C525" s="580">
        <v>4889.8999999999996</v>
      </c>
      <c r="D525" s="580">
        <v>1.1383000000000001</v>
      </c>
      <c r="E525" s="580">
        <v>5566.17</v>
      </c>
    </row>
    <row r="526" spans="1:5" x14ac:dyDescent="0.35">
      <c r="A526" s="580" t="s">
        <v>459</v>
      </c>
      <c r="B526" s="580" t="s">
        <v>301</v>
      </c>
      <c r="C526" s="580">
        <v>1669494</v>
      </c>
      <c r="D526" s="580">
        <v>7.0699999999999999E-3</v>
      </c>
      <c r="E526" s="580">
        <v>11803.32</v>
      </c>
    </row>
    <row r="527" spans="1:5" x14ac:dyDescent="0.35">
      <c r="A527" s="580" t="s">
        <v>458</v>
      </c>
      <c r="B527" s="580" t="s">
        <v>301</v>
      </c>
      <c r="C527" s="580">
        <v>431900</v>
      </c>
      <c r="D527" s="580">
        <v>1.091E-2</v>
      </c>
      <c r="E527" s="580">
        <v>4712.03</v>
      </c>
    </row>
    <row r="528" spans="1:5" x14ac:dyDescent="0.35">
      <c r="A528" s="580" t="s">
        <v>303</v>
      </c>
      <c r="B528" s="580" t="s">
        <v>303</v>
      </c>
      <c r="C528" s="580">
        <v>1671462</v>
      </c>
      <c r="D528" s="580">
        <v>1.371E-2</v>
      </c>
      <c r="E528" s="580">
        <v>22915.74</v>
      </c>
    </row>
    <row r="529" spans="1:5" x14ac:dyDescent="0.35">
      <c r="A529" s="580" t="s">
        <v>461</v>
      </c>
      <c r="B529" s="580" t="s">
        <v>304</v>
      </c>
      <c r="C529" s="580">
        <v>5894</v>
      </c>
      <c r="D529" s="580">
        <v>1.09094E-2</v>
      </c>
      <c r="E529" s="580">
        <v>64.3</v>
      </c>
    </row>
    <row r="530" spans="1:5" x14ac:dyDescent="0.35">
      <c r="A530" s="580" t="s">
        <v>460</v>
      </c>
      <c r="B530" s="580" t="s">
        <v>301</v>
      </c>
      <c r="C530" s="580">
        <v>4949.2</v>
      </c>
      <c r="D530" s="580">
        <v>1.1383000000000001</v>
      </c>
      <c r="E530" s="580">
        <v>5633.67</v>
      </c>
    </row>
    <row r="531" spans="1:5" x14ac:dyDescent="0.35">
      <c r="A531" s="580" t="s">
        <v>459</v>
      </c>
      <c r="B531" s="580" t="s">
        <v>301</v>
      </c>
      <c r="C531" s="580">
        <v>1854593</v>
      </c>
      <c r="D531" s="580">
        <v>7.0699999999999999E-3</v>
      </c>
      <c r="E531" s="580">
        <v>13111.97</v>
      </c>
    </row>
    <row r="532" spans="1:5" x14ac:dyDescent="0.35">
      <c r="A532" s="580" t="s">
        <v>458</v>
      </c>
      <c r="B532" s="580" t="s">
        <v>301</v>
      </c>
      <c r="C532" s="580">
        <v>515068</v>
      </c>
      <c r="D532" s="580">
        <v>1.091E-2</v>
      </c>
      <c r="E532" s="580">
        <v>5619.39</v>
      </c>
    </row>
    <row r="533" spans="1:5" x14ac:dyDescent="0.35">
      <c r="A533" s="580" t="s">
        <v>303</v>
      </c>
      <c r="B533" s="580" t="s">
        <v>303</v>
      </c>
      <c r="C533" s="580">
        <v>1866827</v>
      </c>
      <c r="D533" s="580">
        <v>1.371E-2</v>
      </c>
      <c r="E533" s="580">
        <v>25594.2</v>
      </c>
    </row>
    <row r="534" spans="1:5" x14ac:dyDescent="0.35">
      <c r="A534" s="580" t="s">
        <v>461</v>
      </c>
      <c r="B534" s="580" t="s">
        <v>304</v>
      </c>
      <c r="C534" s="580">
        <v>5894</v>
      </c>
      <c r="D534" s="580">
        <v>1.09094E-2</v>
      </c>
      <c r="E534" s="580">
        <v>64.3</v>
      </c>
    </row>
    <row r="535" spans="1:5" x14ac:dyDescent="0.35">
      <c r="A535" s="580" t="s">
        <v>460</v>
      </c>
      <c r="B535" s="580" t="s">
        <v>301</v>
      </c>
      <c r="C535" s="580">
        <v>4776.2</v>
      </c>
      <c r="D535" s="580">
        <v>1.1383000000000001</v>
      </c>
      <c r="E535" s="580">
        <v>5436.75</v>
      </c>
    </row>
    <row r="536" spans="1:5" x14ac:dyDescent="0.35">
      <c r="A536" s="580" t="s">
        <v>459</v>
      </c>
      <c r="B536" s="580" t="s">
        <v>301</v>
      </c>
      <c r="C536" s="580">
        <v>1668233</v>
      </c>
      <c r="D536" s="580">
        <v>7.0699999999999999E-3</v>
      </c>
      <c r="E536" s="580">
        <v>11794.41</v>
      </c>
    </row>
    <row r="537" spans="1:5" x14ac:dyDescent="0.35">
      <c r="A537" s="580" t="s">
        <v>458</v>
      </c>
      <c r="B537" s="580" t="s">
        <v>301</v>
      </c>
      <c r="C537" s="580">
        <v>454968</v>
      </c>
      <c r="D537" s="580">
        <v>1.091E-2</v>
      </c>
      <c r="E537" s="580">
        <v>4963.7</v>
      </c>
    </row>
    <row r="538" spans="1:5" x14ac:dyDescent="0.35">
      <c r="A538" s="580" t="s">
        <v>303</v>
      </c>
      <c r="B538" s="580" t="s">
        <v>303</v>
      </c>
      <c r="C538" s="580">
        <v>1597658</v>
      </c>
      <c r="D538" s="580">
        <v>1.371E-2</v>
      </c>
      <c r="E538" s="580">
        <v>21903.89</v>
      </c>
    </row>
    <row r="539" spans="1:5" x14ac:dyDescent="0.35">
      <c r="A539" s="580" t="s">
        <v>458</v>
      </c>
      <c r="B539" s="580" t="s">
        <v>301</v>
      </c>
      <c r="C539" s="580">
        <v>414339</v>
      </c>
      <c r="D539" s="580">
        <v>1.091E-2</v>
      </c>
      <c r="E539" s="580">
        <v>4520.4399999999996</v>
      </c>
    </row>
    <row r="540" spans="1:5" x14ac:dyDescent="0.35">
      <c r="A540" s="580" t="s">
        <v>459</v>
      </c>
      <c r="B540" s="580" t="s">
        <v>301</v>
      </c>
      <c r="C540" s="580">
        <v>1553727</v>
      </c>
      <c r="D540" s="580">
        <v>7.0699999999999999E-3</v>
      </c>
      <c r="E540" s="580">
        <v>10984.85</v>
      </c>
    </row>
    <row r="541" spans="1:5" x14ac:dyDescent="0.35">
      <c r="A541" s="580" t="s">
        <v>460</v>
      </c>
      <c r="B541" s="580" t="s">
        <v>301</v>
      </c>
      <c r="C541" s="580">
        <v>4669.8999999999996</v>
      </c>
      <c r="D541" s="580">
        <v>1.1383000000000001</v>
      </c>
      <c r="E541" s="580">
        <v>5315.75</v>
      </c>
    </row>
    <row r="542" spans="1:5" x14ac:dyDescent="0.35">
      <c r="A542" s="580" t="s">
        <v>461</v>
      </c>
      <c r="B542" s="580" t="s">
        <v>304</v>
      </c>
      <c r="C542" s="580">
        <v>5905</v>
      </c>
      <c r="D542" s="580">
        <v>1.09094E-2</v>
      </c>
      <c r="E542" s="580">
        <v>64.42</v>
      </c>
    </row>
    <row r="543" spans="1:5" x14ac:dyDescent="0.35">
      <c r="A543" s="580" t="s">
        <v>303</v>
      </c>
      <c r="B543" s="580" t="s">
        <v>303</v>
      </c>
      <c r="C543" s="580">
        <v>1555159</v>
      </c>
      <c r="D543" s="580">
        <v>1.371E-2</v>
      </c>
      <c r="E543" s="580">
        <v>21321.23</v>
      </c>
    </row>
    <row r="544" spans="1:5" x14ac:dyDescent="0.35">
      <c r="A544" s="580" t="s">
        <v>461</v>
      </c>
      <c r="B544" s="580" t="s">
        <v>304</v>
      </c>
      <c r="C544" s="580">
        <v>5905</v>
      </c>
      <c r="D544" s="580">
        <v>1.09094E-2</v>
      </c>
      <c r="E544" s="580">
        <v>64.42</v>
      </c>
    </row>
    <row r="545" spans="1:5" x14ac:dyDescent="0.35">
      <c r="A545" s="580" t="s">
        <v>303</v>
      </c>
      <c r="B545" s="580" t="s">
        <v>303</v>
      </c>
      <c r="C545" s="580">
        <v>1678856</v>
      </c>
      <c r="D545" s="580">
        <v>1.371E-2</v>
      </c>
      <c r="E545" s="580">
        <v>23017.119999999999</v>
      </c>
    </row>
    <row r="546" spans="1:5" x14ac:dyDescent="0.35">
      <c r="A546" s="580" t="s">
        <v>460</v>
      </c>
      <c r="B546" s="580" t="s">
        <v>301</v>
      </c>
      <c r="C546" s="580">
        <v>4313.6000000000004</v>
      </c>
      <c r="D546" s="580">
        <v>1.1383000000000001</v>
      </c>
      <c r="E546" s="580">
        <v>4910.17</v>
      </c>
    </row>
    <row r="547" spans="1:5" x14ac:dyDescent="0.35">
      <c r="A547" s="580" t="s">
        <v>459</v>
      </c>
      <c r="B547" s="580" t="s">
        <v>301</v>
      </c>
      <c r="C547" s="580">
        <v>1417740</v>
      </c>
      <c r="D547" s="580">
        <v>7.0699999999999999E-3</v>
      </c>
      <c r="E547" s="580">
        <v>10023.42</v>
      </c>
    </row>
    <row r="548" spans="1:5" x14ac:dyDescent="0.35">
      <c r="A548" s="580" t="s">
        <v>458</v>
      </c>
      <c r="B548" s="580" t="s">
        <v>301</v>
      </c>
      <c r="C548" s="580">
        <v>407712</v>
      </c>
      <c r="D548" s="580">
        <v>1.091E-2</v>
      </c>
      <c r="E548" s="580">
        <v>4448.1400000000003</v>
      </c>
    </row>
    <row r="549" spans="1:5" x14ac:dyDescent="0.35">
      <c r="A549" s="580" t="s">
        <v>461</v>
      </c>
      <c r="B549" s="580" t="s">
        <v>304</v>
      </c>
      <c r="C549" s="580">
        <v>5803</v>
      </c>
      <c r="D549" s="580">
        <v>1.09094E-2</v>
      </c>
      <c r="E549" s="580">
        <v>63.31</v>
      </c>
    </row>
    <row r="550" spans="1:5" x14ac:dyDescent="0.35">
      <c r="A550" s="580" t="s">
        <v>459</v>
      </c>
      <c r="B550" s="580" t="s">
        <v>301</v>
      </c>
      <c r="C550" s="580">
        <v>1403975</v>
      </c>
      <c r="D550" s="580">
        <v>7.0699999999999999E-3</v>
      </c>
      <c r="E550" s="580">
        <v>9926.1</v>
      </c>
    </row>
    <row r="551" spans="1:5" x14ac:dyDescent="0.35">
      <c r="A551" s="580" t="s">
        <v>458</v>
      </c>
      <c r="B551" s="580" t="s">
        <v>301</v>
      </c>
      <c r="C551" s="580">
        <v>453126</v>
      </c>
      <c r="D551" s="580">
        <v>1.091E-2</v>
      </c>
      <c r="E551" s="580">
        <v>4943.6000000000004</v>
      </c>
    </row>
    <row r="552" spans="1:5" x14ac:dyDescent="0.35">
      <c r="A552" s="580" t="s">
        <v>303</v>
      </c>
      <c r="B552" s="580" t="s">
        <v>303</v>
      </c>
      <c r="C552" s="580">
        <v>2005616</v>
      </c>
      <c r="D552" s="580">
        <v>1.371E-2</v>
      </c>
      <c r="E552" s="580">
        <v>27497</v>
      </c>
    </row>
    <row r="553" spans="1:5" x14ac:dyDescent="0.35">
      <c r="A553" s="580" t="s">
        <v>460</v>
      </c>
      <c r="B553" s="580" t="s">
        <v>301</v>
      </c>
      <c r="C553" s="580">
        <v>4006.3</v>
      </c>
      <c r="D553" s="580">
        <v>1.1383000000000001</v>
      </c>
      <c r="E553" s="580">
        <v>4560.37</v>
      </c>
    </row>
    <row r="554" spans="1:5" x14ac:dyDescent="0.35">
      <c r="A554" s="580" t="s">
        <v>458</v>
      </c>
      <c r="B554" s="580" t="s">
        <v>301</v>
      </c>
      <c r="C554" s="580">
        <v>491434</v>
      </c>
      <c r="D554" s="580">
        <v>1.091E-2</v>
      </c>
      <c r="E554" s="580">
        <v>5361.54</v>
      </c>
    </row>
    <row r="555" spans="1:5" x14ac:dyDescent="0.35">
      <c r="A555" s="580" t="s">
        <v>459</v>
      </c>
      <c r="B555" s="580" t="s">
        <v>301</v>
      </c>
      <c r="C555" s="580">
        <v>1515629</v>
      </c>
      <c r="D555" s="580">
        <v>7.0699999999999999E-3</v>
      </c>
      <c r="E555" s="580">
        <v>10715.5</v>
      </c>
    </row>
    <row r="556" spans="1:5" ht="15" customHeight="1" x14ac:dyDescent="0.35">
      <c r="A556" s="580" t="s">
        <v>460</v>
      </c>
      <c r="B556" s="580" t="s">
        <v>301</v>
      </c>
      <c r="C556" s="580">
        <v>4039.3</v>
      </c>
      <c r="D556" s="580">
        <v>1.1383000000000001</v>
      </c>
      <c r="E556" s="580">
        <v>4597.9399999999996</v>
      </c>
    </row>
    <row r="557" spans="1:5" ht="15" customHeight="1" x14ac:dyDescent="0.35">
      <c r="A557" s="580" t="s">
        <v>461</v>
      </c>
      <c r="B557" s="580" t="s">
        <v>304</v>
      </c>
      <c r="C557" s="580">
        <v>5803</v>
      </c>
      <c r="D557" s="580">
        <v>1.09094E-2</v>
      </c>
      <c r="E557" s="580">
        <v>63.31</v>
      </c>
    </row>
    <row r="558" spans="1:5" ht="15" customHeight="1" x14ac:dyDescent="0.35">
      <c r="A558" s="580" t="s">
        <v>303</v>
      </c>
      <c r="B558" s="580" t="s">
        <v>303</v>
      </c>
      <c r="C558" s="580">
        <v>2266787</v>
      </c>
      <c r="D558" s="580">
        <v>1.371E-2</v>
      </c>
      <c r="E558" s="580">
        <v>31077.65</v>
      </c>
    </row>
    <row r="559" spans="1:5" ht="15" customHeight="1" x14ac:dyDescent="0.35">
      <c r="A559" s="580" t="s">
        <v>458</v>
      </c>
      <c r="B559" s="580" t="s">
        <v>301</v>
      </c>
      <c r="C559" s="580">
        <v>234962</v>
      </c>
      <c r="D559" s="580">
        <v>1.091E-2</v>
      </c>
      <c r="E559" s="580">
        <v>2563.44</v>
      </c>
    </row>
    <row r="560" spans="1:5" ht="15" customHeight="1" x14ac:dyDescent="0.35">
      <c r="A560" s="580" t="s">
        <v>459</v>
      </c>
      <c r="B560" s="580" t="s">
        <v>301</v>
      </c>
      <c r="C560" s="580">
        <v>570940</v>
      </c>
      <c r="D560" s="580">
        <v>7.0699999999999999E-3</v>
      </c>
      <c r="E560" s="580">
        <v>4036.55</v>
      </c>
    </row>
    <row r="561" spans="1:5" x14ac:dyDescent="0.35">
      <c r="A561" s="580" t="s">
        <v>460</v>
      </c>
      <c r="B561" s="580" t="s">
        <v>301</v>
      </c>
      <c r="C561" s="580">
        <v>1549.42</v>
      </c>
      <c r="D561" s="580">
        <v>1.1383000000000001</v>
      </c>
      <c r="E561" s="580">
        <v>1763.7</v>
      </c>
    </row>
    <row r="562" spans="1:5" x14ac:dyDescent="0.35">
      <c r="A562" s="580" t="s">
        <v>463</v>
      </c>
      <c r="B562" s="580" t="s">
        <v>302</v>
      </c>
      <c r="C562" s="580">
        <v>749182</v>
      </c>
      <c r="D562" s="580">
        <v>5.2199999999999998E-3</v>
      </c>
      <c r="E562" s="580">
        <v>3910.73</v>
      </c>
    </row>
    <row r="563" spans="1:5" x14ac:dyDescent="0.35">
      <c r="A563" s="580" t="s">
        <v>462</v>
      </c>
      <c r="B563" s="580" t="s">
        <v>302</v>
      </c>
      <c r="C563" s="580">
        <v>1542.33</v>
      </c>
      <c r="D563" s="580">
        <v>1.2132000000000001</v>
      </c>
      <c r="E563" s="580">
        <v>1871.15</v>
      </c>
    </row>
    <row r="564" spans="1:5" x14ac:dyDescent="0.35">
      <c r="A564" s="580" t="s">
        <v>461</v>
      </c>
      <c r="B564" s="580" t="s">
        <v>304</v>
      </c>
      <c r="C564" s="580">
        <v>7404</v>
      </c>
      <c r="D564" s="580">
        <v>1.091E-2</v>
      </c>
      <c r="E564" s="580">
        <v>80.78</v>
      </c>
    </row>
    <row r="565" spans="1:5" x14ac:dyDescent="0.35">
      <c r="A565" s="580" t="s">
        <v>303</v>
      </c>
      <c r="B565" s="580" t="s">
        <v>303</v>
      </c>
      <c r="C565" s="580">
        <v>1052277</v>
      </c>
      <c r="D565" s="580">
        <v>1.371E-2</v>
      </c>
      <c r="E565" s="580">
        <v>14426.72</v>
      </c>
    </row>
    <row r="566" spans="1:5" x14ac:dyDescent="0.35">
      <c r="A566" s="580" t="s">
        <v>303</v>
      </c>
      <c r="B566" s="580" t="s">
        <v>303</v>
      </c>
      <c r="C566" s="580">
        <v>959099</v>
      </c>
      <c r="D566" s="580">
        <v>1.371E-2</v>
      </c>
      <c r="E566" s="580">
        <v>13149.25</v>
      </c>
    </row>
    <row r="567" spans="1:5" x14ac:dyDescent="0.35">
      <c r="A567" s="580" t="s">
        <v>458</v>
      </c>
      <c r="B567" s="580" t="s">
        <v>301</v>
      </c>
      <c r="C567" s="580">
        <v>222871</v>
      </c>
      <c r="D567" s="580">
        <v>1.091E-2</v>
      </c>
      <c r="E567" s="580">
        <v>2431.52</v>
      </c>
    </row>
    <row r="568" spans="1:5" x14ac:dyDescent="0.35">
      <c r="A568" s="580" t="s">
        <v>459</v>
      </c>
      <c r="B568" s="580" t="s">
        <v>301</v>
      </c>
      <c r="C568" s="580">
        <v>523954</v>
      </c>
      <c r="D568" s="580">
        <v>7.0699999999999999E-3</v>
      </c>
      <c r="E568" s="580">
        <v>3704.35</v>
      </c>
    </row>
    <row r="569" spans="1:5" x14ac:dyDescent="0.35">
      <c r="A569" s="580" t="s">
        <v>460</v>
      </c>
      <c r="B569" s="580" t="s">
        <v>301</v>
      </c>
      <c r="C569" s="580">
        <v>1542.14</v>
      </c>
      <c r="D569" s="580">
        <v>1.1383000000000001</v>
      </c>
      <c r="E569" s="580">
        <v>1755.42</v>
      </c>
    </row>
    <row r="570" spans="1:5" x14ac:dyDescent="0.35">
      <c r="A570" s="580" t="s">
        <v>463</v>
      </c>
      <c r="B570" s="580" t="s">
        <v>302</v>
      </c>
      <c r="C570" s="580">
        <v>664433</v>
      </c>
      <c r="D570" s="580">
        <v>5.2199999999999998E-3</v>
      </c>
      <c r="E570" s="580">
        <v>3468.34</v>
      </c>
    </row>
    <row r="571" spans="1:5" x14ac:dyDescent="0.35">
      <c r="A571" s="580" t="s">
        <v>462</v>
      </c>
      <c r="B571" s="580" t="s">
        <v>302</v>
      </c>
      <c r="C571" s="580">
        <v>1446.03</v>
      </c>
      <c r="D571" s="580">
        <v>1.2132000000000001</v>
      </c>
      <c r="E571" s="580">
        <v>1754.32</v>
      </c>
    </row>
    <row r="572" spans="1:5" x14ac:dyDescent="0.35">
      <c r="A572" s="580" t="s">
        <v>461</v>
      </c>
      <c r="B572" s="580" t="s">
        <v>304</v>
      </c>
      <c r="C572" s="580">
        <v>7404</v>
      </c>
      <c r="D572" s="580">
        <v>1.091E-2</v>
      </c>
      <c r="E572" s="580">
        <v>80.78</v>
      </c>
    </row>
    <row r="573" spans="1:5" x14ac:dyDescent="0.35">
      <c r="A573" s="580" t="s">
        <v>462</v>
      </c>
      <c r="B573" s="580" t="s">
        <v>302</v>
      </c>
      <c r="C573" s="580">
        <v>1476.75</v>
      </c>
      <c r="D573" s="580">
        <v>1.2132000000000001</v>
      </c>
      <c r="E573" s="580">
        <v>1791.59</v>
      </c>
    </row>
    <row r="574" spans="1:5" x14ac:dyDescent="0.35">
      <c r="A574" s="580" t="s">
        <v>463</v>
      </c>
      <c r="B574" s="580" t="s">
        <v>302</v>
      </c>
      <c r="C574" s="580">
        <v>704221</v>
      </c>
      <c r="D574" s="580">
        <v>5.2199999999999998E-3</v>
      </c>
      <c r="E574" s="580">
        <v>3676.03</v>
      </c>
    </row>
    <row r="575" spans="1:5" x14ac:dyDescent="0.35">
      <c r="A575" s="580" t="s">
        <v>460</v>
      </c>
      <c r="B575" s="580" t="s">
        <v>301</v>
      </c>
      <c r="C575" s="580">
        <v>1557.92</v>
      </c>
      <c r="D575" s="580">
        <v>1.1383000000000001</v>
      </c>
      <c r="E575" s="580">
        <v>1773.38</v>
      </c>
    </row>
    <row r="576" spans="1:5" x14ac:dyDescent="0.35">
      <c r="A576" s="580" t="s">
        <v>459</v>
      </c>
      <c r="B576" s="580" t="s">
        <v>301</v>
      </c>
      <c r="C576" s="580">
        <v>550421</v>
      </c>
      <c r="D576" s="580">
        <v>7.0699999999999999E-3</v>
      </c>
      <c r="E576" s="580">
        <v>3891.48</v>
      </c>
    </row>
    <row r="577" spans="1:5" x14ac:dyDescent="0.35">
      <c r="A577" s="580" t="s">
        <v>458</v>
      </c>
      <c r="B577" s="580" t="s">
        <v>301</v>
      </c>
      <c r="C577" s="580">
        <v>217279</v>
      </c>
      <c r="D577" s="580">
        <v>1.091E-2</v>
      </c>
      <c r="E577" s="580">
        <v>2370.5100000000002</v>
      </c>
    </row>
    <row r="578" spans="1:5" x14ac:dyDescent="0.35">
      <c r="A578" s="580" t="s">
        <v>303</v>
      </c>
      <c r="B578" s="580" t="s">
        <v>303</v>
      </c>
      <c r="C578" s="580">
        <v>866746</v>
      </c>
      <c r="D578" s="580">
        <v>1.371E-2</v>
      </c>
      <c r="E578" s="580">
        <v>11883.09</v>
      </c>
    </row>
    <row r="579" spans="1:5" x14ac:dyDescent="0.35">
      <c r="A579" s="580" t="s">
        <v>461</v>
      </c>
      <c r="B579" s="580" t="s">
        <v>304</v>
      </c>
      <c r="C579" s="580">
        <v>7404</v>
      </c>
      <c r="D579" s="580">
        <v>1.091E-2</v>
      </c>
      <c r="E579" s="580">
        <v>80.78</v>
      </c>
    </row>
    <row r="580" spans="1:5" x14ac:dyDescent="0.35">
      <c r="A580" s="580" t="s">
        <v>460</v>
      </c>
      <c r="B580" s="580" t="s">
        <v>301</v>
      </c>
      <c r="C580" s="580">
        <v>1593.24</v>
      </c>
      <c r="D580" s="580">
        <v>1.1383000000000001</v>
      </c>
      <c r="E580" s="580">
        <v>1813.59</v>
      </c>
    </row>
    <row r="581" spans="1:5" x14ac:dyDescent="0.35">
      <c r="A581" s="580" t="s">
        <v>459</v>
      </c>
      <c r="B581" s="580" t="s">
        <v>301</v>
      </c>
      <c r="C581" s="580">
        <v>578254</v>
      </c>
      <c r="D581" s="580">
        <v>7.0699999999999999E-3</v>
      </c>
      <c r="E581" s="580">
        <v>4088.26</v>
      </c>
    </row>
    <row r="582" spans="1:5" x14ac:dyDescent="0.35">
      <c r="A582" s="580" t="s">
        <v>458</v>
      </c>
      <c r="B582" s="580" t="s">
        <v>301</v>
      </c>
      <c r="C582" s="580">
        <v>197140</v>
      </c>
      <c r="D582" s="580">
        <v>1.091E-2</v>
      </c>
      <c r="E582" s="580">
        <v>2150.8000000000002</v>
      </c>
    </row>
    <row r="583" spans="1:5" x14ac:dyDescent="0.35">
      <c r="A583" s="580" t="s">
        <v>463</v>
      </c>
      <c r="B583" s="580" t="s">
        <v>302</v>
      </c>
      <c r="C583" s="580">
        <v>717120</v>
      </c>
      <c r="D583" s="580">
        <v>5.2199999999999998E-3</v>
      </c>
      <c r="E583" s="580">
        <v>3743.37</v>
      </c>
    </row>
    <row r="584" spans="1:5" x14ac:dyDescent="0.35">
      <c r="A584" s="580" t="s">
        <v>462</v>
      </c>
      <c r="B584" s="580" t="s">
        <v>302</v>
      </c>
      <c r="C584" s="580">
        <v>1406.25</v>
      </c>
      <c r="D584" s="580">
        <v>1.2132000000000001</v>
      </c>
      <c r="E584" s="580">
        <v>1706.06</v>
      </c>
    </row>
    <row r="585" spans="1:5" x14ac:dyDescent="0.35">
      <c r="A585" s="580" t="s">
        <v>461</v>
      </c>
      <c r="B585" s="580" t="s">
        <v>304</v>
      </c>
      <c r="C585" s="580">
        <v>7404</v>
      </c>
      <c r="D585" s="580">
        <v>1.091E-2</v>
      </c>
      <c r="E585" s="580">
        <v>80.78</v>
      </c>
    </row>
    <row r="586" spans="1:5" x14ac:dyDescent="0.35">
      <c r="A586" s="580" t="s">
        <v>303</v>
      </c>
      <c r="B586" s="580" t="s">
        <v>303</v>
      </c>
      <c r="C586" s="580">
        <v>813093</v>
      </c>
      <c r="D586" s="580">
        <v>1.371E-2</v>
      </c>
      <c r="E586" s="580">
        <v>11147.51</v>
      </c>
    </row>
    <row r="587" spans="1:5" x14ac:dyDescent="0.35">
      <c r="A587" s="580" t="s">
        <v>461</v>
      </c>
      <c r="B587" s="580" t="s">
        <v>304</v>
      </c>
      <c r="C587" s="580">
        <v>7548</v>
      </c>
      <c r="D587" s="580">
        <v>1.091E-2</v>
      </c>
      <c r="E587" s="580">
        <v>82.35</v>
      </c>
    </row>
    <row r="588" spans="1:5" x14ac:dyDescent="0.35">
      <c r="A588" s="580" t="s">
        <v>462</v>
      </c>
      <c r="B588" s="580" t="s">
        <v>302</v>
      </c>
      <c r="C588" s="580">
        <v>1403.856</v>
      </c>
      <c r="D588" s="580">
        <v>1.2132000000000001</v>
      </c>
      <c r="E588" s="580">
        <v>1703.16</v>
      </c>
    </row>
    <row r="589" spans="1:5" x14ac:dyDescent="0.35">
      <c r="A589" s="580" t="s">
        <v>463</v>
      </c>
      <c r="B589" s="580" t="s">
        <v>302</v>
      </c>
      <c r="C589" s="580">
        <v>551571</v>
      </c>
      <c r="D589" s="580">
        <v>5.2199999999999998E-3</v>
      </c>
      <c r="E589" s="580">
        <v>2879.2</v>
      </c>
    </row>
    <row r="590" spans="1:5" x14ac:dyDescent="0.35">
      <c r="A590" s="580" t="s">
        <v>460</v>
      </c>
      <c r="B590" s="580" t="s">
        <v>301</v>
      </c>
      <c r="C590" s="580">
        <v>1632.6</v>
      </c>
      <c r="D590" s="580">
        <v>1.1383000000000001</v>
      </c>
      <c r="E590" s="580">
        <v>1858.39</v>
      </c>
    </row>
    <row r="591" spans="1:5" x14ac:dyDescent="0.35">
      <c r="A591" s="580" t="s">
        <v>459</v>
      </c>
      <c r="B591" s="580" t="s">
        <v>301</v>
      </c>
      <c r="C591" s="580">
        <v>610876</v>
      </c>
      <c r="D591" s="580">
        <v>7.0699999999999999E-3</v>
      </c>
      <c r="E591" s="580">
        <v>4318.8900000000003</v>
      </c>
    </row>
    <row r="592" spans="1:5" x14ac:dyDescent="0.35">
      <c r="A592" s="580" t="s">
        <v>458</v>
      </c>
      <c r="B592" s="580" t="s">
        <v>301</v>
      </c>
      <c r="C592" s="580">
        <v>190939</v>
      </c>
      <c r="D592" s="580">
        <v>1.091E-2</v>
      </c>
      <c r="E592" s="580">
        <v>2083.14</v>
      </c>
    </row>
    <row r="593" spans="1:5" x14ac:dyDescent="0.35">
      <c r="A593" s="580" t="s">
        <v>303</v>
      </c>
      <c r="B593" s="580" t="s">
        <v>303</v>
      </c>
      <c r="C593" s="580">
        <v>713483</v>
      </c>
      <c r="D593" s="580">
        <v>1.371E-2</v>
      </c>
      <c r="E593" s="580">
        <v>9781.85</v>
      </c>
    </row>
    <row r="594" spans="1:5" x14ac:dyDescent="0.35">
      <c r="A594" s="580" t="s">
        <v>461</v>
      </c>
      <c r="B594" s="580" t="s">
        <v>304</v>
      </c>
      <c r="C594" s="580">
        <v>7548</v>
      </c>
      <c r="D594" s="580">
        <v>1.091E-2</v>
      </c>
      <c r="E594" s="580">
        <v>82.35</v>
      </c>
    </row>
    <row r="595" spans="1:5" x14ac:dyDescent="0.35">
      <c r="A595" s="580" t="s">
        <v>462</v>
      </c>
      <c r="B595" s="580" t="s">
        <v>302</v>
      </c>
      <c r="C595" s="580">
        <v>1584.54</v>
      </c>
      <c r="D595" s="580">
        <v>1.2132000000000001</v>
      </c>
      <c r="E595" s="580">
        <v>1922.36</v>
      </c>
    </row>
    <row r="596" spans="1:5" x14ac:dyDescent="0.35">
      <c r="A596" s="580" t="s">
        <v>463</v>
      </c>
      <c r="B596" s="580" t="s">
        <v>302</v>
      </c>
      <c r="C596" s="580">
        <v>762000</v>
      </c>
      <c r="D596" s="580">
        <v>5.2199999999999998E-3</v>
      </c>
      <c r="E596" s="580">
        <v>3977.64</v>
      </c>
    </row>
    <row r="597" spans="1:5" x14ac:dyDescent="0.35">
      <c r="A597" s="580" t="s">
        <v>460</v>
      </c>
      <c r="B597" s="580" t="s">
        <v>301</v>
      </c>
      <c r="C597" s="580">
        <v>1689.24</v>
      </c>
      <c r="D597" s="580">
        <v>1.1383000000000001</v>
      </c>
      <c r="E597" s="580">
        <v>1922.86</v>
      </c>
    </row>
    <row r="598" spans="1:5" x14ac:dyDescent="0.35">
      <c r="A598" s="580" t="s">
        <v>459</v>
      </c>
      <c r="B598" s="580" t="s">
        <v>301</v>
      </c>
      <c r="C598" s="580">
        <v>573965</v>
      </c>
      <c r="D598" s="580">
        <v>7.0699999999999999E-3</v>
      </c>
      <c r="E598" s="580">
        <v>4057.93</v>
      </c>
    </row>
    <row r="599" spans="1:5" x14ac:dyDescent="0.35">
      <c r="A599" s="580" t="s">
        <v>458</v>
      </c>
      <c r="B599" s="580" t="s">
        <v>301</v>
      </c>
      <c r="C599" s="580">
        <v>206899</v>
      </c>
      <c r="D599" s="580">
        <v>1.091E-2</v>
      </c>
      <c r="E599" s="580">
        <v>2257.27</v>
      </c>
    </row>
    <row r="600" spans="1:5" x14ac:dyDescent="0.35">
      <c r="A600" s="580" t="s">
        <v>303</v>
      </c>
      <c r="B600" s="580" t="s">
        <v>303</v>
      </c>
      <c r="C600" s="580">
        <v>692942</v>
      </c>
      <c r="D600" s="580">
        <v>1.371E-2</v>
      </c>
      <c r="E600" s="580">
        <v>9500.23</v>
      </c>
    </row>
    <row r="601" spans="1:5" x14ac:dyDescent="0.35">
      <c r="A601" s="580" t="s">
        <v>458</v>
      </c>
      <c r="B601" s="580" t="s">
        <v>301</v>
      </c>
      <c r="C601" s="580">
        <v>262559</v>
      </c>
      <c r="D601" s="580">
        <v>1.091E-2</v>
      </c>
      <c r="E601" s="580">
        <v>2864.52</v>
      </c>
    </row>
    <row r="602" spans="1:5" x14ac:dyDescent="0.35">
      <c r="A602" s="580" t="s">
        <v>459</v>
      </c>
      <c r="B602" s="580" t="s">
        <v>301</v>
      </c>
      <c r="C602" s="580">
        <v>721047</v>
      </c>
      <c r="D602" s="580">
        <v>7.0699999999999999E-3</v>
      </c>
      <c r="E602" s="580">
        <v>5097.8</v>
      </c>
    </row>
    <row r="603" spans="1:5" x14ac:dyDescent="0.35">
      <c r="A603" s="580" t="s">
        <v>460</v>
      </c>
      <c r="B603" s="580" t="s">
        <v>301</v>
      </c>
      <c r="C603" s="580">
        <v>1711.8</v>
      </c>
      <c r="D603" s="580">
        <v>1.1383000000000001</v>
      </c>
      <c r="E603" s="580">
        <v>1948.54</v>
      </c>
    </row>
    <row r="604" spans="1:5" x14ac:dyDescent="0.35">
      <c r="A604" s="580" t="s">
        <v>463</v>
      </c>
      <c r="B604" s="580" t="s">
        <v>302</v>
      </c>
      <c r="C604" s="580">
        <v>765582</v>
      </c>
      <c r="D604" s="580">
        <v>5.2199999999999998E-3</v>
      </c>
      <c r="E604" s="580">
        <v>3996.34</v>
      </c>
    </row>
    <row r="605" spans="1:5" x14ac:dyDescent="0.35">
      <c r="A605" s="580" t="s">
        <v>462</v>
      </c>
      <c r="B605" s="580" t="s">
        <v>302</v>
      </c>
      <c r="C605" s="580">
        <v>1693.98</v>
      </c>
      <c r="D605" s="580">
        <v>1.2132000000000001</v>
      </c>
      <c r="E605" s="580">
        <v>2055.14</v>
      </c>
    </row>
    <row r="606" spans="1:5" x14ac:dyDescent="0.35">
      <c r="A606" s="580" t="s">
        <v>461</v>
      </c>
      <c r="B606" s="580" t="s">
        <v>304</v>
      </c>
      <c r="C606" s="580">
        <v>7525</v>
      </c>
      <c r="D606" s="580">
        <v>1.091E-2</v>
      </c>
      <c r="E606" s="580">
        <v>82.1</v>
      </c>
    </row>
    <row r="607" spans="1:5" x14ac:dyDescent="0.35">
      <c r="A607" s="580" t="s">
        <v>303</v>
      </c>
      <c r="B607" s="580" t="s">
        <v>303</v>
      </c>
      <c r="C607" s="580">
        <v>891532</v>
      </c>
      <c r="D607" s="580">
        <v>1.371E-2</v>
      </c>
      <c r="E607" s="580">
        <v>12222.9</v>
      </c>
    </row>
    <row r="608" spans="1:5" x14ac:dyDescent="0.35">
      <c r="A608" s="580" t="s">
        <v>463</v>
      </c>
      <c r="B608" s="580" t="s">
        <v>302</v>
      </c>
      <c r="C608" s="580">
        <v>811335</v>
      </c>
      <c r="D608" s="580">
        <v>5.2199999999999998E-3</v>
      </c>
      <c r="E608" s="580">
        <v>4235.17</v>
      </c>
    </row>
    <row r="609" spans="1:5" x14ac:dyDescent="0.35">
      <c r="A609" s="580" t="s">
        <v>462</v>
      </c>
      <c r="B609" s="580" t="s">
        <v>302</v>
      </c>
      <c r="C609" s="580">
        <v>1696.05</v>
      </c>
      <c r="D609" s="580">
        <v>1.2132000000000001</v>
      </c>
      <c r="E609" s="580">
        <v>2057.65</v>
      </c>
    </row>
    <row r="610" spans="1:5" x14ac:dyDescent="0.35">
      <c r="A610" s="580" t="s">
        <v>461</v>
      </c>
      <c r="B610" s="580" t="s">
        <v>304</v>
      </c>
      <c r="C610" s="580">
        <v>7525</v>
      </c>
      <c r="D610" s="580">
        <v>1.091E-2</v>
      </c>
      <c r="E610" s="580">
        <v>82.1</v>
      </c>
    </row>
    <row r="611" spans="1:5" x14ac:dyDescent="0.35">
      <c r="A611" s="580" t="s">
        <v>460</v>
      </c>
      <c r="B611" s="580" t="s">
        <v>301</v>
      </c>
      <c r="C611" s="580">
        <v>1719.62</v>
      </c>
      <c r="D611" s="580">
        <v>1.1383000000000001</v>
      </c>
      <c r="E611" s="580">
        <v>1957.44</v>
      </c>
    </row>
    <row r="612" spans="1:5" x14ac:dyDescent="0.35">
      <c r="A612" s="580" t="s">
        <v>303</v>
      </c>
      <c r="B612" s="580" t="s">
        <v>303</v>
      </c>
      <c r="C612" s="580">
        <v>752255</v>
      </c>
      <c r="D612" s="580">
        <v>1.371E-2</v>
      </c>
      <c r="E612" s="580">
        <v>10313.42</v>
      </c>
    </row>
    <row r="613" spans="1:5" x14ac:dyDescent="0.35">
      <c r="A613" s="580" t="s">
        <v>458</v>
      </c>
      <c r="B613" s="580" t="s">
        <v>301</v>
      </c>
      <c r="C613" s="580">
        <v>220970</v>
      </c>
      <c r="D613" s="580">
        <v>1.091E-2</v>
      </c>
      <c r="E613" s="580">
        <v>2410.7800000000002</v>
      </c>
    </row>
    <row r="614" spans="1:5" x14ac:dyDescent="0.35">
      <c r="A614" s="580" t="s">
        <v>459</v>
      </c>
      <c r="B614" s="580" t="s">
        <v>301</v>
      </c>
      <c r="C614" s="580">
        <v>635045</v>
      </c>
      <c r="D614" s="580">
        <v>7.0699999999999999E-3</v>
      </c>
      <c r="E614" s="580">
        <v>4489.7700000000004</v>
      </c>
    </row>
    <row r="615" spans="1:5" x14ac:dyDescent="0.35">
      <c r="A615" s="580" t="s">
        <v>458</v>
      </c>
      <c r="B615" s="580" t="s">
        <v>301</v>
      </c>
      <c r="C615" s="580">
        <v>201553</v>
      </c>
      <c r="D615" s="580">
        <v>1.091E-2</v>
      </c>
      <c r="E615" s="580">
        <v>2198.94</v>
      </c>
    </row>
    <row r="616" spans="1:5" x14ac:dyDescent="0.35">
      <c r="A616" s="580" t="s">
        <v>459</v>
      </c>
      <c r="B616" s="580" t="s">
        <v>301</v>
      </c>
      <c r="C616" s="580">
        <v>649164</v>
      </c>
      <c r="D616" s="580">
        <v>7.0699999999999999E-3</v>
      </c>
      <c r="E616" s="580">
        <v>4589.59</v>
      </c>
    </row>
    <row r="617" spans="1:5" x14ac:dyDescent="0.35">
      <c r="A617" s="580" t="s">
        <v>460</v>
      </c>
      <c r="B617" s="580" t="s">
        <v>301</v>
      </c>
      <c r="C617" s="580">
        <v>1638.58</v>
      </c>
      <c r="D617" s="580">
        <v>1.1383000000000001</v>
      </c>
      <c r="E617" s="580">
        <v>1865.2</v>
      </c>
    </row>
    <row r="618" spans="1:5" x14ac:dyDescent="0.35">
      <c r="A618" s="580" t="s">
        <v>463</v>
      </c>
      <c r="B618" s="580" t="s">
        <v>302</v>
      </c>
      <c r="C618" s="580">
        <v>817324</v>
      </c>
      <c r="D618" s="580">
        <v>5.2199999999999998E-3</v>
      </c>
      <c r="E618" s="580">
        <v>4266.43</v>
      </c>
    </row>
    <row r="619" spans="1:5" x14ac:dyDescent="0.35">
      <c r="A619" s="580" t="s">
        <v>462</v>
      </c>
      <c r="B619" s="580" t="s">
        <v>302</v>
      </c>
      <c r="C619" s="580">
        <v>1707.39</v>
      </c>
      <c r="D619" s="580">
        <v>1.2132000000000001</v>
      </c>
      <c r="E619" s="580">
        <v>2071.41</v>
      </c>
    </row>
    <row r="620" spans="1:5" x14ac:dyDescent="0.35">
      <c r="A620" s="580" t="s">
        <v>461</v>
      </c>
      <c r="B620" s="580" t="s">
        <v>304</v>
      </c>
      <c r="C620" s="580">
        <v>7525</v>
      </c>
      <c r="D620" s="580">
        <v>1.091E-2</v>
      </c>
      <c r="E620" s="580">
        <v>82.1</v>
      </c>
    </row>
    <row r="621" spans="1:5" x14ac:dyDescent="0.35">
      <c r="A621" s="580" t="s">
        <v>303</v>
      </c>
      <c r="B621" s="580" t="s">
        <v>303</v>
      </c>
      <c r="C621" s="580">
        <v>728184</v>
      </c>
      <c r="D621" s="580">
        <v>1.371E-2</v>
      </c>
      <c r="E621" s="580">
        <v>9983.4</v>
      </c>
    </row>
    <row r="622" spans="1:5" x14ac:dyDescent="0.35">
      <c r="A622" s="580" t="s">
        <v>461</v>
      </c>
      <c r="B622" s="580" t="s">
        <v>304</v>
      </c>
      <c r="C622" s="580">
        <v>7381</v>
      </c>
      <c r="D622" s="580">
        <v>1.091E-2</v>
      </c>
      <c r="E622" s="580">
        <v>80.53</v>
      </c>
    </row>
    <row r="623" spans="1:5" x14ac:dyDescent="0.35">
      <c r="A623" s="580" t="s">
        <v>462</v>
      </c>
      <c r="B623" s="580" t="s">
        <v>302</v>
      </c>
      <c r="C623" s="580">
        <v>1657.98</v>
      </c>
      <c r="D623" s="580">
        <v>1.2132000000000001</v>
      </c>
      <c r="E623" s="580">
        <v>2011.46</v>
      </c>
    </row>
    <row r="624" spans="1:5" x14ac:dyDescent="0.35">
      <c r="A624" s="580" t="s">
        <v>463</v>
      </c>
      <c r="B624" s="580" t="s">
        <v>302</v>
      </c>
      <c r="C624" s="580">
        <v>902138</v>
      </c>
      <c r="D624" s="580">
        <v>5.2199999999999998E-3</v>
      </c>
      <c r="E624" s="580">
        <v>4709.16</v>
      </c>
    </row>
    <row r="625" spans="1:5" x14ac:dyDescent="0.35">
      <c r="A625" s="580" t="s">
        <v>460</v>
      </c>
      <c r="B625" s="580" t="s">
        <v>301</v>
      </c>
      <c r="C625" s="580">
        <v>1562.88</v>
      </c>
      <c r="D625" s="580">
        <v>1.1383000000000001</v>
      </c>
      <c r="E625" s="580">
        <v>1779.03</v>
      </c>
    </row>
    <row r="626" spans="1:5" x14ac:dyDescent="0.35">
      <c r="A626" s="580" t="s">
        <v>459</v>
      </c>
      <c r="B626" s="580" t="s">
        <v>301</v>
      </c>
      <c r="C626" s="580">
        <v>577889</v>
      </c>
      <c r="D626" s="580">
        <v>7.0699999999999999E-3</v>
      </c>
      <c r="E626" s="580">
        <v>4085.68</v>
      </c>
    </row>
    <row r="627" spans="1:5" x14ac:dyDescent="0.35">
      <c r="A627" s="580" t="s">
        <v>458</v>
      </c>
      <c r="B627" s="580" t="s">
        <v>301</v>
      </c>
      <c r="C627" s="580">
        <v>179798</v>
      </c>
      <c r="D627" s="580">
        <v>1.091E-2</v>
      </c>
      <c r="E627" s="580">
        <v>1961.6</v>
      </c>
    </row>
    <row r="628" spans="1:5" x14ac:dyDescent="0.35">
      <c r="A628" s="580" t="s">
        <v>303</v>
      </c>
      <c r="B628" s="580" t="s">
        <v>303</v>
      </c>
      <c r="C628" s="580">
        <v>712935</v>
      </c>
      <c r="D628" s="580">
        <v>1.371E-2</v>
      </c>
      <c r="E628" s="580">
        <v>9774.34</v>
      </c>
    </row>
    <row r="629" spans="1:5" x14ac:dyDescent="0.35">
      <c r="A629" s="580" t="s">
        <v>461</v>
      </c>
      <c r="B629" s="580" t="s">
        <v>304</v>
      </c>
      <c r="C629" s="580">
        <v>7381</v>
      </c>
      <c r="D629" s="580">
        <v>1.091E-2</v>
      </c>
      <c r="E629" s="580">
        <v>80.53</v>
      </c>
    </row>
    <row r="630" spans="1:5" x14ac:dyDescent="0.35">
      <c r="A630" s="580" t="s">
        <v>462</v>
      </c>
      <c r="B630" s="580" t="s">
        <v>302</v>
      </c>
      <c r="C630" s="580">
        <v>1617.39</v>
      </c>
      <c r="D630" s="580">
        <v>1.2132000000000001</v>
      </c>
      <c r="E630" s="580">
        <v>1962.22</v>
      </c>
    </row>
    <row r="631" spans="1:5" x14ac:dyDescent="0.35">
      <c r="A631" s="580" t="s">
        <v>463</v>
      </c>
      <c r="B631" s="580" t="s">
        <v>302</v>
      </c>
      <c r="C631" s="580">
        <v>809409</v>
      </c>
      <c r="D631" s="580">
        <v>5.2199999999999998E-3</v>
      </c>
      <c r="E631" s="580">
        <v>4225.1099999999997</v>
      </c>
    </row>
    <row r="632" spans="1:5" x14ac:dyDescent="0.35">
      <c r="A632" s="580" t="s">
        <v>460</v>
      </c>
      <c r="B632" s="580" t="s">
        <v>301</v>
      </c>
      <c r="C632" s="580">
        <v>1524.88</v>
      </c>
      <c r="D632" s="580">
        <v>1.1383000000000001</v>
      </c>
      <c r="E632" s="580">
        <v>1735.77</v>
      </c>
    </row>
    <row r="633" spans="1:5" x14ac:dyDescent="0.35">
      <c r="A633" s="580" t="s">
        <v>459</v>
      </c>
      <c r="B633" s="580" t="s">
        <v>301</v>
      </c>
      <c r="C633" s="580">
        <v>590995</v>
      </c>
      <c r="D633" s="580">
        <v>7.0699999999999999E-3</v>
      </c>
      <c r="E633" s="580">
        <v>4178.33</v>
      </c>
    </row>
    <row r="634" spans="1:5" x14ac:dyDescent="0.35">
      <c r="A634" s="580" t="s">
        <v>458</v>
      </c>
      <c r="B634" s="580" t="s">
        <v>301</v>
      </c>
      <c r="C634" s="580">
        <v>250725</v>
      </c>
      <c r="D634" s="580">
        <v>1.091E-2</v>
      </c>
      <c r="E634" s="580">
        <v>2735.41</v>
      </c>
    </row>
    <row r="635" spans="1:5" x14ac:dyDescent="0.35">
      <c r="A635" s="580" t="s">
        <v>303</v>
      </c>
      <c r="B635" s="580" t="s">
        <v>303</v>
      </c>
      <c r="C635" s="580">
        <v>960807</v>
      </c>
      <c r="D635" s="580">
        <v>1.371E-2</v>
      </c>
      <c r="E635" s="580">
        <v>13172.66</v>
      </c>
    </row>
    <row r="636" spans="1:5" x14ac:dyDescent="0.35">
      <c r="A636" s="580" t="s">
        <v>458</v>
      </c>
      <c r="B636" s="580" t="s">
        <v>301</v>
      </c>
      <c r="C636" s="580">
        <v>191357</v>
      </c>
      <c r="D636" s="580">
        <v>1.091E-2</v>
      </c>
      <c r="E636" s="580">
        <v>2087.6999999999998</v>
      </c>
    </row>
    <row r="637" spans="1:5" x14ac:dyDescent="0.35">
      <c r="A637" s="580" t="s">
        <v>459</v>
      </c>
      <c r="B637" s="580" t="s">
        <v>301</v>
      </c>
      <c r="C637" s="580">
        <v>594147</v>
      </c>
      <c r="D637" s="580">
        <v>7.0699999999999999E-3</v>
      </c>
      <c r="E637" s="580">
        <v>4200.62</v>
      </c>
    </row>
    <row r="638" spans="1:5" x14ac:dyDescent="0.35">
      <c r="A638" s="580" t="s">
        <v>460</v>
      </c>
      <c r="B638" s="580" t="s">
        <v>301</v>
      </c>
      <c r="C638" s="580">
        <v>1577.9680000000001</v>
      </c>
      <c r="D638" s="580">
        <v>1.1383000000000001</v>
      </c>
      <c r="E638" s="580">
        <v>1796.2</v>
      </c>
    </row>
    <row r="639" spans="1:5" x14ac:dyDescent="0.35">
      <c r="A639" s="580" t="s">
        <v>461</v>
      </c>
      <c r="B639" s="580" t="s">
        <v>304</v>
      </c>
      <c r="C639" s="580">
        <v>7381</v>
      </c>
      <c r="D639" s="580">
        <v>1.091E-2</v>
      </c>
      <c r="E639" s="580">
        <v>80.53</v>
      </c>
    </row>
    <row r="640" spans="1:5" x14ac:dyDescent="0.35">
      <c r="A640" s="580" t="s">
        <v>462</v>
      </c>
      <c r="B640" s="580" t="s">
        <v>302</v>
      </c>
      <c r="C640" s="580">
        <v>1365.912</v>
      </c>
      <c r="D640" s="580">
        <v>1.2132000000000001</v>
      </c>
      <c r="E640" s="580">
        <v>1657.12</v>
      </c>
    </row>
    <row r="641" spans="1:5" x14ac:dyDescent="0.35">
      <c r="A641" s="580" t="s">
        <v>463</v>
      </c>
      <c r="B641" s="580" t="s">
        <v>302</v>
      </c>
      <c r="C641" s="580">
        <v>601524</v>
      </c>
      <c r="D641" s="580">
        <v>5.2199999999999998E-3</v>
      </c>
      <c r="E641" s="580">
        <v>3139.96</v>
      </c>
    </row>
    <row r="642" spans="1:5" x14ac:dyDescent="0.35">
      <c r="A642" s="580" t="s">
        <v>303</v>
      </c>
      <c r="B642" s="580" t="s">
        <v>303</v>
      </c>
      <c r="C642" s="580">
        <v>1050322</v>
      </c>
      <c r="D642" s="580">
        <v>1.371E-2</v>
      </c>
      <c r="E642" s="580">
        <v>14399.91</v>
      </c>
    </row>
    <row r="643" spans="1:5" x14ac:dyDescent="0.35">
      <c r="A643" s="580" t="s">
        <v>461</v>
      </c>
      <c r="B643" s="580" t="s">
        <v>304</v>
      </c>
      <c r="C643" s="580">
        <v>13928</v>
      </c>
      <c r="D643" s="580">
        <v>1.091E-2</v>
      </c>
      <c r="E643" s="580">
        <v>151.94999999999999</v>
      </c>
    </row>
    <row r="644" spans="1:5" x14ac:dyDescent="0.35">
      <c r="A644" s="580" t="s">
        <v>303</v>
      </c>
      <c r="B644" s="580" t="s">
        <v>303</v>
      </c>
      <c r="C644" s="580">
        <v>401823</v>
      </c>
      <c r="D644" s="580">
        <v>1.371E-2</v>
      </c>
      <c r="E644" s="580">
        <v>5508.99</v>
      </c>
    </row>
    <row r="645" spans="1:5" x14ac:dyDescent="0.35">
      <c r="A645" s="580" t="s">
        <v>462</v>
      </c>
      <c r="B645" s="580" t="s">
        <v>302</v>
      </c>
      <c r="C645" s="580">
        <v>2298</v>
      </c>
      <c r="D645" s="580">
        <v>1.2132000000000001</v>
      </c>
      <c r="E645" s="580">
        <v>2787.93</v>
      </c>
    </row>
    <row r="646" spans="1:5" x14ac:dyDescent="0.35">
      <c r="A646" s="580" t="s">
        <v>463</v>
      </c>
      <c r="B646" s="580" t="s">
        <v>302</v>
      </c>
      <c r="C646" s="580">
        <v>648000</v>
      </c>
      <c r="D646" s="580">
        <v>5.2199999999999998E-3</v>
      </c>
      <c r="E646" s="580">
        <v>3382.56</v>
      </c>
    </row>
    <row r="647" spans="1:5" x14ac:dyDescent="0.35">
      <c r="A647" s="580" t="s">
        <v>458</v>
      </c>
      <c r="B647" s="580" t="s">
        <v>301</v>
      </c>
      <c r="C647" s="580">
        <v>173257</v>
      </c>
      <c r="D647" s="580">
        <v>1.091E-2</v>
      </c>
      <c r="E647" s="580">
        <v>1890.23</v>
      </c>
    </row>
    <row r="648" spans="1:5" x14ac:dyDescent="0.35">
      <c r="A648" s="580" t="s">
        <v>461</v>
      </c>
      <c r="B648" s="580" t="s">
        <v>304</v>
      </c>
      <c r="C648" s="580">
        <v>12240</v>
      </c>
      <c r="D648" s="580">
        <v>1.091E-2</v>
      </c>
      <c r="E648" s="580">
        <v>133.54</v>
      </c>
    </row>
    <row r="649" spans="1:5" x14ac:dyDescent="0.35">
      <c r="A649" s="580" t="s">
        <v>463</v>
      </c>
      <c r="B649" s="580" t="s">
        <v>302</v>
      </c>
      <c r="C649" s="580">
        <v>643200</v>
      </c>
      <c r="D649" s="580">
        <v>5.2199999999999998E-3</v>
      </c>
      <c r="E649" s="580">
        <v>3357.5</v>
      </c>
    </row>
    <row r="650" spans="1:5" x14ac:dyDescent="0.35">
      <c r="A650" s="580" t="s">
        <v>458</v>
      </c>
      <c r="B650" s="580" t="s">
        <v>301</v>
      </c>
      <c r="C650" s="580">
        <v>180792</v>
      </c>
      <c r="D650" s="580">
        <v>1.091E-2</v>
      </c>
      <c r="E650" s="580">
        <v>1972.44</v>
      </c>
    </row>
    <row r="651" spans="1:5" x14ac:dyDescent="0.35">
      <c r="A651" s="580" t="s">
        <v>303</v>
      </c>
      <c r="B651" s="580" t="s">
        <v>303</v>
      </c>
      <c r="C651" s="580">
        <v>414140</v>
      </c>
      <c r="D651" s="580">
        <v>1.371E-2</v>
      </c>
      <c r="E651" s="580">
        <v>5677.86</v>
      </c>
    </row>
    <row r="652" spans="1:5" x14ac:dyDescent="0.35">
      <c r="A652" s="580" t="s">
        <v>462</v>
      </c>
      <c r="B652" s="580" t="s">
        <v>302</v>
      </c>
      <c r="C652" s="580">
        <v>2230</v>
      </c>
      <c r="D652" s="580">
        <v>1.2132000000000001</v>
      </c>
      <c r="E652" s="580">
        <v>2705.44</v>
      </c>
    </row>
    <row r="653" spans="1:5" x14ac:dyDescent="0.35">
      <c r="A653" s="580" t="s">
        <v>458</v>
      </c>
      <c r="B653" s="580" t="s">
        <v>301</v>
      </c>
      <c r="C653" s="580">
        <v>159258</v>
      </c>
      <c r="D653" s="580">
        <v>1.091E-2</v>
      </c>
      <c r="E653" s="580">
        <v>1737.5</v>
      </c>
    </row>
    <row r="654" spans="1:5" x14ac:dyDescent="0.35">
      <c r="A654" s="580" t="s">
        <v>463</v>
      </c>
      <c r="B654" s="580" t="s">
        <v>302</v>
      </c>
      <c r="C654" s="580">
        <v>631200</v>
      </c>
      <c r="D654" s="580">
        <v>5.2199999999999998E-3</v>
      </c>
      <c r="E654" s="580">
        <v>3294.86</v>
      </c>
    </row>
    <row r="655" spans="1:5" x14ac:dyDescent="0.35">
      <c r="A655" s="580" t="s">
        <v>462</v>
      </c>
      <c r="B655" s="580" t="s">
        <v>302</v>
      </c>
      <c r="C655" s="580">
        <v>2257</v>
      </c>
      <c r="D655" s="580">
        <v>1.2132000000000001</v>
      </c>
      <c r="E655" s="580">
        <v>2738.19</v>
      </c>
    </row>
    <row r="656" spans="1:5" x14ac:dyDescent="0.35">
      <c r="A656" s="580" t="s">
        <v>461</v>
      </c>
      <c r="B656" s="580" t="s">
        <v>304</v>
      </c>
      <c r="C656" s="580">
        <v>11264</v>
      </c>
      <c r="D656" s="580">
        <v>1.091E-2</v>
      </c>
      <c r="E656" s="580">
        <v>122.89</v>
      </c>
    </row>
    <row r="657" spans="1:5" x14ac:dyDescent="0.35">
      <c r="A657" s="580" t="s">
        <v>303</v>
      </c>
      <c r="B657" s="580" t="s">
        <v>303</v>
      </c>
      <c r="C657" s="580">
        <v>346283</v>
      </c>
      <c r="D657" s="580">
        <v>1.371E-2</v>
      </c>
      <c r="E657" s="580">
        <v>4747.54</v>
      </c>
    </row>
    <row r="658" spans="1:5" x14ac:dyDescent="0.35">
      <c r="A658" s="580" t="s">
        <v>461</v>
      </c>
      <c r="B658" s="580" t="s">
        <v>304</v>
      </c>
      <c r="C658" s="580">
        <v>10808</v>
      </c>
      <c r="D658" s="580">
        <v>1.091E-2</v>
      </c>
      <c r="E658" s="580">
        <v>117.92</v>
      </c>
    </row>
    <row r="659" spans="1:5" x14ac:dyDescent="0.35">
      <c r="A659" s="580" t="s">
        <v>462</v>
      </c>
      <c r="B659" s="580" t="s">
        <v>302</v>
      </c>
      <c r="C659" s="580">
        <v>2151</v>
      </c>
      <c r="D659" s="580">
        <v>1.2132000000000001</v>
      </c>
      <c r="E659" s="580">
        <v>2609.59</v>
      </c>
    </row>
    <row r="660" spans="1:5" x14ac:dyDescent="0.35">
      <c r="A660" s="580" t="s">
        <v>463</v>
      </c>
      <c r="B660" s="580" t="s">
        <v>302</v>
      </c>
      <c r="C660" s="580">
        <v>609600</v>
      </c>
      <c r="D660" s="580">
        <v>5.2199999999999998E-3</v>
      </c>
      <c r="E660" s="580">
        <v>3182.11</v>
      </c>
    </row>
    <row r="661" spans="1:5" x14ac:dyDescent="0.35">
      <c r="A661" s="580" t="s">
        <v>458</v>
      </c>
      <c r="B661" s="580" t="s">
        <v>301</v>
      </c>
      <c r="C661" s="580">
        <v>162036</v>
      </c>
      <c r="D661" s="580">
        <v>1.091E-2</v>
      </c>
      <c r="E661" s="580">
        <v>1767.81</v>
      </c>
    </row>
    <row r="662" spans="1:5" x14ac:dyDescent="0.35">
      <c r="A662" s="580" t="s">
        <v>303</v>
      </c>
      <c r="B662" s="580" t="s">
        <v>303</v>
      </c>
      <c r="C662" s="580">
        <v>327845</v>
      </c>
      <c r="D662" s="580">
        <v>1.371E-2</v>
      </c>
      <c r="E662" s="580">
        <v>4494.75</v>
      </c>
    </row>
    <row r="663" spans="1:5" x14ac:dyDescent="0.35">
      <c r="A663" s="580" t="s">
        <v>461</v>
      </c>
      <c r="B663" s="580" t="s">
        <v>304</v>
      </c>
      <c r="C663" s="580">
        <v>9480</v>
      </c>
      <c r="D663" s="580">
        <v>1.091E-2</v>
      </c>
      <c r="E663" s="580">
        <v>103.43</v>
      </c>
    </row>
    <row r="664" spans="1:5" x14ac:dyDescent="0.35">
      <c r="A664" s="580" t="s">
        <v>462</v>
      </c>
      <c r="B664" s="580" t="s">
        <v>302</v>
      </c>
      <c r="C664" s="580">
        <v>2113</v>
      </c>
      <c r="D664" s="580">
        <v>1.2132000000000001</v>
      </c>
      <c r="E664" s="580">
        <v>2563.4899999999998</v>
      </c>
    </row>
    <row r="665" spans="1:5" x14ac:dyDescent="0.35">
      <c r="A665" s="580" t="s">
        <v>463</v>
      </c>
      <c r="B665" s="580" t="s">
        <v>302</v>
      </c>
      <c r="C665" s="580">
        <v>501600</v>
      </c>
      <c r="D665" s="580">
        <v>5.2199999999999998E-3</v>
      </c>
      <c r="E665" s="580">
        <v>2618.35</v>
      </c>
    </row>
    <row r="666" spans="1:5" x14ac:dyDescent="0.35">
      <c r="A666" s="580" t="s">
        <v>458</v>
      </c>
      <c r="B666" s="580" t="s">
        <v>301</v>
      </c>
      <c r="C666" s="580">
        <v>152626</v>
      </c>
      <c r="D666" s="580">
        <v>1.091E-2</v>
      </c>
      <c r="E666" s="580">
        <v>1665.15</v>
      </c>
    </row>
    <row r="667" spans="1:5" x14ac:dyDescent="0.35">
      <c r="A667" s="580" t="s">
        <v>303</v>
      </c>
      <c r="B667" s="580" t="s">
        <v>303</v>
      </c>
      <c r="C667" s="580">
        <v>283995</v>
      </c>
      <c r="D667" s="580">
        <v>1.371E-2</v>
      </c>
      <c r="E667" s="580">
        <v>3893.57</v>
      </c>
    </row>
    <row r="668" spans="1:5" x14ac:dyDescent="0.35">
      <c r="A668" s="580" t="s">
        <v>458</v>
      </c>
      <c r="B668" s="580" t="s">
        <v>301</v>
      </c>
      <c r="C668" s="580">
        <v>160028</v>
      </c>
      <c r="D668" s="580">
        <v>1.091E-2</v>
      </c>
      <c r="E668" s="580">
        <v>1745.91</v>
      </c>
    </row>
    <row r="669" spans="1:5" x14ac:dyDescent="0.35">
      <c r="A669" s="580" t="s">
        <v>463</v>
      </c>
      <c r="B669" s="580" t="s">
        <v>302</v>
      </c>
      <c r="C669" s="580">
        <v>532800</v>
      </c>
      <c r="D669" s="580">
        <v>5.2199999999999998E-3</v>
      </c>
      <c r="E669" s="580">
        <v>2781.22</v>
      </c>
    </row>
    <row r="670" spans="1:5" x14ac:dyDescent="0.35">
      <c r="A670" s="580" t="s">
        <v>462</v>
      </c>
      <c r="B670" s="580" t="s">
        <v>302</v>
      </c>
      <c r="C670" s="580">
        <v>2071</v>
      </c>
      <c r="D670" s="580">
        <v>1.2132000000000001</v>
      </c>
      <c r="E670" s="580">
        <v>2512.54</v>
      </c>
    </row>
    <row r="671" spans="1:5" x14ac:dyDescent="0.35">
      <c r="A671" s="580" t="s">
        <v>461</v>
      </c>
      <c r="B671" s="580" t="s">
        <v>304</v>
      </c>
      <c r="C671" s="580">
        <v>8608</v>
      </c>
      <c r="D671" s="580">
        <v>1.091E-2</v>
      </c>
      <c r="E671" s="580">
        <v>93.91</v>
      </c>
    </row>
    <row r="672" spans="1:5" x14ac:dyDescent="0.35">
      <c r="A672" s="580" t="s">
        <v>303</v>
      </c>
      <c r="B672" s="580" t="s">
        <v>303</v>
      </c>
      <c r="C672" s="580">
        <v>267922</v>
      </c>
      <c r="D672" s="580">
        <v>1.371E-2</v>
      </c>
      <c r="E672" s="580">
        <v>3673.21</v>
      </c>
    </row>
    <row r="673" spans="1:5" x14ac:dyDescent="0.35">
      <c r="A673" s="580" t="s">
        <v>458</v>
      </c>
      <c r="B673" s="580" t="s">
        <v>301</v>
      </c>
      <c r="C673" s="580">
        <v>181686</v>
      </c>
      <c r="D673" s="580">
        <v>1.091E-2</v>
      </c>
      <c r="E673" s="580">
        <v>1982.19</v>
      </c>
    </row>
    <row r="674" spans="1:5" x14ac:dyDescent="0.35">
      <c r="A674" s="580" t="s">
        <v>463</v>
      </c>
      <c r="B674" s="580" t="s">
        <v>302</v>
      </c>
      <c r="C674" s="580">
        <v>439200</v>
      </c>
      <c r="D674" s="580">
        <v>5.2199999999999998E-3</v>
      </c>
      <c r="E674" s="580">
        <v>2292.62</v>
      </c>
    </row>
    <row r="675" spans="1:5" x14ac:dyDescent="0.35">
      <c r="A675" s="580" t="s">
        <v>462</v>
      </c>
      <c r="B675" s="580" t="s">
        <v>302</v>
      </c>
      <c r="C675" s="580">
        <v>2047</v>
      </c>
      <c r="D675" s="580">
        <v>1.2132000000000001</v>
      </c>
      <c r="E675" s="580">
        <v>2483.42</v>
      </c>
    </row>
    <row r="676" spans="1:5" x14ac:dyDescent="0.35">
      <c r="A676" s="580" t="s">
        <v>461</v>
      </c>
      <c r="B676" s="580" t="s">
        <v>304</v>
      </c>
      <c r="C676" s="580">
        <v>8656</v>
      </c>
      <c r="D676" s="580">
        <v>1.091E-2</v>
      </c>
      <c r="E676" s="580">
        <v>94.44</v>
      </c>
    </row>
    <row r="677" spans="1:5" x14ac:dyDescent="0.35">
      <c r="A677" s="580" t="s">
        <v>303</v>
      </c>
      <c r="B677" s="580" t="s">
        <v>303</v>
      </c>
      <c r="C677" s="580">
        <v>313244</v>
      </c>
      <c r="D677" s="580">
        <v>1.371E-2</v>
      </c>
      <c r="E677" s="580">
        <v>4294.58</v>
      </c>
    </row>
    <row r="678" spans="1:5" x14ac:dyDescent="0.35">
      <c r="A678" s="580" t="s">
        <v>463</v>
      </c>
      <c r="B678" s="580" t="s">
        <v>302</v>
      </c>
      <c r="C678" s="580">
        <v>564000</v>
      </c>
      <c r="D678" s="580">
        <v>5.2199999999999998E-3</v>
      </c>
      <c r="E678" s="580">
        <v>2944.08</v>
      </c>
    </row>
    <row r="679" spans="1:5" x14ac:dyDescent="0.35">
      <c r="A679" s="580" t="s">
        <v>462</v>
      </c>
      <c r="B679" s="580" t="s">
        <v>302</v>
      </c>
      <c r="C679" s="580">
        <v>1989</v>
      </c>
      <c r="D679" s="580">
        <v>1.2132000000000001</v>
      </c>
      <c r="E679" s="580">
        <v>2413.0500000000002</v>
      </c>
    </row>
    <row r="680" spans="1:5" x14ac:dyDescent="0.35">
      <c r="A680" s="580" t="s">
        <v>303</v>
      </c>
      <c r="B680" s="580" t="s">
        <v>303</v>
      </c>
      <c r="C680" s="580">
        <v>313893</v>
      </c>
      <c r="D680" s="580">
        <v>1.371E-2</v>
      </c>
      <c r="E680" s="580">
        <v>4303.47</v>
      </c>
    </row>
    <row r="681" spans="1:5" x14ac:dyDescent="0.35">
      <c r="A681" s="580" t="s">
        <v>461</v>
      </c>
      <c r="B681" s="580" t="s">
        <v>304</v>
      </c>
      <c r="C681" s="580">
        <v>10352</v>
      </c>
      <c r="D681" s="580">
        <v>1.091E-2</v>
      </c>
      <c r="E681" s="580">
        <v>112.94</v>
      </c>
    </row>
    <row r="682" spans="1:5" x14ac:dyDescent="0.35">
      <c r="A682" s="580" t="s">
        <v>458</v>
      </c>
      <c r="B682" s="580" t="s">
        <v>301</v>
      </c>
      <c r="C682" s="580">
        <v>176947</v>
      </c>
      <c r="D682" s="580">
        <v>1.091E-2</v>
      </c>
      <c r="E682" s="580">
        <v>1930.49</v>
      </c>
    </row>
    <row r="683" spans="1:5" x14ac:dyDescent="0.35">
      <c r="A683" s="580" t="s">
        <v>461</v>
      </c>
      <c r="B683" s="580" t="s">
        <v>304</v>
      </c>
      <c r="C683" s="580">
        <v>11128</v>
      </c>
      <c r="D683" s="580">
        <v>1.091E-2</v>
      </c>
      <c r="E683" s="580">
        <v>121.41</v>
      </c>
    </row>
    <row r="684" spans="1:5" x14ac:dyDescent="0.35">
      <c r="A684" s="580" t="s">
        <v>462</v>
      </c>
      <c r="B684" s="580" t="s">
        <v>302</v>
      </c>
      <c r="C684" s="580">
        <v>2049</v>
      </c>
      <c r="D684" s="580">
        <v>1.2132064</v>
      </c>
      <c r="E684" s="580">
        <v>2485.86</v>
      </c>
    </row>
    <row r="685" spans="1:5" x14ac:dyDescent="0.35">
      <c r="A685" s="580" t="s">
        <v>463</v>
      </c>
      <c r="B685" s="580" t="s">
        <v>302</v>
      </c>
      <c r="C685" s="580">
        <v>484800</v>
      </c>
      <c r="D685" s="580">
        <v>5.2199999999999998E-3</v>
      </c>
      <c r="E685" s="580">
        <v>2530.66</v>
      </c>
    </row>
    <row r="686" spans="1:5" x14ac:dyDescent="0.35">
      <c r="A686" s="580" t="s">
        <v>458</v>
      </c>
      <c r="B686" s="580" t="s">
        <v>301</v>
      </c>
      <c r="C686" s="580">
        <v>152694</v>
      </c>
      <c r="D686" s="580">
        <v>1.091E-2</v>
      </c>
      <c r="E686" s="580">
        <v>1665.89</v>
      </c>
    </row>
    <row r="687" spans="1:5" x14ac:dyDescent="0.35">
      <c r="A687" s="580" t="s">
        <v>303</v>
      </c>
      <c r="B687" s="580" t="s">
        <v>303</v>
      </c>
      <c r="C687" s="580">
        <v>260763</v>
      </c>
      <c r="D687" s="580">
        <v>1.371E-2</v>
      </c>
      <c r="E687" s="580">
        <v>3575.06</v>
      </c>
    </row>
    <row r="688" spans="1:5" x14ac:dyDescent="0.35">
      <c r="A688" s="580" t="s">
        <v>461</v>
      </c>
      <c r="B688" s="580" t="s">
        <v>304</v>
      </c>
      <c r="C688" s="580">
        <v>12728</v>
      </c>
      <c r="D688" s="580">
        <v>1.091E-2</v>
      </c>
      <c r="E688" s="580">
        <v>138.86000000000001</v>
      </c>
    </row>
    <row r="689" spans="1:5" x14ac:dyDescent="0.35">
      <c r="A689" s="580" t="s">
        <v>463</v>
      </c>
      <c r="B689" s="580" t="s">
        <v>302</v>
      </c>
      <c r="C689" s="580">
        <v>525600</v>
      </c>
      <c r="D689" s="580">
        <v>5.2199999999999998E-3</v>
      </c>
      <c r="E689" s="580">
        <v>2743.63</v>
      </c>
    </row>
    <row r="690" spans="1:5" x14ac:dyDescent="0.35">
      <c r="A690" s="580" t="s">
        <v>458</v>
      </c>
      <c r="B690" s="580" t="s">
        <v>301</v>
      </c>
      <c r="C690" s="580">
        <v>145768</v>
      </c>
      <c r="D690" s="580">
        <v>1.091E-2</v>
      </c>
      <c r="E690" s="580">
        <v>1590.33</v>
      </c>
    </row>
    <row r="691" spans="1:5" x14ac:dyDescent="0.35">
      <c r="A691" s="580" t="s">
        <v>303</v>
      </c>
      <c r="B691" s="580" t="s">
        <v>303</v>
      </c>
      <c r="C691" s="580">
        <v>277540</v>
      </c>
      <c r="D691" s="580">
        <v>1.371E-2</v>
      </c>
      <c r="E691" s="580">
        <v>3805.07</v>
      </c>
    </row>
    <row r="692" spans="1:5" x14ac:dyDescent="0.35">
      <c r="A692" s="580" t="s">
        <v>462</v>
      </c>
      <c r="B692" s="580" t="s">
        <v>302</v>
      </c>
      <c r="C692" s="580">
        <v>2088</v>
      </c>
      <c r="D692" s="580">
        <v>1.2131992</v>
      </c>
      <c r="E692" s="580">
        <v>2533.16</v>
      </c>
    </row>
    <row r="693" spans="1:5" x14ac:dyDescent="0.35">
      <c r="A693" s="580" t="s">
        <v>461</v>
      </c>
      <c r="B693" s="580" t="s">
        <v>304</v>
      </c>
      <c r="C693" s="580">
        <v>14512</v>
      </c>
      <c r="D693" s="580">
        <v>1.09096E-2</v>
      </c>
      <c r="E693" s="580">
        <v>158.32</v>
      </c>
    </row>
    <row r="694" spans="1:5" x14ac:dyDescent="0.35">
      <c r="A694" s="580" t="s">
        <v>462</v>
      </c>
      <c r="B694" s="580" t="s">
        <v>302</v>
      </c>
      <c r="C694" s="580">
        <v>2078</v>
      </c>
      <c r="D694" s="580">
        <v>1.2131954</v>
      </c>
      <c r="E694" s="580">
        <v>2521.02</v>
      </c>
    </row>
    <row r="695" spans="1:5" x14ac:dyDescent="0.35">
      <c r="A695" s="580" t="s">
        <v>463</v>
      </c>
      <c r="B695" s="580" t="s">
        <v>302</v>
      </c>
      <c r="C695" s="580">
        <v>492</v>
      </c>
      <c r="D695" s="580">
        <v>5.22</v>
      </c>
      <c r="E695" s="580">
        <v>2568.2399999999998</v>
      </c>
    </row>
    <row r="696" spans="1:5" x14ac:dyDescent="0.35">
      <c r="A696" s="580" t="s">
        <v>458</v>
      </c>
      <c r="B696" s="580" t="s">
        <v>301</v>
      </c>
      <c r="C696" s="580">
        <v>161.08099999999999</v>
      </c>
      <c r="D696" s="580">
        <v>10.909977</v>
      </c>
      <c r="E696" s="580">
        <v>1757.39</v>
      </c>
    </row>
    <row r="697" spans="1:5" x14ac:dyDescent="0.35">
      <c r="A697" s="580" t="s">
        <v>303</v>
      </c>
      <c r="B697" s="580" t="s">
        <v>303</v>
      </c>
      <c r="C697" s="580">
        <v>346467</v>
      </c>
      <c r="D697" s="580">
        <v>1.371E-2</v>
      </c>
      <c r="E697" s="580">
        <v>4750.0600000000004</v>
      </c>
    </row>
    <row r="698" spans="1:5" x14ac:dyDescent="0.35">
      <c r="A698" s="580" t="s">
        <v>461</v>
      </c>
      <c r="B698" s="580" t="s">
        <v>304</v>
      </c>
      <c r="C698" s="580">
        <v>15384</v>
      </c>
      <c r="D698" s="580">
        <v>1.091E-2</v>
      </c>
      <c r="E698" s="580">
        <v>167.84</v>
      </c>
    </row>
    <row r="699" spans="1:5" x14ac:dyDescent="0.35">
      <c r="A699" s="580" t="s">
        <v>462</v>
      </c>
      <c r="B699" s="580" t="s">
        <v>302</v>
      </c>
      <c r="C699" s="580">
        <v>2176</v>
      </c>
      <c r="D699" s="580">
        <v>1.2132000000000001</v>
      </c>
      <c r="E699" s="580">
        <v>2639.92</v>
      </c>
    </row>
    <row r="700" spans="1:5" x14ac:dyDescent="0.35">
      <c r="A700" s="580" t="s">
        <v>463</v>
      </c>
      <c r="B700" s="580" t="s">
        <v>302</v>
      </c>
      <c r="C700" s="580">
        <v>552000</v>
      </c>
      <c r="D700" s="580">
        <v>5.2199999999999998E-3</v>
      </c>
      <c r="E700" s="580">
        <v>2881.44</v>
      </c>
    </row>
    <row r="701" spans="1:5" x14ac:dyDescent="0.35">
      <c r="A701" s="580" t="s">
        <v>458</v>
      </c>
      <c r="B701" s="580" t="s">
        <v>301</v>
      </c>
      <c r="C701" s="580">
        <v>180634</v>
      </c>
      <c r="D701" s="580">
        <v>1.091E-2</v>
      </c>
      <c r="E701" s="580">
        <v>1970.72</v>
      </c>
    </row>
    <row r="702" spans="1:5" x14ac:dyDescent="0.35">
      <c r="A702" s="580" t="s">
        <v>303</v>
      </c>
      <c r="B702" s="580" t="s">
        <v>303</v>
      </c>
      <c r="C702" s="580">
        <v>384171</v>
      </c>
      <c r="D702" s="580">
        <v>1.371E-2</v>
      </c>
      <c r="E702" s="580">
        <v>5266.98</v>
      </c>
    </row>
    <row r="703" spans="1:5" x14ac:dyDescent="0.35">
      <c r="A703" s="580" t="s">
        <v>461</v>
      </c>
      <c r="B703" s="580" t="s">
        <v>304</v>
      </c>
      <c r="C703" s="580">
        <v>4305</v>
      </c>
      <c r="D703" s="580">
        <v>1.09082E-2</v>
      </c>
      <c r="E703" s="580">
        <v>46.96</v>
      </c>
    </row>
    <row r="704" spans="1:5" x14ac:dyDescent="0.35">
      <c r="A704" s="580" t="s">
        <v>462</v>
      </c>
      <c r="B704" s="580" t="s">
        <v>302</v>
      </c>
      <c r="C704" s="580">
        <v>6870</v>
      </c>
      <c r="D704" s="580">
        <v>1.2132000000000001</v>
      </c>
      <c r="E704" s="580">
        <v>8334.68</v>
      </c>
    </row>
    <row r="705" spans="1:5" x14ac:dyDescent="0.35">
      <c r="A705" s="580" t="s">
        <v>463</v>
      </c>
      <c r="B705" s="580" t="s">
        <v>302</v>
      </c>
      <c r="C705" s="580">
        <v>1187520</v>
      </c>
      <c r="D705" s="580">
        <v>5.2199999999999998E-3</v>
      </c>
      <c r="E705" s="580">
        <v>6198.85</v>
      </c>
    </row>
    <row r="706" spans="1:5" x14ac:dyDescent="0.35">
      <c r="A706" s="580" t="s">
        <v>460</v>
      </c>
      <c r="B706" s="580" t="s">
        <v>301</v>
      </c>
      <c r="C706" s="580">
        <v>8694.73</v>
      </c>
      <c r="D706" s="580">
        <v>1.1383000000000001</v>
      </c>
      <c r="E706" s="580">
        <v>9897.2099999999991</v>
      </c>
    </row>
    <row r="707" spans="1:5" x14ac:dyDescent="0.35">
      <c r="A707" s="580" t="s">
        <v>459</v>
      </c>
      <c r="B707" s="580" t="s">
        <v>301</v>
      </c>
      <c r="C707" s="580">
        <v>3328587</v>
      </c>
      <c r="D707" s="580">
        <v>7.0699999999999999E-3</v>
      </c>
      <c r="E707" s="580">
        <v>23533.11</v>
      </c>
    </row>
    <row r="708" spans="1:5" x14ac:dyDescent="0.35">
      <c r="A708" s="580" t="s">
        <v>458</v>
      </c>
      <c r="B708" s="580" t="s">
        <v>301</v>
      </c>
      <c r="C708" s="580">
        <v>705773</v>
      </c>
      <c r="D708" s="580">
        <v>1.0910100000000001E-2</v>
      </c>
      <c r="E708" s="580">
        <v>7700.02</v>
      </c>
    </row>
    <row r="709" spans="1:5" x14ac:dyDescent="0.35">
      <c r="A709" s="580" t="s">
        <v>303</v>
      </c>
      <c r="B709" s="580" t="s">
        <v>303</v>
      </c>
      <c r="C709" s="580">
        <v>2673940</v>
      </c>
      <c r="D709" s="580">
        <v>1.3711599999999999E-2</v>
      </c>
      <c r="E709" s="580">
        <v>36664.080000000002</v>
      </c>
    </row>
    <row r="710" spans="1:5" x14ac:dyDescent="0.35">
      <c r="A710" s="580" t="s">
        <v>303</v>
      </c>
      <c r="B710" s="580" t="s">
        <v>303</v>
      </c>
      <c r="C710" s="580">
        <v>2311579</v>
      </c>
      <c r="D710" s="580">
        <v>1.371E-2</v>
      </c>
      <c r="E710" s="580">
        <v>31691.75</v>
      </c>
    </row>
    <row r="711" spans="1:5" x14ac:dyDescent="0.35">
      <c r="A711" s="580" t="s">
        <v>458</v>
      </c>
      <c r="B711" s="580" t="s">
        <v>301</v>
      </c>
      <c r="C711" s="580">
        <v>627013</v>
      </c>
      <c r="D711" s="580">
        <v>1.091E-2</v>
      </c>
      <c r="E711" s="580">
        <v>6840.71</v>
      </c>
    </row>
    <row r="712" spans="1:5" x14ac:dyDescent="0.35">
      <c r="A712" s="580" t="s">
        <v>459</v>
      </c>
      <c r="B712" s="580" t="s">
        <v>301</v>
      </c>
      <c r="C712" s="580">
        <v>2964691</v>
      </c>
      <c r="D712" s="580">
        <v>7.0699999999999999E-3</v>
      </c>
      <c r="E712" s="580">
        <v>20960.37</v>
      </c>
    </row>
    <row r="713" spans="1:5" x14ac:dyDescent="0.35">
      <c r="A713" s="580" t="s">
        <v>460</v>
      </c>
      <c r="B713" s="580" t="s">
        <v>301</v>
      </c>
      <c r="C713" s="580">
        <v>8595</v>
      </c>
      <c r="D713" s="580">
        <v>1.1383432</v>
      </c>
      <c r="E713" s="580">
        <v>9784.06</v>
      </c>
    </row>
    <row r="714" spans="1:5" x14ac:dyDescent="0.35">
      <c r="A714" s="580" t="s">
        <v>463</v>
      </c>
      <c r="B714" s="580" t="s">
        <v>302</v>
      </c>
      <c r="C714" s="580">
        <v>422600</v>
      </c>
      <c r="D714" s="580">
        <v>5.2199999999999998E-3</v>
      </c>
      <c r="E714" s="580">
        <v>2205.9699999999998</v>
      </c>
    </row>
    <row r="715" spans="1:5" x14ac:dyDescent="0.35">
      <c r="A715" s="580" t="s">
        <v>462</v>
      </c>
      <c r="B715" s="580" t="s">
        <v>302</v>
      </c>
      <c r="C715" s="580">
        <v>3690</v>
      </c>
      <c r="D715" s="580">
        <v>1.2132000000000001</v>
      </c>
      <c r="E715" s="580">
        <v>4476.71</v>
      </c>
    </row>
    <row r="716" spans="1:5" x14ac:dyDescent="0.35">
      <c r="A716" s="580" t="s">
        <v>461</v>
      </c>
      <c r="B716" s="580" t="s">
        <v>304</v>
      </c>
      <c r="C716" s="580">
        <v>4070</v>
      </c>
      <c r="D716" s="580">
        <v>1.09E-2</v>
      </c>
      <c r="E716" s="580">
        <v>44.36</v>
      </c>
    </row>
    <row r="717" spans="1:5" x14ac:dyDescent="0.35">
      <c r="A717" s="580" t="s">
        <v>461</v>
      </c>
      <c r="B717" s="580" t="s">
        <v>304</v>
      </c>
      <c r="C717" s="580">
        <v>3997</v>
      </c>
      <c r="D717" s="580">
        <v>1.091E-2</v>
      </c>
      <c r="E717" s="580">
        <v>43.61</v>
      </c>
    </row>
    <row r="718" spans="1:5" x14ac:dyDescent="0.35">
      <c r="A718" s="580" t="s">
        <v>303</v>
      </c>
      <c r="B718" s="580" t="s">
        <v>303</v>
      </c>
      <c r="C718" s="580">
        <v>2050236</v>
      </c>
      <c r="D718" s="580">
        <v>1.371E-2</v>
      </c>
      <c r="E718" s="580">
        <v>28108.74</v>
      </c>
    </row>
    <row r="719" spans="1:5" x14ac:dyDescent="0.35">
      <c r="A719" s="580" t="s">
        <v>458</v>
      </c>
      <c r="B719" s="580" t="s">
        <v>301</v>
      </c>
      <c r="C719" s="580">
        <v>597047</v>
      </c>
      <c r="D719" s="580">
        <v>1.091E-2</v>
      </c>
      <c r="E719" s="580">
        <v>6513.78</v>
      </c>
    </row>
    <row r="720" spans="1:5" x14ac:dyDescent="0.35">
      <c r="A720" s="580" t="s">
        <v>459</v>
      </c>
      <c r="B720" s="580" t="s">
        <v>301</v>
      </c>
      <c r="C720" s="580">
        <v>2942089</v>
      </c>
      <c r="D720" s="580">
        <v>7.0699999999999999E-3</v>
      </c>
      <c r="E720" s="580">
        <v>20800.57</v>
      </c>
    </row>
    <row r="721" spans="1:5" x14ac:dyDescent="0.35">
      <c r="A721" s="580" t="s">
        <v>460</v>
      </c>
      <c r="B721" s="580" t="s">
        <v>301</v>
      </c>
      <c r="C721" s="580">
        <v>8597</v>
      </c>
      <c r="D721" s="580">
        <v>1.1383000000000001</v>
      </c>
      <c r="E721" s="580">
        <v>9785.9699999999993</v>
      </c>
    </row>
    <row r="722" spans="1:5" x14ac:dyDescent="0.35">
      <c r="A722" s="580" t="s">
        <v>463</v>
      </c>
      <c r="B722" s="580" t="s">
        <v>302</v>
      </c>
      <c r="C722" s="580">
        <v>472800</v>
      </c>
      <c r="D722" s="580">
        <v>5.2199999999999998E-3</v>
      </c>
      <c r="E722" s="580">
        <v>2468.02</v>
      </c>
    </row>
    <row r="723" spans="1:5" x14ac:dyDescent="0.35">
      <c r="A723" s="580" t="s">
        <v>462</v>
      </c>
      <c r="B723" s="580" t="s">
        <v>302</v>
      </c>
      <c r="C723" s="580">
        <v>2090</v>
      </c>
      <c r="D723" s="580">
        <v>1.2132000000000001</v>
      </c>
      <c r="E723" s="580">
        <v>2535.59</v>
      </c>
    </row>
    <row r="724" spans="1:5" x14ac:dyDescent="0.35">
      <c r="A724" s="580" t="s">
        <v>460</v>
      </c>
      <c r="B724" s="580" t="s">
        <v>301</v>
      </c>
      <c r="C724" s="580">
        <v>8429</v>
      </c>
      <c r="D724" s="580">
        <v>1.1383000000000001</v>
      </c>
      <c r="E724" s="580">
        <v>9594.73</v>
      </c>
    </row>
    <row r="725" spans="1:5" x14ac:dyDescent="0.35">
      <c r="A725" s="580" t="s">
        <v>303</v>
      </c>
      <c r="B725" s="580" t="s">
        <v>303</v>
      </c>
      <c r="C725" s="580">
        <v>3490006</v>
      </c>
      <c r="D725" s="580">
        <v>1.371E-2</v>
      </c>
      <c r="E725" s="580">
        <v>47847.98</v>
      </c>
    </row>
    <row r="726" spans="1:5" x14ac:dyDescent="0.35">
      <c r="A726" s="580" t="s">
        <v>458</v>
      </c>
      <c r="B726" s="580" t="s">
        <v>301</v>
      </c>
      <c r="C726" s="580">
        <v>505356</v>
      </c>
      <c r="D726" s="580">
        <v>1.091E-2</v>
      </c>
      <c r="E726" s="580">
        <v>5513.43</v>
      </c>
    </row>
    <row r="727" spans="1:5" x14ac:dyDescent="0.35">
      <c r="A727" s="580" t="s">
        <v>459</v>
      </c>
      <c r="B727" s="580" t="s">
        <v>301</v>
      </c>
      <c r="C727" s="580">
        <v>3006422</v>
      </c>
      <c r="D727" s="580">
        <v>7.0699999999999999E-3</v>
      </c>
      <c r="E727" s="580">
        <v>21255.4</v>
      </c>
    </row>
    <row r="728" spans="1:5" x14ac:dyDescent="0.35">
      <c r="A728" s="580" t="s">
        <v>463</v>
      </c>
      <c r="B728" s="580" t="s">
        <v>302</v>
      </c>
      <c r="C728" s="580">
        <v>218680</v>
      </c>
      <c r="D728" s="580">
        <v>5.2199999999999998E-3</v>
      </c>
      <c r="E728" s="580">
        <v>1141.51</v>
      </c>
    </row>
    <row r="729" spans="1:5" x14ac:dyDescent="0.35">
      <c r="A729" s="580" t="s">
        <v>462</v>
      </c>
      <c r="B729" s="580" t="s">
        <v>302</v>
      </c>
      <c r="C729" s="580">
        <v>1340</v>
      </c>
      <c r="D729" s="580">
        <v>1.2132000000000001</v>
      </c>
      <c r="E729" s="580">
        <v>1625.69</v>
      </c>
    </row>
    <row r="730" spans="1:5" x14ac:dyDescent="0.35">
      <c r="A730" s="580" t="s">
        <v>461</v>
      </c>
      <c r="B730" s="580" t="s">
        <v>304</v>
      </c>
      <c r="C730" s="580">
        <v>3948</v>
      </c>
      <c r="D730" s="580">
        <v>1.091E-2</v>
      </c>
      <c r="E730" s="580">
        <v>43.07</v>
      </c>
    </row>
    <row r="731" spans="1:5" x14ac:dyDescent="0.35">
      <c r="A731" s="580" t="s">
        <v>460</v>
      </c>
      <c r="B731" s="580" t="s">
        <v>301</v>
      </c>
      <c r="C731" s="580">
        <v>8533</v>
      </c>
      <c r="D731" s="580">
        <v>1.1383000000000001</v>
      </c>
      <c r="E731" s="580">
        <v>9713.11</v>
      </c>
    </row>
    <row r="732" spans="1:5" x14ac:dyDescent="0.35">
      <c r="A732" s="580" t="s">
        <v>463</v>
      </c>
      <c r="B732" s="580" t="s">
        <v>302</v>
      </c>
      <c r="C732" s="580">
        <v>105960</v>
      </c>
      <c r="D732" s="580">
        <v>5.2199999999999998E-3</v>
      </c>
      <c r="E732" s="580">
        <v>553.11</v>
      </c>
    </row>
    <row r="733" spans="1:5" x14ac:dyDescent="0.35">
      <c r="A733" s="580" t="s">
        <v>462</v>
      </c>
      <c r="B733" s="580" t="s">
        <v>302</v>
      </c>
      <c r="C733" s="580">
        <v>500</v>
      </c>
      <c r="D733" s="580">
        <v>1.2132000000000001</v>
      </c>
      <c r="E733" s="580">
        <v>606.6</v>
      </c>
    </row>
    <row r="734" spans="1:5" x14ac:dyDescent="0.35">
      <c r="A734" s="580" t="s">
        <v>461</v>
      </c>
      <c r="B734" s="580" t="s">
        <v>304</v>
      </c>
      <c r="C734" s="580">
        <v>3839</v>
      </c>
      <c r="D734" s="580">
        <v>1.091E-2</v>
      </c>
      <c r="E734" s="580">
        <v>41.88</v>
      </c>
    </row>
    <row r="735" spans="1:5" x14ac:dyDescent="0.35">
      <c r="A735" s="580" t="s">
        <v>303</v>
      </c>
      <c r="B735" s="580" t="s">
        <v>303</v>
      </c>
      <c r="C735" s="580">
        <v>-342389</v>
      </c>
      <c r="D735" s="580">
        <v>1.371E-2</v>
      </c>
      <c r="E735" s="580">
        <v>-4694.1499999999996</v>
      </c>
    </row>
    <row r="736" spans="1:5" x14ac:dyDescent="0.35">
      <c r="A736" s="580" t="s">
        <v>458</v>
      </c>
      <c r="B736" s="580" t="s">
        <v>301</v>
      </c>
      <c r="C736" s="580">
        <v>494782</v>
      </c>
      <c r="D736" s="580">
        <v>1.091E-2</v>
      </c>
      <c r="E736" s="580">
        <v>5398.07</v>
      </c>
    </row>
    <row r="737" spans="1:5" x14ac:dyDescent="0.35">
      <c r="A737" s="580" t="s">
        <v>459</v>
      </c>
      <c r="B737" s="580" t="s">
        <v>301</v>
      </c>
      <c r="C737" s="580">
        <v>2347589</v>
      </c>
      <c r="D737" s="580">
        <v>7.0699999999999999E-3</v>
      </c>
      <c r="E737" s="580">
        <v>16597.45</v>
      </c>
    </row>
    <row r="738" spans="1:5" x14ac:dyDescent="0.35">
      <c r="A738" s="580" t="s">
        <v>461</v>
      </c>
      <c r="B738" s="580" t="s">
        <v>304</v>
      </c>
      <c r="C738" s="580">
        <v>3792</v>
      </c>
      <c r="D738" s="580">
        <v>1.091E-2</v>
      </c>
      <c r="E738" s="580">
        <v>41.37</v>
      </c>
    </row>
    <row r="739" spans="1:5" x14ac:dyDescent="0.35">
      <c r="A739" s="580" t="s">
        <v>458</v>
      </c>
      <c r="B739" s="580" t="s">
        <v>301</v>
      </c>
      <c r="C739" s="580">
        <v>597901</v>
      </c>
      <c r="D739" s="580">
        <v>1.091E-2</v>
      </c>
      <c r="E739" s="580">
        <v>6523.1</v>
      </c>
    </row>
    <row r="740" spans="1:5" x14ac:dyDescent="0.35">
      <c r="A740" s="580" t="s">
        <v>303</v>
      </c>
      <c r="B740" s="580" t="s">
        <v>303</v>
      </c>
      <c r="C740" s="580">
        <v>1779613</v>
      </c>
      <c r="D740" s="580">
        <v>1.371E-2</v>
      </c>
      <c r="E740" s="580">
        <v>24398.49</v>
      </c>
    </row>
    <row r="741" spans="1:5" x14ac:dyDescent="0.35">
      <c r="A741" s="580" t="s">
        <v>459</v>
      </c>
      <c r="B741" s="580" t="s">
        <v>301</v>
      </c>
      <c r="C741" s="580">
        <v>3109298</v>
      </c>
      <c r="D741" s="580">
        <v>7.0699999999999999E-3</v>
      </c>
      <c r="E741" s="580">
        <v>21982.74</v>
      </c>
    </row>
    <row r="742" spans="1:5" x14ac:dyDescent="0.35">
      <c r="A742" s="580" t="s">
        <v>462</v>
      </c>
      <c r="B742" s="580" t="s">
        <v>302</v>
      </c>
      <c r="C742" s="580">
        <v>370</v>
      </c>
      <c r="D742" s="580">
        <v>1.2132000000000001</v>
      </c>
      <c r="E742" s="580">
        <v>448.88</v>
      </c>
    </row>
    <row r="743" spans="1:5" x14ac:dyDescent="0.35">
      <c r="A743" s="580" t="s">
        <v>463</v>
      </c>
      <c r="B743" s="580" t="s">
        <v>302</v>
      </c>
      <c r="C743" s="580">
        <v>104160</v>
      </c>
      <c r="D743" s="580">
        <v>5.2199999999999998E-3</v>
      </c>
      <c r="E743" s="580">
        <v>543.72</v>
      </c>
    </row>
    <row r="744" spans="1:5" x14ac:dyDescent="0.35">
      <c r="A744" s="580" t="s">
        <v>460</v>
      </c>
      <c r="B744" s="580" t="s">
        <v>301</v>
      </c>
      <c r="C744" s="580">
        <v>8851</v>
      </c>
      <c r="D744" s="580">
        <v>1.1383000000000001</v>
      </c>
      <c r="E744" s="580">
        <v>10075.09</v>
      </c>
    </row>
    <row r="745" spans="1:5" x14ac:dyDescent="0.35">
      <c r="A745" s="580" t="s">
        <v>303</v>
      </c>
      <c r="B745" s="580" t="s">
        <v>303</v>
      </c>
      <c r="C745" s="580">
        <v>2146133</v>
      </c>
      <c r="D745" s="580">
        <v>1.371E-2</v>
      </c>
      <c r="E745" s="580">
        <v>29423.48</v>
      </c>
    </row>
    <row r="746" spans="1:5" x14ac:dyDescent="0.35">
      <c r="A746" s="580" t="s">
        <v>461</v>
      </c>
      <c r="B746" s="580" t="s">
        <v>304</v>
      </c>
      <c r="C746" s="580">
        <v>3792</v>
      </c>
      <c r="D746" s="580">
        <v>1.091E-2</v>
      </c>
      <c r="E746" s="580">
        <v>41.37</v>
      </c>
    </row>
    <row r="747" spans="1:5" x14ac:dyDescent="0.35">
      <c r="A747" s="580" t="s">
        <v>459</v>
      </c>
      <c r="B747" s="580" t="s">
        <v>301</v>
      </c>
      <c r="C747" s="580">
        <v>3526743</v>
      </c>
      <c r="D747" s="580">
        <v>7.0699999999999999E-3</v>
      </c>
      <c r="E747" s="580">
        <v>24934.07</v>
      </c>
    </row>
    <row r="748" spans="1:5" x14ac:dyDescent="0.35">
      <c r="A748" s="580" t="s">
        <v>458</v>
      </c>
      <c r="B748" s="580" t="s">
        <v>301</v>
      </c>
      <c r="C748" s="580">
        <v>698989</v>
      </c>
      <c r="D748" s="580">
        <v>1.091E-2</v>
      </c>
      <c r="E748" s="580">
        <v>7625.97</v>
      </c>
    </row>
    <row r="749" spans="1:5" x14ac:dyDescent="0.35">
      <c r="A749" s="580" t="s">
        <v>462</v>
      </c>
      <c r="B749" s="580" t="s">
        <v>302</v>
      </c>
      <c r="C749" s="580">
        <v>650</v>
      </c>
      <c r="D749" s="580">
        <v>1.2132000000000001</v>
      </c>
      <c r="E749" s="580">
        <v>788.58</v>
      </c>
    </row>
    <row r="750" spans="1:5" x14ac:dyDescent="0.35">
      <c r="A750" s="580" t="s">
        <v>463</v>
      </c>
      <c r="B750" s="580" t="s">
        <v>302</v>
      </c>
      <c r="C750" s="580">
        <v>131240</v>
      </c>
      <c r="D750" s="580">
        <v>5.2199999999999998E-3</v>
      </c>
      <c r="E750" s="580">
        <v>685.07</v>
      </c>
    </row>
    <row r="751" spans="1:5" x14ac:dyDescent="0.35">
      <c r="A751" s="580" t="s">
        <v>460</v>
      </c>
      <c r="B751" s="580" t="s">
        <v>301</v>
      </c>
      <c r="C751" s="580">
        <v>9205</v>
      </c>
      <c r="D751" s="580">
        <v>1.1383000000000001</v>
      </c>
      <c r="E751" s="580">
        <v>10478.049999999999</v>
      </c>
    </row>
    <row r="752" spans="1:5" x14ac:dyDescent="0.35">
      <c r="A752" s="580" t="s">
        <v>460</v>
      </c>
      <c r="B752" s="580" t="s">
        <v>301</v>
      </c>
      <c r="C752" s="580">
        <v>8733</v>
      </c>
      <c r="D752" s="580">
        <v>1.1383000000000001</v>
      </c>
      <c r="E752" s="580">
        <v>9940.77</v>
      </c>
    </row>
    <row r="753" spans="1:5" x14ac:dyDescent="0.35">
      <c r="A753" s="580" t="s">
        <v>458</v>
      </c>
      <c r="B753" s="580" t="s">
        <v>301</v>
      </c>
      <c r="C753" s="580">
        <v>615090</v>
      </c>
      <c r="D753" s="580">
        <v>1.091E-2</v>
      </c>
      <c r="E753" s="580">
        <v>6710.63</v>
      </c>
    </row>
    <row r="754" spans="1:5" x14ac:dyDescent="0.35">
      <c r="A754" s="580" t="s">
        <v>459</v>
      </c>
      <c r="B754" s="580" t="s">
        <v>301</v>
      </c>
      <c r="C754" s="580">
        <v>3232811</v>
      </c>
      <c r="D754" s="580">
        <v>7.0699999999999999E-3</v>
      </c>
      <c r="E754" s="580">
        <v>22855.97</v>
      </c>
    </row>
    <row r="755" spans="1:5" x14ac:dyDescent="0.35">
      <c r="A755" s="580" t="s">
        <v>303</v>
      </c>
      <c r="B755" s="580" t="s">
        <v>303</v>
      </c>
      <c r="C755" s="580">
        <v>1934408</v>
      </c>
      <c r="D755" s="580">
        <v>1.371E-2</v>
      </c>
      <c r="E755" s="580">
        <v>26520.73</v>
      </c>
    </row>
    <row r="756" spans="1:5" x14ac:dyDescent="0.35">
      <c r="A756" s="580" t="s">
        <v>463</v>
      </c>
      <c r="B756" s="580" t="s">
        <v>302</v>
      </c>
      <c r="C756" s="580">
        <v>135520</v>
      </c>
      <c r="D756" s="580">
        <v>5.2199999999999998E-3</v>
      </c>
      <c r="E756" s="580">
        <v>707.41</v>
      </c>
    </row>
    <row r="757" spans="1:5" x14ac:dyDescent="0.35">
      <c r="A757" s="580" t="s">
        <v>462</v>
      </c>
      <c r="B757" s="580" t="s">
        <v>302</v>
      </c>
      <c r="C757" s="580">
        <v>590</v>
      </c>
      <c r="D757" s="580">
        <v>1.2132000000000001</v>
      </c>
      <c r="E757" s="580">
        <v>715.79</v>
      </c>
    </row>
    <row r="758" spans="1:5" x14ac:dyDescent="0.35">
      <c r="A758" s="580" t="s">
        <v>461</v>
      </c>
      <c r="B758" s="580" t="s">
        <v>304</v>
      </c>
      <c r="C758" s="580">
        <v>3902</v>
      </c>
      <c r="D758" s="580">
        <v>1.091E-2</v>
      </c>
      <c r="E758" s="580">
        <v>42.57</v>
      </c>
    </row>
    <row r="759" spans="1:5" x14ac:dyDescent="0.35">
      <c r="A759" s="580" t="s">
        <v>461</v>
      </c>
      <c r="B759" s="580" t="s">
        <v>304</v>
      </c>
      <c r="C759" s="580">
        <v>4052</v>
      </c>
      <c r="D759" s="580">
        <v>1.091E-2</v>
      </c>
      <c r="E759" s="580">
        <v>44.21</v>
      </c>
    </row>
    <row r="760" spans="1:5" x14ac:dyDescent="0.35">
      <c r="A760" s="580" t="s">
        <v>462</v>
      </c>
      <c r="B760" s="580" t="s">
        <v>302</v>
      </c>
      <c r="C760" s="580">
        <v>1170</v>
      </c>
      <c r="D760" s="580">
        <v>1.2132000000000001</v>
      </c>
      <c r="E760" s="580">
        <v>1419.44</v>
      </c>
    </row>
    <row r="761" spans="1:5" x14ac:dyDescent="0.35">
      <c r="A761" s="580" t="s">
        <v>463</v>
      </c>
      <c r="B761" s="580" t="s">
        <v>302</v>
      </c>
      <c r="C761" s="580">
        <v>150120</v>
      </c>
      <c r="D761" s="580">
        <v>5.2199999999999998E-3</v>
      </c>
      <c r="E761" s="580">
        <v>783.63</v>
      </c>
    </row>
    <row r="762" spans="1:5" x14ac:dyDescent="0.35">
      <c r="A762" s="580" t="s">
        <v>460</v>
      </c>
      <c r="B762" s="580" t="s">
        <v>301</v>
      </c>
      <c r="C762" s="580">
        <v>8589</v>
      </c>
      <c r="D762" s="580">
        <v>1.1383000000000001</v>
      </c>
      <c r="E762" s="580">
        <v>9776.86</v>
      </c>
    </row>
    <row r="763" spans="1:5" x14ac:dyDescent="0.35">
      <c r="A763" s="580" t="s">
        <v>303</v>
      </c>
      <c r="B763" s="580" t="s">
        <v>303</v>
      </c>
      <c r="C763" s="580">
        <v>1651394</v>
      </c>
      <c r="D763" s="580">
        <v>1.371E-2</v>
      </c>
      <c r="E763" s="580">
        <v>22640.61</v>
      </c>
    </row>
    <row r="764" spans="1:5" x14ac:dyDescent="0.35">
      <c r="A764" s="580" t="s">
        <v>458</v>
      </c>
      <c r="B764" s="580" t="s">
        <v>301</v>
      </c>
      <c r="C764" s="580">
        <v>510061</v>
      </c>
      <c r="D764" s="580">
        <v>1.091E-2</v>
      </c>
      <c r="E764" s="580">
        <v>5564.77</v>
      </c>
    </row>
    <row r="765" spans="1:5" x14ac:dyDescent="0.35">
      <c r="A765" s="580" t="s">
        <v>459</v>
      </c>
      <c r="B765" s="580" t="s">
        <v>301</v>
      </c>
      <c r="C765" s="580">
        <v>2913338</v>
      </c>
      <c r="D765" s="580">
        <v>7.0699999999999999E-3</v>
      </c>
      <c r="E765" s="580">
        <v>20597.3</v>
      </c>
    </row>
    <row r="766" spans="1:5" x14ac:dyDescent="0.35">
      <c r="A766" s="580" t="s">
        <v>461</v>
      </c>
      <c r="B766" s="580" t="s">
        <v>304</v>
      </c>
      <c r="C766" s="580">
        <v>3912</v>
      </c>
      <c r="D766" s="580">
        <v>1.091E-2</v>
      </c>
      <c r="E766" s="580">
        <v>42.68</v>
      </c>
    </row>
    <row r="767" spans="1:5" x14ac:dyDescent="0.35">
      <c r="A767" s="580" t="s">
        <v>462</v>
      </c>
      <c r="B767" s="580" t="s">
        <v>302</v>
      </c>
      <c r="C767" s="580">
        <v>200</v>
      </c>
      <c r="D767" s="580">
        <v>1.2132000000000001</v>
      </c>
      <c r="E767" s="580">
        <v>242.64</v>
      </c>
    </row>
    <row r="768" spans="1:5" x14ac:dyDescent="0.35">
      <c r="A768" s="580" t="s">
        <v>463</v>
      </c>
      <c r="B768" s="580" t="s">
        <v>302</v>
      </c>
      <c r="C768" s="580">
        <v>244280</v>
      </c>
      <c r="D768" s="580">
        <v>5.2199999999999998E-3</v>
      </c>
      <c r="E768" s="580">
        <v>1275.1400000000001</v>
      </c>
    </row>
    <row r="769" spans="1:5" x14ac:dyDescent="0.35">
      <c r="A769" s="580" t="s">
        <v>460</v>
      </c>
      <c r="B769" s="580" t="s">
        <v>301</v>
      </c>
      <c r="C769" s="580">
        <v>8431</v>
      </c>
      <c r="D769" s="580">
        <v>1.1383000000000001</v>
      </c>
      <c r="E769" s="580">
        <v>9597.01</v>
      </c>
    </row>
    <row r="770" spans="1:5" x14ac:dyDescent="0.35">
      <c r="A770" s="580" t="s">
        <v>459</v>
      </c>
      <c r="B770" s="580" t="s">
        <v>301</v>
      </c>
      <c r="C770" s="580">
        <v>2655665</v>
      </c>
      <c r="D770" s="580">
        <v>7.0699999999999999E-3</v>
      </c>
      <c r="E770" s="580">
        <v>18775.55</v>
      </c>
    </row>
    <row r="771" spans="1:5" x14ac:dyDescent="0.35">
      <c r="A771" s="580" t="s">
        <v>458</v>
      </c>
      <c r="B771" s="580" t="s">
        <v>301</v>
      </c>
      <c r="C771" s="580">
        <v>503694</v>
      </c>
      <c r="D771" s="580">
        <v>1.091E-2</v>
      </c>
      <c r="E771" s="580">
        <v>5495.3</v>
      </c>
    </row>
    <row r="772" spans="1:5" x14ac:dyDescent="0.35">
      <c r="A772" s="580" t="s">
        <v>303</v>
      </c>
      <c r="B772" s="580" t="s">
        <v>303</v>
      </c>
      <c r="C772" s="580">
        <v>1730509</v>
      </c>
      <c r="D772" s="580">
        <v>1.371E-2</v>
      </c>
      <c r="E772" s="580">
        <v>23725.279999999999</v>
      </c>
    </row>
    <row r="773" spans="1:5" x14ac:dyDescent="0.35">
      <c r="A773" s="580" t="s">
        <v>458</v>
      </c>
      <c r="B773" s="580" t="s">
        <v>301</v>
      </c>
      <c r="C773" s="580">
        <v>564722</v>
      </c>
      <c r="D773" s="580">
        <v>1.091E-2</v>
      </c>
      <c r="E773" s="580">
        <v>6161.12</v>
      </c>
    </row>
    <row r="774" spans="1:5" x14ac:dyDescent="0.35">
      <c r="A774" s="580" t="s">
        <v>459</v>
      </c>
      <c r="B774" s="580" t="s">
        <v>301</v>
      </c>
      <c r="C774" s="580">
        <v>2759727</v>
      </c>
      <c r="D774" s="580">
        <v>7.0699999999999999E-3</v>
      </c>
      <c r="E774" s="580">
        <v>19511.27</v>
      </c>
    </row>
    <row r="775" spans="1:5" x14ac:dyDescent="0.35">
      <c r="A775" s="580" t="s">
        <v>460</v>
      </c>
      <c r="B775" s="580" t="s">
        <v>301</v>
      </c>
      <c r="C775" s="580">
        <v>8401</v>
      </c>
      <c r="D775" s="580">
        <v>1.1383000000000001</v>
      </c>
      <c r="E775" s="580">
        <v>9562.86</v>
      </c>
    </row>
    <row r="776" spans="1:5" x14ac:dyDescent="0.35">
      <c r="A776" s="580" t="s">
        <v>463</v>
      </c>
      <c r="B776" s="580" t="s">
        <v>302</v>
      </c>
      <c r="C776" s="580">
        <v>2294840</v>
      </c>
      <c r="D776" s="580">
        <v>5.2199999999999998E-3</v>
      </c>
      <c r="E776" s="580">
        <v>11979.06</v>
      </c>
    </row>
    <row r="777" spans="1:5" x14ac:dyDescent="0.35">
      <c r="A777" s="580" t="s">
        <v>462</v>
      </c>
      <c r="B777" s="580" t="s">
        <v>302</v>
      </c>
      <c r="C777" s="580">
        <v>8060</v>
      </c>
      <c r="D777" s="580">
        <v>1.2132000000000001</v>
      </c>
      <c r="E777" s="580">
        <v>9778.39</v>
      </c>
    </row>
    <row r="778" spans="1:5" x14ac:dyDescent="0.35">
      <c r="A778" s="580" t="s">
        <v>461</v>
      </c>
      <c r="B778" s="580" t="s">
        <v>304</v>
      </c>
      <c r="C778" s="580">
        <v>3976</v>
      </c>
      <c r="D778" s="580">
        <v>1.091E-2</v>
      </c>
      <c r="E778" s="580">
        <v>43.38</v>
      </c>
    </row>
    <row r="779" spans="1:5" x14ac:dyDescent="0.35">
      <c r="A779" s="580" t="s">
        <v>303</v>
      </c>
      <c r="B779" s="580" t="s">
        <v>303</v>
      </c>
      <c r="C779" s="580">
        <v>2113966</v>
      </c>
      <c r="D779" s="580">
        <v>1.371E-2</v>
      </c>
      <c r="E779" s="580">
        <v>28982.47</v>
      </c>
    </row>
    <row r="780" spans="1:5" x14ac:dyDescent="0.35">
      <c r="A780" s="580" t="s">
        <v>458</v>
      </c>
      <c r="B780" s="580" t="s">
        <v>301</v>
      </c>
      <c r="C780" s="580">
        <v>621061</v>
      </c>
      <c r="D780" s="580">
        <v>1.091E-2</v>
      </c>
      <c r="E780" s="580">
        <v>6775.78</v>
      </c>
    </row>
    <row r="781" spans="1:5" x14ac:dyDescent="0.35">
      <c r="A781" s="580" t="s">
        <v>459</v>
      </c>
      <c r="B781" s="580" t="s">
        <v>301</v>
      </c>
      <c r="C781" s="580">
        <v>3003371</v>
      </c>
      <c r="D781" s="580">
        <v>7.0699999999999999E-3</v>
      </c>
      <c r="E781" s="580">
        <v>21233.83</v>
      </c>
    </row>
    <row r="782" spans="1:5" x14ac:dyDescent="0.35">
      <c r="A782" s="580" t="s">
        <v>460</v>
      </c>
      <c r="B782" s="580" t="s">
        <v>301</v>
      </c>
      <c r="C782" s="580">
        <v>8512</v>
      </c>
      <c r="D782" s="580">
        <v>1.1383000000000001</v>
      </c>
      <c r="E782" s="580">
        <v>9689.2099999999991</v>
      </c>
    </row>
    <row r="783" spans="1:5" x14ac:dyDescent="0.35">
      <c r="A783" s="580" t="s">
        <v>463</v>
      </c>
      <c r="B783" s="580" t="s">
        <v>302</v>
      </c>
      <c r="C783" s="580">
        <v>2299400</v>
      </c>
      <c r="D783" s="580">
        <v>5.2199999999999998E-3</v>
      </c>
      <c r="E783" s="580">
        <v>12002.87</v>
      </c>
    </row>
    <row r="784" spans="1:5" x14ac:dyDescent="0.35">
      <c r="A784" s="580" t="s">
        <v>462</v>
      </c>
      <c r="B784" s="580" t="s">
        <v>302</v>
      </c>
      <c r="C784" s="580">
        <v>6730</v>
      </c>
      <c r="D784" s="580">
        <v>1.2132000000000001</v>
      </c>
      <c r="E784" s="580">
        <v>8164.84</v>
      </c>
    </row>
    <row r="785" spans="1:5" x14ac:dyDescent="0.35">
      <c r="A785" s="580" t="s">
        <v>461</v>
      </c>
      <c r="B785" s="580" t="s">
        <v>304</v>
      </c>
      <c r="C785" s="580">
        <v>4014</v>
      </c>
      <c r="D785" s="580">
        <v>1.091E-2</v>
      </c>
      <c r="E785" s="580">
        <v>43.79</v>
      </c>
    </row>
    <row r="786" spans="1:5" x14ac:dyDescent="0.35">
      <c r="A786" s="580" t="s">
        <v>303</v>
      </c>
      <c r="B786" s="580" t="s">
        <v>303</v>
      </c>
      <c r="C786" s="580">
        <v>2611690</v>
      </c>
      <c r="D786" s="580">
        <v>1.371E-2</v>
      </c>
      <c r="E786" s="580">
        <v>35806.269999999997</v>
      </c>
    </row>
    <row r="787" spans="1:5" x14ac:dyDescent="0.35">
      <c r="A787" s="580" t="s">
        <v>461</v>
      </c>
      <c r="B787" s="580" t="s">
        <v>304</v>
      </c>
      <c r="C787" s="580">
        <v>17727</v>
      </c>
      <c r="D787" s="580">
        <v>1.091E-2</v>
      </c>
      <c r="E787" s="580">
        <v>193.4</v>
      </c>
    </row>
    <row r="788" spans="1:5" x14ac:dyDescent="0.35">
      <c r="A788" s="580" t="s">
        <v>303</v>
      </c>
      <c r="B788" s="580" t="s">
        <v>303</v>
      </c>
      <c r="C788" s="580">
        <v>2301559</v>
      </c>
      <c r="D788" s="580">
        <v>1.371E-2</v>
      </c>
      <c r="E788" s="580">
        <v>31554.49</v>
      </c>
    </row>
    <row r="789" spans="1:5" x14ac:dyDescent="0.35">
      <c r="A789" s="580" t="s">
        <v>458</v>
      </c>
      <c r="B789" s="580" t="s">
        <v>301</v>
      </c>
      <c r="C789" s="580">
        <v>308682</v>
      </c>
      <c r="D789" s="580">
        <v>1.091E-2</v>
      </c>
      <c r="E789" s="580">
        <v>3367.73</v>
      </c>
    </row>
    <row r="790" spans="1:5" x14ac:dyDescent="0.35">
      <c r="A790" s="580" t="s">
        <v>459</v>
      </c>
      <c r="B790" s="580" t="s">
        <v>301</v>
      </c>
      <c r="C790" s="580">
        <v>1804755</v>
      </c>
      <c r="D790" s="580">
        <v>7.0699999999999999E-3</v>
      </c>
      <c r="E790" s="580">
        <v>12759.65</v>
      </c>
    </row>
    <row r="791" spans="1:5" x14ac:dyDescent="0.35">
      <c r="A791" s="580" t="s">
        <v>460</v>
      </c>
      <c r="B791" s="580" t="s">
        <v>301</v>
      </c>
      <c r="C791" s="580">
        <v>7606.84</v>
      </c>
      <c r="D791" s="580">
        <v>1.1383000000000001</v>
      </c>
      <c r="E791" s="580">
        <v>8658.83</v>
      </c>
    </row>
    <row r="792" spans="1:5" x14ac:dyDescent="0.35">
      <c r="A792" s="580" t="s">
        <v>461</v>
      </c>
      <c r="B792" s="580" t="s">
        <v>304</v>
      </c>
      <c r="C792" s="580">
        <v>17734</v>
      </c>
      <c r="D792" s="580">
        <v>1.091E-2</v>
      </c>
      <c r="E792" s="580">
        <v>193.48</v>
      </c>
    </row>
    <row r="793" spans="1:5" x14ac:dyDescent="0.35">
      <c r="A793" s="580" t="s">
        <v>303</v>
      </c>
      <c r="B793" s="580" t="s">
        <v>303</v>
      </c>
      <c r="C793" s="580">
        <v>2268775</v>
      </c>
      <c r="D793" s="580">
        <v>1.371E-2</v>
      </c>
      <c r="E793" s="580">
        <v>31104.85</v>
      </c>
    </row>
    <row r="794" spans="1:5" x14ac:dyDescent="0.35">
      <c r="A794" s="580" t="s">
        <v>458</v>
      </c>
      <c r="B794" s="580" t="s">
        <v>301</v>
      </c>
      <c r="C794" s="580">
        <v>300040</v>
      </c>
      <c r="D794" s="580">
        <v>1.091E-2</v>
      </c>
      <c r="E794" s="580">
        <v>3273.43</v>
      </c>
    </row>
    <row r="795" spans="1:5" x14ac:dyDescent="0.35">
      <c r="A795" s="580" t="s">
        <v>459</v>
      </c>
      <c r="B795" s="580" t="s">
        <v>301</v>
      </c>
      <c r="C795" s="580">
        <v>1877364</v>
      </c>
      <c r="D795" s="580">
        <v>7.0699999999999999E-3</v>
      </c>
      <c r="E795" s="580">
        <v>13272.97</v>
      </c>
    </row>
    <row r="796" spans="1:5" x14ac:dyDescent="0.35">
      <c r="A796" s="580" t="s">
        <v>460</v>
      </c>
      <c r="B796" s="580" t="s">
        <v>301</v>
      </c>
      <c r="C796" s="580">
        <v>6973.28</v>
      </c>
      <c r="D796" s="580">
        <v>1.1383000000000001</v>
      </c>
      <c r="E796" s="580">
        <v>7937.68</v>
      </c>
    </row>
    <row r="797" spans="1:5" x14ac:dyDescent="0.35">
      <c r="A797" s="580" t="s">
        <v>461</v>
      </c>
      <c r="B797" s="580" t="s">
        <v>304</v>
      </c>
      <c r="C797" s="580">
        <v>17733</v>
      </c>
      <c r="D797" s="580">
        <v>1.091E-2</v>
      </c>
      <c r="E797" s="580">
        <v>193.47</v>
      </c>
    </row>
    <row r="798" spans="1:5" x14ac:dyDescent="0.35">
      <c r="A798" s="580" t="s">
        <v>303</v>
      </c>
      <c r="B798" s="580" t="s">
        <v>303</v>
      </c>
      <c r="C798" s="580">
        <v>2154242</v>
      </c>
      <c r="D798" s="580">
        <v>1.371E-2</v>
      </c>
      <c r="E798" s="580">
        <v>29534.73</v>
      </c>
    </row>
    <row r="799" spans="1:5" x14ac:dyDescent="0.35">
      <c r="A799" s="580" t="s">
        <v>458</v>
      </c>
      <c r="B799" s="580" t="s">
        <v>301</v>
      </c>
      <c r="C799" s="580">
        <v>250388</v>
      </c>
      <c r="D799" s="580">
        <v>1.09097E-2</v>
      </c>
      <c r="E799" s="580">
        <v>2731.67</v>
      </c>
    </row>
    <row r="800" spans="1:5" x14ac:dyDescent="0.35">
      <c r="A800" s="580" t="s">
        <v>459</v>
      </c>
      <c r="B800" s="580" t="s">
        <v>301</v>
      </c>
      <c r="C800" s="580">
        <v>1961805</v>
      </c>
      <c r="D800" s="580">
        <v>7.0699999999999999E-3</v>
      </c>
      <c r="E800" s="580">
        <v>13870</v>
      </c>
    </row>
    <row r="801" spans="1:5" x14ac:dyDescent="0.35">
      <c r="A801" s="580" t="s">
        <v>460</v>
      </c>
      <c r="B801" s="580" t="s">
        <v>301</v>
      </c>
      <c r="C801" s="580">
        <v>7374.01</v>
      </c>
      <c r="D801" s="580">
        <v>1.1383046999999999</v>
      </c>
      <c r="E801" s="580">
        <v>8393.8700000000008</v>
      </c>
    </row>
    <row r="802" spans="1:5" x14ac:dyDescent="0.35">
      <c r="A802" s="580" t="s">
        <v>460</v>
      </c>
      <c r="B802" s="580" t="s">
        <v>301</v>
      </c>
      <c r="C802" s="580">
        <v>7450.97</v>
      </c>
      <c r="D802" s="580">
        <v>1.1382988000000001</v>
      </c>
      <c r="E802" s="580">
        <v>8481.43</v>
      </c>
    </row>
    <row r="803" spans="1:5" x14ac:dyDescent="0.35">
      <c r="A803" s="580" t="s">
        <v>461</v>
      </c>
      <c r="B803" s="580" t="s">
        <v>304</v>
      </c>
      <c r="C803" s="580">
        <v>17719</v>
      </c>
      <c r="D803" s="580">
        <v>1.091E-2</v>
      </c>
      <c r="E803" s="580">
        <v>193.31</v>
      </c>
    </row>
    <row r="804" spans="1:5" x14ac:dyDescent="0.35">
      <c r="A804" s="580" t="s">
        <v>459</v>
      </c>
      <c r="B804" s="580" t="s">
        <v>301</v>
      </c>
      <c r="C804" s="580">
        <v>2008657</v>
      </c>
      <c r="D804" s="580">
        <v>7.0699999999999999E-3</v>
      </c>
      <c r="E804" s="580">
        <v>14201.18</v>
      </c>
    </row>
    <row r="805" spans="1:5" x14ac:dyDescent="0.35">
      <c r="A805" s="580" t="s">
        <v>458</v>
      </c>
      <c r="B805" s="580" t="s">
        <v>301</v>
      </c>
      <c r="C805" s="580">
        <v>225662</v>
      </c>
      <c r="D805" s="580">
        <v>1.09099E-2</v>
      </c>
      <c r="E805" s="580">
        <v>2461.96</v>
      </c>
    </row>
    <row r="806" spans="1:5" x14ac:dyDescent="0.35">
      <c r="A806" s="580" t="s">
        <v>303</v>
      </c>
      <c r="B806" s="580" t="s">
        <v>303</v>
      </c>
      <c r="C806" s="580">
        <v>1905853</v>
      </c>
      <c r="D806" s="580">
        <v>1.3710099999999999E-2</v>
      </c>
      <c r="E806" s="580">
        <v>26129.35</v>
      </c>
    </row>
    <row r="807" spans="1:5" x14ac:dyDescent="0.35">
      <c r="A807" s="580" t="s">
        <v>303</v>
      </c>
      <c r="B807" s="580" t="s">
        <v>303</v>
      </c>
      <c r="C807" s="580">
        <v>1841358</v>
      </c>
      <c r="D807" s="580">
        <v>1.3710099999999999E-2</v>
      </c>
      <c r="E807" s="580">
        <v>25245.25</v>
      </c>
    </row>
    <row r="808" spans="1:5" x14ac:dyDescent="0.35">
      <c r="A808" s="580" t="s">
        <v>459</v>
      </c>
      <c r="B808" s="580" t="s">
        <v>301</v>
      </c>
      <c r="C808" s="580">
        <v>1919423</v>
      </c>
      <c r="D808" s="580">
        <v>7.0699999999999999E-3</v>
      </c>
      <c r="E808" s="580">
        <v>13570.33</v>
      </c>
    </row>
    <row r="809" spans="1:5" x14ac:dyDescent="0.35">
      <c r="A809" s="580" t="s">
        <v>460</v>
      </c>
      <c r="B809" s="580" t="s">
        <v>301</v>
      </c>
      <c r="C809" s="580">
        <v>7466.63</v>
      </c>
      <c r="D809" s="580">
        <v>1.138298</v>
      </c>
      <c r="E809" s="580">
        <v>8499.25</v>
      </c>
    </row>
    <row r="810" spans="1:5" x14ac:dyDescent="0.35">
      <c r="A810" s="580" t="s">
        <v>461</v>
      </c>
      <c r="B810" s="580" t="s">
        <v>304</v>
      </c>
      <c r="C810" s="580">
        <v>17789</v>
      </c>
      <c r="D810" s="580">
        <v>1.091E-2</v>
      </c>
      <c r="E810" s="580">
        <v>194.08</v>
      </c>
    </row>
    <row r="811" spans="1:5" x14ac:dyDescent="0.35">
      <c r="A811" s="580" t="s">
        <v>458</v>
      </c>
      <c r="B811" s="580" t="s">
        <v>301</v>
      </c>
      <c r="C811" s="580">
        <v>217428</v>
      </c>
      <c r="D811" s="580">
        <v>1.09097E-2</v>
      </c>
      <c r="E811" s="580">
        <v>2372.08</v>
      </c>
    </row>
    <row r="812" spans="1:5" x14ac:dyDescent="0.35">
      <c r="A812" s="580" t="s">
        <v>303</v>
      </c>
      <c r="B812" s="580" t="s">
        <v>303</v>
      </c>
      <c r="C812" s="580">
        <v>2342253</v>
      </c>
      <c r="D812" s="580">
        <v>1.3709900000000001E-2</v>
      </c>
      <c r="E812" s="580">
        <v>32112.09</v>
      </c>
    </row>
    <row r="813" spans="1:5" x14ac:dyDescent="0.35">
      <c r="A813" s="580" t="s">
        <v>458</v>
      </c>
      <c r="B813" s="580" t="s">
        <v>301</v>
      </c>
      <c r="C813" s="580">
        <v>252977</v>
      </c>
      <c r="D813" s="580">
        <v>1.0909800000000001E-2</v>
      </c>
      <c r="E813" s="580">
        <v>2759.92</v>
      </c>
    </row>
    <row r="814" spans="1:5" x14ac:dyDescent="0.35">
      <c r="A814" s="580" t="s">
        <v>459</v>
      </c>
      <c r="B814" s="580" t="s">
        <v>301</v>
      </c>
      <c r="C814" s="580">
        <v>2219299</v>
      </c>
      <c r="D814" s="580">
        <v>7.0699999999999999E-3</v>
      </c>
      <c r="E814" s="580">
        <v>15690.42</v>
      </c>
    </row>
    <row r="815" spans="1:5" x14ac:dyDescent="0.35">
      <c r="A815" s="580" t="s">
        <v>460</v>
      </c>
      <c r="B815" s="580" t="s">
        <v>301</v>
      </c>
      <c r="C815" s="580">
        <v>7719.96</v>
      </c>
      <c r="D815" s="580">
        <v>1.1382985999999999</v>
      </c>
      <c r="E815" s="580">
        <v>8787.6200000000008</v>
      </c>
    </row>
    <row r="816" spans="1:5" x14ac:dyDescent="0.35">
      <c r="A816" s="580" t="s">
        <v>461</v>
      </c>
      <c r="B816" s="580" t="s">
        <v>304</v>
      </c>
      <c r="C816" s="580">
        <v>17843</v>
      </c>
      <c r="D816" s="580">
        <v>1.091E-2</v>
      </c>
      <c r="E816" s="580">
        <v>194.67</v>
      </c>
    </row>
    <row r="817" spans="1:5" x14ac:dyDescent="0.35">
      <c r="A817" s="580" t="s">
        <v>459</v>
      </c>
      <c r="B817" s="580" t="s">
        <v>301</v>
      </c>
      <c r="C817" s="580">
        <v>2128600</v>
      </c>
      <c r="D817" s="580">
        <v>7.0699999999999999E-3</v>
      </c>
      <c r="E817" s="580">
        <v>15049.23</v>
      </c>
    </row>
    <row r="818" spans="1:5" x14ac:dyDescent="0.35">
      <c r="A818" s="580" t="s">
        <v>460</v>
      </c>
      <c r="B818" s="580" t="s">
        <v>301</v>
      </c>
      <c r="C818" s="580">
        <v>7688.72</v>
      </c>
      <c r="D818" s="580">
        <v>1.1382973999999999</v>
      </c>
      <c r="E818" s="580">
        <v>8752.0499999999993</v>
      </c>
    </row>
    <row r="819" spans="1:5" x14ac:dyDescent="0.35">
      <c r="A819" s="580" t="s">
        <v>458</v>
      </c>
      <c r="B819" s="580" t="s">
        <v>301</v>
      </c>
      <c r="C819" s="580">
        <v>290057</v>
      </c>
      <c r="D819" s="580">
        <v>1.0910100000000001E-2</v>
      </c>
      <c r="E819" s="580">
        <v>3164.54</v>
      </c>
    </row>
    <row r="820" spans="1:5" x14ac:dyDescent="0.35">
      <c r="A820" s="580" t="s">
        <v>303</v>
      </c>
      <c r="B820" s="580" t="s">
        <v>303</v>
      </c>
      <c r="C820" s="580">
        <v>2657070</v>
      </c>
      <c r="D820" s="580">
        <v>1.371E-2</v>
      </c>
      <c r="E820" s="580">
        <v>36428.400000000001</v>
      </c>
    </row>
    <row r="821" spans="1:5" x14ac:dyDescent="0.35">
      <c r="A821" s="580" t="s">
        <v>461</v>
      </c>
      <c r="B821" s="580" t="s">
        <v>304</v>
      </c>
      <c r="C821" s="580">
        <v>17739</v>
      </c>
      <c r="D821" s="580">
        <v>1.091E-2</v>
      </c>
      <c r="E821" s="580">
        <v>193.53</v>
      </c>
    </row>
    <row r="822" spans="1:5" x14ac:dyDescent="0.35">
      <c r="A822" s="580" t="s">
        <v>303</v>
      </c>
      <c r="B822" s="580" t="s">
        <v>303</v>
      </c>
      <c r="C822" s="580">
        <v>2008451</v>
      </c>
      <c r="D822" s="580">
        <v>1.371E-2</v>
      </c>
      <c r="E822" s="580">
        <v>27535.86</v>
      </c>
    </row>
    <row r="823" spans="1:5" x14ac:dyDescent="0.35">
      <c r="A823" s="580" t="s">
        <v>458</v>
      </c>
      <c r="B823" s="580" t="s">
        <v>301</v>
      </c>
      <c r="C823" s="580">
        <v>237481</v>
      </c>
      <c r="D823" s="580">
        <v>1.0910100000000001E-2</v>
      </c>
      <c r="E823" s="580">
        <v>2590.94</v>
      </c>
    </row>
    <row r="824" spans="1:5" x14ac:dyDescent="0.35">
      <c r="A824" s="580" t="s">
        <v>460</v>
      </c>
      <c r="B824" s="580" t="s">
        <v>301</v>
      </c>
      <c r="C824" s="580">
        <v>7320.93</v>
      </c>
      <c r="D824" s="580">
        <v>1.1382973999999999</v>
      </c>
      <c r="E824" s="580">
        <v>8333.4</v>
      </c>
    </row>
    <row r="825" spans="1:5" x14ac:dyDescent="0.35">
      <c r="A825" s="580" t="s">
        <v>459</v>
      </c>
      <c r="B825" s="580" t="s">
        <v>301</v>
      </c>
      <c r="C825" s="580">
        <v>1974575</v>
      </c>
      <c r="D825" s="580">
        <v>7.0699999999999999E-3</v>
      </c>
      <c r="E825" s="580">
        <v>13960.25</v>
      </c>
    </row>
    <row r="826" spans="1:5" x14ac:dyDescent="0.35">
      <c r="A826" s="580" t="s">
        <v>461</v>
      </c>
      <c r="B826" s="580" t="s">
        <v>304</v>
      </c>
      <c r="C826" s="580">
        <v>17772</v>
      </c>
      <c r="D826" s="580">
        <v>1.091E-2</v>
      </c>
      <c r="E826" s="580">
        <v>193.89</v>
      </c>
    </row>
    <row r="827" spans="1:5" x14ac:dyDescent="0.35">
      <c r="A827" s="580" t="s">
        <v>461</v>
      </c>
      <c r="B827" s="580" t="s">
        <v>304</v>
      </c>
      <c r="C827" s="580">
        <v>17809</v>
      </c>
      <c r="D827" s="580">
        <v>1.091E-2</v>
      </c>
      <c r="E827" s="580">
        <v>194.3</v>
      </c>
    </row>
    <row r="828" spans="1:5" x14ac:dyDescent="0.35">
      <c r="A828" s="580" t="s">
        <v>460</v>
      </c>
      <c r="B828" s="580" t="s">
        <v>301</v>
      </c>
      <c r="C828" s="580">
        <v>7218.37</v>
      </c>
      <c r="D828" s="580">
        <v>1.1382943999999999</v>
      </c>
      <c r="E828" s="580">
        <v>8216.6299999999992</v>
      </c>
    </row>
    <row r="829" spans="1:5" ht="12.75" customHeight="1" x14ac:dyDescent="0.45">
      <c r="A829" s="580" t="s">
        <v>459</v>
      </c>
      <c r="B829" s="580" t="s">
        <v>301</v>
      </c>
      <c r="C829" s="279">
        <v>1948816</v>
      </c>
      <c r="D829" s="581">
        <v>7.0699999999999999E-3</v>
      </c>
      <c r="E829" s="279">
        <v>13778.11</v>
      </c>
    </row>
    <row r="830" spans="1:5" x14ac:dyDescent="0.35">
      <c r="A830" s="580" t="s">
        <v>458</v>
      </c>
      <c r="B830" s="580" t="s">
        <v>301</v>
      </c>
      <c r="C830" s="580">
        <v>214630</v>
      </c>
      <c r="D830" s="580">
        <v>1.09094E-2</v>
      </c>
      <c r="E830" s="580">
        <v>2341.48</v>
      </c>
    </row>
    <row r="831" spans="1:5" x14ac:dyDescent="0.35">
      <c r="A831" s="580" t="s">
        <v>303</v>
      </c>
      <c r="B831" s="580" t="s">
        <v>303</v>
      </c>
      <c r="C831" s="580">
        <v>1833394</v>
      </c>
      <c r="D831" s="580">
        <v>1.3709900000000001E-2</v>
      </c>
      <c r="E831" s="580">
        <v>25135.72</v>
      </c>
    </row>
    <row r="832" spans="1:5" x14ac:dyDescent="0.35">
      <c r="A832" s="580" t="s">
        <v>460</v>
      </c>
      <c r="B832" s="580" t="s">
        <v>301</v>
      </c>
      <c r="C832" s="580">
        <v>7173.3</v>
      </c>
      <c r="D832" s="580">
        <v>1.1382962000000001</v>
      </c>
      <c r="E832" s="580">
        <v>8165.34</v>
      </c>
    </row>
    <row r="833" spans="1:5" x14ac:dyDescent="0.35">
      <c r="A833" s="580" t="s">
        <v>461</v>
      </c>
      <c r="B833" s="580" t="s">
        <v>304</v>
      </c>
      <c r="C833" s="580">
        <v>17739</v>
      </c>
      <c r="D833" s="580">
        <v>1.091E-2</v>
      </c>
      <c r="E833" s="580">
        <v>193.53</v>
      </c>
    </row>
    <row r="834" spans="1:5" x14ac:dyDescent="0.35">
      <c r="A834" s="580" t="s">
        <v>459</v>
      </c>
      <c r="B834" s="580" t="s">
        <v>301</v>
      </c>
      <c r="C834" s="580">
        <v>1777986</v>
      </c>
      <c r="D834" s="580">
        <v>7.0699999999999999E-3</v>
      </c>
      <c r="E834" s="580">
        <v>12570.35</v>
      </c>
    </row>
    <row r="835" spans="1:5" x14ac:dyDescent="0.35">
      <c r="A835" s="580" t="s">
        <v>303</v>
      </c>
      <c r="B835" s="580" t="s">
        <v>303</v>
      </c>
      <c r="C835" s="580">
        <v>1853060</v>
      </c>
      <c r="D835" s="580">
        <v>1.3710099999999999E-2</v>
      </c>
      <c r="E835" s="580">
        <v>25405.55</v>
      </c>
    </row>
    <row r="836" spans="1:5" x14ac:dyDescent="0.35">
      <c r="A836" s="580" t="s">
        <v>458</v>
      </c>
      <c r="B836" s="580" t="s">
        <v>301</v>
      </c>
      <c r="C836" s="580">
        <v>213778</v>
      </c>
      <c r="D836" s="580">
        <v>1.091E-2</v>
      </c>
      <c r="E836" s="580">
        <v>2332.31</v>
      </c>
    </row>
    <row r="837" spans="1:5" x14ac:dyDescent="0.35">
      <c r="A837" s="580" t="s">
        <v>461</v>
      </c>
      <c r="B837" s="580" t="s">
        <v>304</v>
      </c>
      <c r="C837" s="580">
        <v>18237</v>
      </c>
      <c r="D837" s="580">
        <v>1.091E-2</v>
      </c>
      <c r="E837" s="580">
        <v>198.97</v>
      </c>
    </row>
    <row r="838" spans="1:5" x14ac:dyDescent="0.35">
      <c r="A838" s="580" t="s">
        <v>460</v>
      </c>
      <c r="B838" s="580" t="s">
        <v>301</v>
      </c>
      <c r="C838" s="580">
        <v>7121.71</v>
      </c>
      <c r="D838" s="580">
        <v>1.1383011000000001</v>
      </c>
      <c r="E838" s="580">
        <v>8106.65</v>
      </c>
    </row>
    <row r="839" spans="1:5" x14ac:dyDescent="0.35">
      <c r="A839" s="580" t="s">
        <v>459</v>
      </c>
      <c r="B839" s="580" t="s">
        <v>301</v>
      </c>
      <c r="C839" s="580">
        <v>1940657</v>
      </c>
      <c r="D839" s="580">
        <v>7.0699999999999999E-3</v>
      </c>
      <c r="E839" s="580">
        <v>13720.46</v>
      </c>
    </row>
    <row r="840" spans="1:5" x14ac:dyDescent="0.35">
      <c r="A840" s="580" t="s">
        <v>458</v>
      </c>
      <c r="B840" s="580" t="s">
        <v>301</v>
      </c>
      <c r="C840" s="580">
        <v>271172</v>
      </c>
      <c r="D840" s="580">
        <v>1.091E-2</v>
      </c>
      <c r="E840" s="580">
        <v>2958.48</v>
      </c>
    </row>
    <row r="841" spans="1:5" x14ac:dyDescent="0.35">
      <c r="A841" s="580" t="s">
        <v>303</v>
      </c>
      <c r="B841" s="580" t="s">
        <v>303</v>
      </c>
      <c r="C841" s="580">
        <v>2222497</v>
      </c>
      <c r="D841" s="580">
        <v>1.3712800000000001E-2</v>
      </c>
      <c r="E841" s="580">
        <v>30476.74</v>
      </c>
    </row>
    <row r="842" spans="1:5" x14ac:dyDescent="0.35">
      <c r="A842" s="580" t="s">
        <v>460</v>
      </c>
      <c r="B842" s="580" t="s">
        <v>301</v>
      </c>
      <c r="C842" s="580">
        <v>7422</v>
      </c>
      <c r="D842" s="580">
        <v>1.1383011000000001</v>
      </c>
      <c r="E842" s="580">
        <v>8448.4699999999993</v>
      </c>
    </row>
    <row r="843" spans="1:5" x14ac:dyDescent="0.35">
      <c r="A843" s="580" t="s">
        <v>461</v>
      </c>
      <c r="B843" s="580" t="s">
        <v>304</v>
      </c>
      <c r="C843" s="580">
        <v>17895</v>
      </c>
      <c r="D843" s="580">
        <v>1.091E-2</v>
      </c>
      <c r="E843" s="580">
        <v>195.23</v>
      </c>
    </row>
    <row r="844" spans="1:5" x14ac:dyDescent="0.35">
      <c r="A844" s="580" t="s">
        <v>459</v>
      </c>
      <c r="B844" s="580" t="s">
        <v>301</v>
      </c>
      <c r="C844" s="580">
        <v>2092171</v>
      </c>
      <c r="D844" s="580">
        <v>7.0699999999999999E-3</v>
      </c>
      <c r="E844" s="580">
        <v>14791.64</v>
      </c>
    </row>
    <row r="845" spans="1:5" x14ac:dyDescent="0.35">
      <c r="A845" s="580" t="s">
        <v>458</v>
      </c>
      <c r="B845" s="580" t="s">
        <v>301</v>
      </c>
      <c r="C845" s="580">
        <v>317718</v>
      </c>
      <c r="D845" s="580">
        <v>1.09096E-2</v>
      </c>
      <c r="E845" s="580">
        <v>3466.17</v>
      </c>
    </row>
    <row r="846" spans="1:5" x14ac:dyDescent="0.35">
      <c r="A846" s="580" t="s">
        <v>303</v>
      </c>
      <c r="B846" s="580" t="s">
        <v>303</v>
      </c>
      <c r="C846" s="580">
        <v>2653211</v>
      </c>
      <c r="D846" s="580">
        <v>1.3710099999999999E-2</v>
      </c>
      <c r="E846" s="580">
        <v>36375.68</v>
      </c>
    </row>
    <row r="847" spans="1:5" x14ac:dyDescent="0.35">
      <c r="A847" s="580" t="s">
        <v>458</v>
      </c>
      <c r="B847" s="580" t="s">
        <v>301</v>
      </c>
      <c r="C847" s="580">
        <v>6005882</v>
      </c>
      <c r="D847" s="580">
        <v>1.091E-2</v>
      </c>
      <c r="E847" s="580">
        <v>65524.17</v>
      </c>
    </row>
    <row r="848" spans="1:5" x14ac:dyDescent="0.35">
      <c r="A848" s="580" t="s">
        <v>459</v>
      </c>
      <c r="B848" s="580" t="s">
        <v>301</v>
      </c>
      <c r="C848" s="580">
        <v>5697348</v>
      </c>
      <c r="D848" s="580">
        <v>7.0699999999999999E-3</v>
      </c>
      <c r="E848" s="580">
        <v>40280.25</v>
      </c>
    </row>
    <row r="849" spans="1:5" x14ac:dyDescent="0.35">
      <c r="A849" s="580" t="s">
        <v>460</v>
      </c>
      <c r="B849" s="580" t="s">
        <v>301</v>
      </c>
      <c r="C849" s="580">
        <v>1897</v>
      </c>
      <c r="D849" s="580">
        <v>1.1384000000000001</v>
      </c>
      <c r="E849" s="580">
        <v>2159.5500000000002</v>
      </c>
    </row>
    <row r="850" spans="1:5" x14ac:dyDescent="0.35">
      <c r="A850" s="580" t="s">
        <v>464</v>
      </c>
      <c r="B850" s="580" t="s">
        <v>302</v>
      </c>
      <c r="C850" s="580">
        <v>1183926</v>
      </c>
      <c r="D850" s="580">
        <v>7.7000000000000002E-3</v>
      </c>
      <c r="E850" s="580">
        <v>9116.23</v>
      </c>
    </row>
    <row r="851" spans="1:5" x14ac:dyDescent="0.35">
      <c r="A851" s="580" t="s">
        <v>463</v>
      </c>
      <c r="B851" s="580" t="s">
        <v>302</v>
      </c>
      <c r="C851" s="580">
        <v>7949701</v>
      </c>
      <c r="D851" s="580">
        <v>5.2199999999999998E-3</v>
      </c>
      <c r="E851" s="580">
        <v>41497.440000000002</v>
      </c>
    </row>
    <row r="852" spans="1:5" x14ac:dyDescent="0.35">
      <c r="A852" s="580" t="s">
        <v>462</v>
      </c>
      <c r="B852" s="580" t="s">
        <v>302</v>
      </c>
      <c r="C852" s="580">
        <v>29174</v>
      </c>
      <c r="D852" s="580">
        <v>1.2131799999999999</v>
      </c>
      <c r="E852" s="580">
        <v>35393.379999999997</v>
      </c>
    </row>
    <row r="853" spans="1:5" x14ac:dyDescent="0.35">
      <c r="A853" s="580" t="s">
        <v>461</v>
      </c>
      <c r="B853" s="580" t="s">
        <v>304</v>
      </c>
      <c r="C853" s="580">
        <v>129102</v>
      </c>
      <c r="D853" s="580">
        <v>1.091E-2</v>
      </c>
      <c r="E853" s="580">
        <v>1408.5</v>
      </c>
    </row>
    <row r="854" spans="1:5" x14ac:dyDescent="0.35">
      <c r="A854" s="580" t="s">
        <v>303</v>
      </c>
      <c r="B854" s="580" t="s">
        <v>303</v>
      </c>
      <c r="C854" s="580">
        <v>22604494</v>
      </c>
      <c r="D854" s="580">
        <v>1.371E-2</v>
      </c>
      <c r="E854" s="580">
        <v>309907.61</v>
      </c>
    </row>
    <row r="855" spans="1:5" x14ac:dyDescent="0.35">
      <c r="A855" s="580" t="s">
        <v>461</v>
      </c>
      <c r="B855" s="580" t="s">
        <v>304</v>
      </c>
      <c r="C855" s="580">
        <v>129473</v>
      </c>
      <c r="D855" s="580">
        <v>1.091E-2</v>
      </c>
      <c r="E855" s="580">
        <v>1412.55</v>
      </c>
    </row>
    <row r="856" spans="1:5" x14ac:dyDescent="0.35">
      <c r="A856" s="580" t="s">
        <v>462</v>
      </c>
      <c r="B856" s="580" t="s">
        <v>302</v>
      </c>
      <c r="C856" s="580">
        <v>29017</v>
      </c>
      <c r="D856" s="580">
        <v>1.2131974000000001</v>
      </c>
      <c r="E856" s="580">
        <v>35203.35</v>
      </c>
    </row>
    <row r="857" spans="1:5" x14ac:dyDescent="0.35">
      <c r="A857" s="580" t="s">
        <v>463</v>
      </c>
      <c r="B857" s="580" t="s">
        <v>302</v>
      </c>
      <c r="C857" s="580">
        <v>7249546</v>
      </c>
      <c r="D857" s="580">
        <v>5.2199999999999998E-3</v>
      </c>
      <c r="E857" s="580">
        <v>37842.629999999997</v>
      </c>
    </row>
    <row r="858" spans="1:5" x14ac:dyDescent="0.35">
      <c r="A858" s="580" t="s">
        <v>464</v>
      </c>
      <c r="B858" s="580" t="s">
        <v>302</v>
      </c>
      <c r="C858" s="580">
        <v>576844</v>
      </c>
      <c r="D858" s="580">
        <v>7.7000000000000002E-3</v>
      </c>
      <c r="E858" s="580">
        <v>4441.7</v>
      </c>
    </row>
    <row r="859" spans="1:5" x14ac:dyDescent="0.35">
      <c r="A859" s="580" t="s">
        <v>460</v>
      </c>
      <c r="B859" s="580" t="s">
        <v>301</v>
      </c>
      <c r="C859" s="580">
        <v>1878</v>
      </c>
      <c r="D859" s="580">
        <v>1.1380511</v>
      </c>
      <c r="E859" s="580">
        <v>2137.2600000000002</v>
      </c>
    </row>
    <row r="860" spans="1:5" x14ac:dyDescent="0.35">
      <c r="A860" s="580" t="s">
        <v>459</v>
      </c>
      <c r="B860" s="580" t="s">
        <v>301</v>
      </c>
      <c r="C860" s="580">
        <v>5307612</v>
      </c>
      <c r="D860" s="580">
        <v>7.0699999999999999E-3</v>
      </c>
      <c r="E860" s="580">
        <v>37524.82</v>
      </c>
    </row>
    <row r="861" spans="1:5" x14ac:dyDescent="0.35">
      <c r="A861" s="580" t="s">
        <v>303</v>
      </c>
      <c r="B861" s="580" t="s">
        <v>303</v>
      </c>
      <c r="C861" s="580">
        <v>19672465</v>
      </c>
      <c r="D861" s="580">
        <v>1.371E-2</v>
      </c>
      <c r="E861" s="580">
        <v>269709.49</v>
      </c>
    </row>
    <row r="862" spans="1:5" x14ac:dyDescent="0.35">
      <c r="A862" s="580" t="s">
        <v>458</v>
      </c>
      <c r="B862" s="580" t="s">
        <v>301</v>
      </c>
      <c r="C862" s="580">
        <v>5682555</v>
      </c>
      <c r="D862" s="580">
        <v>1.091E-2</v>
      </c>
      <c r="E862" s="580">
        <v>61996.68</v>
      </c>
    </row>
    <row r="863" spans="1:5" ht="12.75" customHeight="1" x14ac:dyDescent="0.45">
      <c r="A863" s="580" t="s">
        <v>458</v>
      </c>
      <c r="B863" s="580" t="s">
        <v>301</v>
      </c>
      <c r="C863" s="279">
        <v>6655288</v>
      </c>
      <c r="D863" s="581">
        <v>1.091E-2</v>
      </c>
      <c r="E863" s="279">
        <v>72609.19</v>
      </c>
    </row>
    <row r="864" spans="1:5" x14ac:dyDescent="0.35">
      <c r="A864" s="580" t="s">
        <v>459</v>
      </c>
      <c r="B864" s="580" t="s">
        <v>301</v>
      </c>
      <c r="C864" s="580">
        <v>5317690</v>
      </c>
      <c r="D864" s="580">
        <v>7.0699999999999999E-3</v>
      </c>
      <c r="E864" s="580">
        <v>37596.07</v>
      </c>
    </row>
    <row r="865" spans="1:5" x14ac:dyDescent="0.35">
      <c r="A865" s="580" t="s">
        <v>460</v>
      </c>
      <c r="B865" s="580" t="s">
        <v>301</v>
      </c>
      <c r="C865" s="580">
        <v>1874</v>
      </c>
      <c r="D865" s="580">
        <v>1.1385752</v>
      </c>
      <c r="E865" s="580">
        <v>2133.69</v>
      </c>
    </row>
    <row r="866" spans="1:5" x14ac:dyDescent="0.35">
      <c r="A866" s="580" t="s">
        <v>464</v>
      </c>
      <c r="B866" s="580" t="s">
        <v>302</v>
      </c>
      <c r="C866" s="580">
        <v>183769</v>
      </c>
      <c r="D866" s="580">
        <v>7.7000000000000002E-3</v>
      </c>
      <c r="E866" s="580">
        <v>1415.02</v>
      </c>
    </row>
    <row r="867" spans="1:5" x14ac:dyDescent="0.35">
      <c r="A867" s="580" t="s">
        <v>463</v>
      </c>
      <c r="B867" s="580" t="s">
        <v>302</v>
      </c>
      <c r="C867" s="580">
        <v>7933519</v>
      </c>
      <c r="D867" s="580">
        <v>5.2199999999999998E-3</v>
      </c>
      <c r="E867" s="580">
        <v>41412.97</v>
      </c>
    </row>
    <row r="868" spans="1:5" x14ac:dyDescent="0.35">
      <c r="A868" s="580" t="s">
        <v>462</v>
      </c>
      <c r="B868" s="580" t="s">
        <v>302</v>
      </c>
      <c r="C868" s="580">
        <v>28831</v>
      </c>
      <c r="D868" s="580">
        <v>1.2132007</v>
      </c>
      <c r="E868" s="580">
        <v>34977.79</v>
      </c>
    </row>
    <row r="869" spans="1:5" x14ac:dyDescent="0.35">
      <c r="A869" s="580" t="s">
        <v>461</v>
      </c>
      <c r="B869" s="580" t="s">
        <v>304</v>
      </c>
      <c r="C869" s="580">
        <v>129660</v>
      </c>
      <c r="D869" s="580">
        <v>1.091E-2</v>
      </c>
      <c r="E869" s="580">
        <v>1414.59</v>
      </c>
    </row>
    <row r="870" spans="1:5" x14ac:dyDescent="0.35">
      <c r="A870" s="580" t="s">
        <v>303</v>
      </c>
      <c r="B870" s="580" t="s">
        <v>303</v>
      </c>
      <c r="C870" s="580">
        <v>19763627</v>
      </c>
      <c r="D870" s="580">
        <v>1.371E-2</v>
      </c>
      <c r="E870" s="580">
        <v>270959.32</v>
      </c>
    </row>
    <row r="871" spans="1:5" x14ac:dyDescent="0.35">
      <c r="A871" s="580" t="s">
        <v>303</v>
      </c>
      <c r="B871" s="580" t="s">
        <v>303</v>
      </c>
      <c r="C871" s="580">
        <v>16682670</v>
      </c>
      <c r="D871" s="580">
        <v>1.371E-2</v>
      </c>
      <c r="E871" s="580">
        <v>228719.41</v>
      </c>
    </row>
    <row r="872" spans="1:5" x14ac:dyDescent="0.35">
      <c r="A872" s="580" t="s">
        <v>458</v>
      </c>
      <c r="B872" s="580" t="s">
        <v>301</v>
      </c>
      <c r="C872" s="580">
        <v>5418659</v>
      </c>
      <c r="D872" s="580">
        <v>1.091E-2</v>
      </c>
      <c r="E872" s="580">
        <v>59117.57</v>
      </c>
    </row>
    <row r="873" spans="1:5" x14ac:dyDescent="0.35">
      <c r="A873" s="580" t="s">
        <v>459</v>
      </c>
      <c r="B873" s="580" t="s">
        <v>301</v>
      </c>
      <c r="C873" s="580">
        <v>5058908</v>
      </c>
      <c r="D873" s="580">
        <v>7.0699999999999999E-3</v>
      </c>
      <c r="E873" s="580">
        <v>35766.480000000003</v>
      </c>
    </row>
    <row r="874" spans="1:5" x14ac:dyDescent="0.35">
      <c r="A874" s="580" t="s">
        <v>460</v>
      </c>
      <c r="B874" s="580" t="s">
        <v>301</v>
      </c>
      <c r="C874" s="580">
        <v>1880</v>
      </c>
      <c r="D874" s="580">
        <v>1.1383776999999999</v>
      </c>
      <c r="E874" s="580">
        <v>2140.15</v>
      </c>
    </row>
    <row r="875" spans="1:5" x14ac:dyDescent="0.35">
      <c r="A875" s="580" t="s">
        <v>464</v>
      </c>
      <c r="B875" s="580" t="s">
        <v>302</v>
      </c>
      <c r="C875" s="580">
        <v>74719</v>
      </c>
      <c r="D875" s="580">
        <v>7.7000000000000002E-3</v>
      </c>
      <c r="E875" s="580">
        <v>575.34</v>
      </c>
    </row>
    <row r="876" spans="1:5" x14ac:dyDescent="0.35">
      <c r="A876" s="580" t="s">
        <v>463</v>
      </c>
      <c r="B876" s="580" t="s">
        <v>302</v>
      </c>
      <c r="C876" s="580">
        <v>7338722</v>
      </c>
      <c r="D876" s="580">
        <v>5.2199999999999998E-3</v>
      </c>
      <c r="E876" s="580">
        <v>38308.129999999997</v>
      </c>
    </row>
    <row r="877" spans="1:5" x14ac:dyDescent="0.35">
      <c r="A877" s="580" t="s">
        <v>461</v>
      </c>
      <c r="B877" s="580" t="s">
        <v>304</v>
      </c>
      <c r="C877" s="580">
        <v>128878</v>
      </c>
      <c r="D877" s="580">
        <v>1.091E-2</v>
      </c>
      <c r="E877" s="580">
        <v>1406.06</v>
      </c>
    </row>
    <row r="878" spans="1:5" x14ac:dyDescent="0.35">
      <c r="A878" s="580" t="s">
        <v>462</v>
      </c>
      <c r="B878" s="580" t="s">
        <v>302</v>
      </c>
      <c r="C878" s="580">
        <v>28168</v>
      </c>
      <c r="D878" s="580">
        <v>1.2131845000000001</v>
      </c>
      <c r="E878" s="580">
        <v>34172.980000000003</v>
      </c>
    </row>
    <row r="879" spans="1:5" x14ac:dyDescent="0.35">
      <c r="A879" s="580" t="s">
        <v>458</v>
      </c>
      <c r="B879" s="580" t="s">
        <v>301</v>
      </c>
      <c r="C879" s="580">
        <v>4961311</v>
      </c>
      <c r="D879" s="580">
        <v>1.091E-2</v>
      </c>
      <c r="E879" s="580">
        <v>54127.9</v>
      </c>
    </row>
    <row r="880" spans="1:5" x14ac:dyDescent="0.35">
      <c r="A880" s="580" t="s">
        <v>303</v>
      </c>
      <c r="B880" s="580" t="s">
        <v>303</v>
      </c>
      <c r="C880" s="580">
        <v>15434884</v>
      </c>
      <c r="D880" s="580">
        <v>1.371E-2</v>
      </c>
      <c r="E880" s="580">
        <v>211612.26</v>
      </c>
    </row>
    <row r="881" spans="1:5" x14ac:dyDescent="0.35">
      <c r="A881" s="580" t="s">
        <v>459</v>
      </c>
      <c r="B881" s="580" t="s">
        <v>301</v>
      </c>
      <c r="C881" s="580">
        <v>5282744</v>
      </c>
      <c r="D881" s="580">
        <v>7.0699999999999999E-3</v>
      </c>
      <c r="E881" s="580">
        <v>37349</v>
      </c>
    </row>
    <row r="882" spans="1:5" x14ac:dyDescent="0.35">
      <c r="A882" s="580" t="s">
        <v>460</v>
      </c>
      <c r="B882" s="580" t="s">
        <v>301</v>
      </c>
      <c r="C882" s="580">
        <v>1918</v>
      </c>
      <c r="D882" s="580">
        <v>1.1381855999999999</v>
      </c>
      <c r="E882" s="580">
        <v>2183.04</v>
      </c>
    </row>
    <row r="883" spans="1:5" x14ac:dyDescent="0.35">
      <c r="A883" s="580" t="s">
        <v>464</v>
      </c>
      <c r="B883" s="580" t="s">
        <v>302</v>
      </c>
      <c r="C883" s="580">
        <v>48395</v>
      </c>
      <c r="D883" s="580">
        <v>7.7000000000000002E-3</v>
      </c>
      <c r="E883" s="580">
        <v>372.64</v>
      </c>
    </row>
    <row r="884" spans="1:5" x14ac:dyDescent="0.35">
      <c r="A884" s="580" t="s">
        <v>463</v>
      </c>
      <c r="B884" s="580" t="s">
        <v>302</v>
      </c>
      <c r="C884" s="580">
        <v>7143904</v>
      </c>
      <c r="D884" s="580">
        <v>5.2199999999999998E-3</v>
      </c>
      <c r="E884" s="580">
        <v>37291.18</v>
      </c>
    </row>
    <row r="885" spans="1:5" x14ac:dyDescent="0.35">
      <c r="A885" s="580" t="s">
        <v>462</v>
      </c>
      <c r="B885" s="580" t="s">
        <v>302</v>
      </c>
      <c r="C885" s="580">
        <v>28423</v>
      </c>
      <c r="D885" s="580">
        <v>1.2132000000000001</v>
      </c>
      <c r="E885" s="580">
        <v>34482.78</v>
      </c>
    </row>
    <row r="886" spans="1:5" x14ac:dyDescent="0.35">
      <c r="A886" s="580" t="s">
        <v>461</v>
      </c>
      <c r="B886" s="580" t="s">
        <v>304</v>
      </c>
      <c r="C886" s="580">
        <v>127007</v>
      </c>
      <c r="D886" s="580">
        <v>1.091E-2</v>
      </c>
      <c r="E886" s="580">
        <v>1385.65</v>
      </c>
    </row>
    <row r="887" spans="1:5" x14ac:dyDescent="0.35">
      <c r="A887" s="580" t="s">
        <v>458</v>
      </c>
      <c r="B887" s="580" t="s">
        <v>301</v>
      </c>
      <c r="C887" s="580">
        <v>5787859</v>
      </c>
      <c r="D887" s="580">
        <v>1.091E-2</v>
      </c>
      <c r="E887" s="580">
        <v>63145.54</v>
      </c>
    </row>
    <row r="888" spans="1:5" x14ac:dyDescent="0.35">
      <c r="A888" s="580" t="s">
        <v>459</v>
      </c>
      <c r="B888" s="580" t="s">
        <v>301</v>
      </c>
      <c r="C888" s="580">
        <v>5874751</v>
      </c>
      <c r="D888" s="580">
        <v>7.0699999999999999E-3</v>
      </c>
      <c r="E888" s="580">
        <v>41534.49</v>
      </c>
    </row>
    <row r="889" spans="1:5" x14ac:dyDescent="0.35">
      <c r="A889" s="580" t="s">
        <v>460</v>
      </c>
      <c r="B889" s="580" t="s">
        <v>301</v>
      </c>
      <c r="C889" s="580">
        <v>1952</v>
      </c>
      <c r="D889" s="580">
        <v>1.1382223</v>
      </c>
      <c r="E889" s="580">
        <v>2221.81</v>
      </c>
    </row>
    <row r="890" spans="1:5" x14ac:dyDescent="0.35">
      <c r="A890" s="580" t="s">
        <v>464</v>
      </c>
      <c r="B890" s="580" t="s">
        <v>302</v>
      </c>
      <c r="C890" s="580">
        <v>48932</v>
      </c>
      <c r="D890" s="580">
        <v>7.7000000000000002E-3</v>
      </c>
      <c r="E890" s="580">
        <v>376.78</v>
      </c>
    </row>
    <row r="891" spans="1:5" x14ac:dyDescent="0.35">
      <c r="A891" s="580" t="s">
        <v>463</v>
      </c>
      <c r="B891" s="580" t="s">
        <v>302</v>
      </c>
      <c r="C891" s="580">
        <v>7020921</v>
      </c>
      <c r="D891" s="580">
        <v>5.2199999999999998E-3</v>
      </c>
      <c r="E891" s="580">
        <v>36649.21</v>
      </c>
    </row>
    <row r="892" spans="1:5" x14ac:dyDescent="0.35">
      <c r="A892" s="580" t="s">
        <v>462</v>
      </c>
      <c r="B892" s="580" t="s">
        <v>302</v>
      </c>
      <c r="C892" s="580">
        <v>28788</v>
      </c>
      <c r="D892" s="580">
        <v>1.2131794</v>
      </c>
      <c r="E892" s="580">
        <v>34925.01</v>
      </c>
    </row>
    <row r="893" spans="1:5" x14ac:dyDescent="0.35">
      <c r="A893" s="580" t="s">
        <v>461</v>
      </c>
      <c r="B893" s="580" t="s">
        <v>304</v>
      </c>
      <c r="C893" s="580">
        <v>128577</v>
      </c>
      <c r="D893" s="580">
        <v>1.091E-2</v>
      </c>
      <c r="E893" s="580">
        <v>1402.78</v>
      </c>
    </row>
    <row r="894" spans="1:5" x14ac:dyDescent="0.35">
      <c r="A894" s="580" t="s">
        <v>303</v>
      </c>
      <c r="B894" s="580" t="s">
        <v>303</v>
      </c>
      <c r="C894" s="580">
        <v>16880845</v>
      </c>
      <c r="D894" s="580">
        <v>1.371E-2</v>
      </c>
      <c r="E894" s="580">
        <v>231436.38</v>
      </c>
    </row>
    <row r="895" spans="1:5" x14ac:dyDescent="0.35">
      <c r="A895" s="580" t="s">
        <v>303</v>
      </c>
      <c r="B895" s="580" t="s">
        <v>303</v>
      </c>
      <c r="C895" s="580">
        <v>19510501</v>
      </c>
      <c r="D895" s="580">
        <v>1.371E-2</v>
      </c>
      <c r="E895" s="580">
        <v>267488.96999999997</v>
      </c>
    </row>
    <row r="896" spans="1:5" x14ac:dyDescent="0.35">
      <c r="A896" s="580" t="s">
        <v>458</v>
      </c>
      <c r="B896" s="580" t="s">
        <v>301</v>
      </c>
      <c r="C896" s="580">
        <v>6300705</v>
      </c>
      <c r="D896" s="580">
        <v>1.091E-2</v>
      </c>
      <c r="E896" s="580">
        <v>68740.69</v>
      </c>
    </row>
    <row r="897" spans="1:5" x14ac:dyDescent="0.35">
      <c r="A897" s="580" t="s">
        <v>459</v>
      </c>
      <c r="B897" s="580" t="s">
        <v>301</v>
      </c>
      <c r="C897" s="580">
        <v>6555941</v>
      </c>
      <c r="D897" s="580">
        <v>7.0699999999999999E-3</v>
      </c>
      <c r="E897" s="580">
        <v>46350.5</v>
      </c>
    </row>
    <row r="898" spans="1:5" x14ac:dyDescent="0.35">
      <c r="A898" s="580" t="s">
        <v>460</v>
      </c>
      <c r="B898" s="580" t="s">
        <v>301</v>
      </c>
      <c r="C898" s="580">
        <v>2024</v>
      </c>
      <c r="D898" s="580">
        <v>1.1381817999999999</v>
      </c>
      <c r="E898" s="580">
        <v>2303.6799999999998</v>
      </c>
    </row>
    <row r="899" spans="1:5" x14ac:dyDescent="0.35">
      <c r="A899" s="580" t="s">
        <v>464</v>
      </c>
      <c r="B899" s="580" t="s">
        <v>302</v>
      </c>
      <c r="C899" s="580">
        <v>52688</v>
      </c>
      <c r="D899" s="580">
        <v>7.7000000000000002E-3</v>
      </c>
      <c r="E899" s="580">
        <v>405.7</v>
      </c>
    </row>
    <row r="900" spans="1:5" x14ac:dyDescent="0.35">
      <c r="A900" s="580" t="s">
        <v>463</v>
      </c>
      <c r="B900" s="580" t="s">
        <v>302</v>
      </c>
      <c r="C900" s="580">
        <v>7254726</v>
      </c>
      <c r="D900" s="580">
        <v>5.2199999999999998E-3</v>
      </c>
      <c r="E900" s="580">
        <v>37869.67</v>
      </c>
    </row>
    <row r="901" spans="1:5" x14ac:dyDescent="0.35">
      <c r="A901" s="580" t="s">
        <v>461</v>
      </c>
      <c r="B901" s="580" t="s">
        <v>304</v>
      </c>
      <c r="C901" s="580">
        <v>128445</v>
      </c>
      <c r="D901" s="580">
        <v>1.091E-2</v>
      </c>
      <c r="E901" s="580">
        <v>1401.33</v>
      </c>
    </row>
    <row r="902" spans="1:5" x14ac:dyDescent="0.35">
      <c r="A902" s="580" t="s">
        <v>462</v>
      </c>
      <c r="B902" s="580" t="s">
        <v>302</v>
      </c>
      <c r="C902" s="580">
        <v>28979</v>
      </c>
      <c r="D902" s="580">
        <v>1.2131896</v>
      </c>
      <c r="E902" s="580">
        <v>35157.019999999997</v>
      </c>
    </row>
    <row r="903" spans="1:5" x14ac:dyDescent="0.35">
      <c r="A903" s="580" t="s">
        <v>461</v>
      </c>
      <c r="B903" s="580" t="s">
        <v>304</v>
      </c>
      <c r="C903" s="580">
        <v>128320</v>
      </c>
      <c r="D903" s="580">
        <v>1.091E-2</v>
      </c>
      <c r="E903" s="580">
        <v>1399.97</v>
      </c>
    </row>
    <row r="904" spans="1:5" x14ac:dyDescent="0.35">
      <c r="A904" s="580" t="s">
        <v>462</v>
      </c>
      <c r="B904" s="580" t="s">
        <v>302</v>
      </c>
      <c r="C904" s="580">
        <v>28148</v>
      </c>
      <c r="D904" s="580">
        <v>1.2132198000000001</v>
      </c>
      <c r="E904" s="580">
        <v>34149.71</v>
      </c>
    </row>
    <row r="905" spans="1:5" x14ac:dyDescent="0.35">
      <c r="A905" s="580" t="s">
        <v>463</v>
      </c>
      <c r="B905" s="580" t="s">
        <v>302</v>
      </c>
      <c r="C905" s="580">
        <v>7115952</v>
      </c>
      <c r="D905" s="580">
        <v>5.2199999999999998E-3</v>
      </c>
      <c r="E905" s="580">
        <v>37145.269999999997</v>
      </c>
    </row>
    <row r="906" spans="1:5" x14ac:dyDescent="0.35">
      <c r="A906" s="580" t="s">
        <v>464</v>
      </c>
      <c r="B906" s="580" t="s">
        <v>302</v>
      </c>
      <c r="C906" s="580">
        <v>49944</v>
      </c>
      <c r="D906" s="580">
        <v>7.7000000000000002E-3</v>
      </c>
      <c r="E906" s="580">
        <v>384.57</v>
      </c>
    </row>
    <row r="907" spans="1:5" x14ac:dyDescent="0.35">
      <c r="A907" s="580" t="s">
        <v>460</v>
      </c>
      <c r="B907" s="580" t="s">
        <v>301</v>
      </c>
      <c r="C907" s="580">
        <v>1934</v>
      </c>
      <c r="D907" s="580">
        <v>1.1384333</v>
      </c>
      <c r="E907" s="580">
        <v>2201.73</v>
      </c>
    </row>
    <row r="908" spans="1:5" x14ac:dyDescent="0.35">
      <c r="A908" s="580" t="s">
        <v>459</v>
      </c>
      <c r="B908" s="580" t="s">
        <v>301</v>
      </c>
      <c r="C908" s="580">
        <v>6087979</v>
      </c>
      <c r="D908" s="580">
        <v>7.0699999999999999E-3</v>
      </c>
      <c r="E908" s="580">
        <v>43042.01</v>
      </c>
    </row>
    <row r="909" spans="1:5" x14ac:dyDescent="0.35">
      <c r="A909" s="580" t="s">
        <v>458</v>
      </c>
      <c r="B909" s="580" t="s">
        <v>301</v>
      </c>
      <c r="C909" s="580">
        <v>5618857</v>
      </c>
      <c r="D909" s="580">
        <v>1.091E-2</v>
      </c>
      <c r="E909" s="580">
        <v>61301.73</v>
      </c>
    </row>
    <row r="910" spans="1:5" x14ac:dyDescent="0.35">
      <c r="A910" s="580" t="s">
        <v>303</v>
      </c>
      <c r="B910" s="580" t="s">
        <v>303</v>
      </c>
      <c r="C910" s="580">
        <v>17040057</v>
      </c>
      <c r="D910" s="580">
        <v>1.371E-2</v>
      </c>
      <c r="E910" s="580">
        <v>233619.18</v>
      </c>
    </row>
    <row r="911" spans="1:5" x14ac:dyDescent="0.35">
      <c r="A911" s="580" t="s">
        <v>462</v>
      </c>
      <c r="B911" s="580" t="s">
        <v>302</v>
      </c>
      <c r="C911" s="580">
        <v>28137</v>
      </c>
      <c r="D911" s="580">
        <v>1.2132086</v>
      </c>
      <c r="E911" s="580">
        <v>34136.050000000003</v>
      </c>
    </row>
    <row r="912" spans="1:5" x14ac:dyDescent="0.35">
      <c r="A912" s="580" t="s">
        <v>463</v>
      </c>
      <c r="B912" s="580" t="s">
        <v>302</v>
      </c>
      <c r="C912" s="580">
        <v>6967575</v>
      </c>
      <c r="D912" s="580">
        <v>5.2199999999999998E-3</v>
      </c>
      <c r="E912" s="580">
        <v>36370.74</v>
      </c>
    </row>
    <row r="913" spans="1:5" x14ac:dyDescent="0.35">
      <c r="A913" s="580" t="s">
        <v>464</v>
      </c>
      <c r="B913" s="580" t="s">
        <v>302</v>
      </c>
      <c r="C913" s="580">
        <v>53548</v>
      </c>
      <c r="D913" s="580">
        <v>7.7000000000000002E-3</v>
      </c>
      <c r="E913" s="580">
        <v>412.32</v>
      </c>
    </row>
    <row r="914" spans="1:5" x14ac:dyDescent="0.35">
      <c r="A914" s="580" t="s">
        <v>460</v>
      </c>
      <c r="B914" s="580" t="s">
        <v>301</v>
      </c>
      <c r="C914" s="580">
        <v>1908</v>
      </c>
      <c r="D914" s="580">
        <v>1.1382075</v>
      </c>
      <c r="E914" s="580">
        <v>2171.6999999999998</v>
      </c>
    </row>
    <row r="915" spans="1:5" x14ac:dyDescent="0.35">
      <c r="A915" s="580" t="s">
        <v>459</v>
      </c>
      <c r="B915" s="580" t="s">
        <v>301</v>
      </c>
      <c r="C915" s="580">
        <v>5638581</v>
      </c>
      <c r="D915" s="580">
        <v>7.0699999999999999E-3</v>
      </c>
      <c r="E915" s="580">
        <v>39864.769999999997</v>
      </c>
    </row>
    <row r="916" spans="1:5" x14ac:dyDescent="0.35">
      <c r="A916" s="580" t="s">
        <v>458</v>
      </c>
      <c r="B916" s="580" t="s">
        <v>301</v>
      </c>
      <c r="C916" s="580">
        <v>4906575</v>
      </c>
      <c r="D916" s="580">
        <v>1.091E-2</v>
      </c>
      <c r="E916" s="580">
        <v>53530.73</v>
      </c>
    </row>
    <row r="917" spans="1:5" x14ac:dyDescent="0.35">
      <c r="A917" s="580" t="s">
        <v>303</v>
      </c>
      <c r="B917" s="580" t="s">
        <v>303</v>
      </c>
      <c r="C917" s="580">
        <v>15413683</v>
      </c>
      <c r="D917" s="580">
        <v>1.371E-2</v>
      </c>
      <c r="E917" s="580">
        <v>211321.60000000001</v>
      </c>
    </row>
    <row r="918" spans="1:5" x14ac:dyDescent="0.35">
      <c r="A918" s="580" t="s">
        <v>461</v>
      </c>
      <c r="B918" s="580" t="s">
        <v>304</v>
      </c>
      <c r="C918" s="580">
        <v>128336</v>
      </c>
      <c r="D918" s="580">
        <v>1.091E-2</v>
      </c>
      <c r="E918" s="580">
        <v>1400.15</v>
      </c>
    </row>
    <row r="919" spans="1:5" x14ac:dyDescent="0.35">
      <c r="A919" s="580" t="s">
        <v>459</v>
      </c>
      <c r="B919" s="580" t="s">
        <v>301</v>
      </c>
      <c r="C919" s="580">
        <v>5335815</v>
      </c>
      <c r="D919" s="580">
        <v>7.0699999999999999E-3</v>
      </c>
      <c r="E919" s="580">
        <v>37724.21</v>
      </c>
    </row>
    <row r="920" spans="1:5" x14ac:dyDescent="0.35">
      <c r="A920" s="580" t="s">
        <v>460</v>
      </c>
      <c r="B920" s="580" t="s">
        <v>301</v>
      </c>
      <c r="C920" s="580">
        <v>1840</v>
      </c>
      <c r="D920" s="580">
        <v>1.1381848000000001</v>
      </c>
      <c r="E920" s="580">
        <v>2094.2600000000002</v>
      </c>
    </row>
    <row r="921" spans="1:5" x14ac:dyDescent="0.35">
      <c r="A921" s="580" t="s">
        <v>464</v>
      </c>
      <c r="B921" s="580" t="s">
        <v>302</v>
      </c>
      <c r="C921" s="580">
        <v>84778</v>
      </c>
      <c r="D921" s="580">
        <v>7.7000000000000002E-3</v>
      </c>
      <c r="E921" s="580">
        <v>652.79</v>
      </c>
    </row>
    <row r="922" spans="1:5" x14ac:dyDescent="0.35">
      <c r="A922" s="580" t="s">
        <v>463</v>
      </c>
      <c r="B922" s="580" t="s">
        <v>302</v>
      </c>
      <c r="C922" s="580">
        <v>7252079</v>
      </c>
      <c r="D922" s="580">
        <v>5.2199999999999998E-3</v>
      </c>
      <c r="E922" s="580">
        <v>37855.85</v>
      </c>
    </row>
    <row r="923" spans="1:5" x14ac:dyDescent="0.35">
      <c r="A923" s="580" t="s">
        <v>462</v>
      </c>
      <c r="B923" s="580" t="s">
        <v>302</v>
      </c>
      <c r="C923" s="580">
        <v>27998</v>
      </c>
      <c r="D923" s="580">
        <v>1.2131984</v>
      </c>
      <c r="E923" s="580">
        <v>33967.129999999997</v>
      </c>
    </row>
    <row r="924" spans="1:5" x14ac:dyDescent="0.35">
      <c r="A924" s="580" t="s">
        <v>461</v>
      </c>
      <c r="B924" s="580" t="s">
        <v>304</v>
      </c>
      <c r="C924" s="580">
        <v>128910</v>
      </c>
      <c r="D924" s="580">
        <v>1.091E-2</v>
      </c>
      <c r="E924" s="580">
        <v>1406.41</v>
      </c>
    </row>
    <row r="925" spans="1:5" x14ac:dyDescent="0.35">
      <c r="A925" s="580" t="s">
        <v>303</v>
      </c>
      <c r="B925" s="580" t="s">
        <v>303</v>
      </c>
      <c r="C925" s="580">
        <v>17024109</v>
      </c>
      <c r="D925" s="580">
        <v>1.371E-2</v>
      </c>
      <c r="E925" s="580">
        <v>233400.53</v>
      </c>
    </row>
    <row r="926" spans="1:5" x14ac:dyDescent="0.35">
      <c r="A926" s="580" t="s">
        <v>458</v>
      </c>
      <c r="B926" s="580" t="s">
        <v>301</v>
      </c>
      <c r="C926" s="580">
        <v>4706608</v>
      </c>
      <c r="D926" s="580">
        <v>1.091E-2</v>
      </c>
      <c r="E926" s="580">
        <v>51349.09</v>
      </c>
    </row>
    <row r="927" spans="1:5" x14ac:dyDescent="0.35">
      <c r="A927" s="580" t="s">
        <v>462</v>
      </c>
      <c r="B927" s="580" t="s">
        <v>302</v>
      </c>
      <c r="C927" s="580">
        <v>27767</v>
      </c>
      <c r="D927" s="580">
        <v>1.2132023999999999</v>
      </c>
      <c r="E927" s="580">
        <v>33686.99</v>
      </c>
    </row>
    <row r="928" spans="1:5" x14ac:dyDescent="0.35">
      <c r="A928" s="580" t="s">
        <v>303</v>
      </c>
      <c r="B928" s="580" t="s">
        <v>303</v>
      </c>
      <c r="C928" s="580">
        <v>19887772</v>
      </c>
      <c r="D928" s="580">
        <v>1.371E-2</v>
      </c>
      <c r="E928" s="580">
        <v>272661.34999999998</v>
      </c>
    </row>
    <row r="929" spans="1:5" x14ac:dyDescent="0.35">
      <c r="A929" s="580" t="s">
        <v>458</v>
      </c>
      <c r="B929" s="580" t="s">
        <v>301</v>
      </c>
      <c r="C929" s="580">
        <v>5145183</v>
      </c>
      <c r="D929" s="580">
        <v>1.091E-2</v>
      </c>
      <c r="E929" s="580">
        <v>56133.95</v>
      </c>
    </row>
    <row r="930" spans="1:5" x14ac:dyDescent="0.35">
      <c r="A930" s="580" t="s">
        <v>459</v>
      </c>
      <c r="B930" s="580" t="s">
        <v>301</v>
      </c>
      <c r="C930" s="580">
        <v>5440835</v>
      </c>
      <c r="D930" s="580">
        <v>7.0699999999999999E-3</v>
      </c>
      <c r="E930" s="580">
        <v>38466.699999999997</v>
      </c>
    </row>
    <row r="931" spans="1:5" x14ac:dyDescent="0.35">
      <c r="A931" s="580" t="s">
        <v>460</v>
      </c>
      <c r="B931" s="580" t="s">
        <v>301</v>
      </c>
      <c r="C931" s="580">
        <v>1853</v>
      </c>
      <c r="D931" s="580">
        <v>1.1383918</v>
      </c>
      <c r="E931" s="580">
        <v>2109.44</v>
      </c>
    </row>
    <row r="932" spans="1:5" x14ac:dyDescent="0.35">
      <c r="A932" s="580" t="s">
        <v>464</v>
      </c>
      <c r="B932" s="580" t="s">
        <v>302</v>
      </c>
      <c r="C932" s="580">
        <v>1384071</v>
      </c>
      <c r="D932" s="580">
        <v>7.7000000000000002E-3</v>
      </c>
      <c r="E932" s="580">
        <v>10657.35</v>
      </c>
    </row>
    <row r="933" spans="1:5" x14ac:dyDescent="0.35">
      <c r="A933" s="580" t="s">
        <v>463</v>
      </c>
      <c r="B933" s="580" t="s">
        <v>302</v>
      </c>
      <c r="C933" s="580">
        <v>7156969</v>
      </c>
      <c r="D933" s="580">
        <v>5.2199999999999998E-3</v>
      </c>
      <c r="E933" s="580">
        <v>37359.379999999997</v>
      </c>
    </row>
    <row r="934" spans="1:5" x14ac:dyDescent="0.35">
      <c r="A934" s="580" t="s">
        <v>461</v>
      </c>
      <c r="B934" s="580" t="s">
        <v>304</v>
      </c>
      <c r="C934" s="580">
        <v>128082</v>
      </c>
      <c r="D934" s="580">
        <v>1.091E-2</v>
      </c>
      <c r="E934" s="580">
        <v>1397.38</v>
      </c>
    </row>
    <row r="935" spans="1:5" x14ac:dyDescent="0.35">
      <c r="A935" s="580" t="s">
        <v>462</v>
      </c>
      <c r="B935" s="580" t="s">
        <v>302</v>
      </c>
      <c r="C935" s="580">
        <v>28612</v>
      </c>
      <c r="D935" s="580">
        <v>1.2131818999999999</v>
      </c>
      <c r="E935" s="580">
        <v>34711.56</v>
      </c>
    </row>
    <row r="936" spans="1:5" x14ac:dyDescent="0.35">
      <c r="A936" s="580" t="s">
        <v>461</v>
      </c>
      <c r="B936" s="580" t="s">
        <v>304</v>
      </c>
      <c r="C936" s="580">
        <v>127635</v>
      </c>
      <c r="D936" s="580">
        <v>1.091E-2</v>
      </c>
      <c r="E936" s="580">
        <v>1392.5</v>
      </c>
    </row>
    <row r="937" spans="1:5" x14ac:dyDescent="0.35">
      <c r="A937" s="580" t="s">
        <v>464</v>
      </c>
      <c r="B937" s="580" t="s">
        <v>302</v>
      </c>
      <c r="C937" s="580">
        <v>2128055</v>
      </c>
      <c r="D937" s="580">
        <v>7.7000000000000002E-3</v>
      </c>
      <c r="E937" s="580">
        <v>16386.02</v>
      </c>
    </row>
    <row r="938" spans="1:5" x14ac:dyDescent="0.35">
      <c r="A938" s="580" t="s">
        <v>303</v>
      </c>
      <c r="B938" s="580" t="s">
        <v>303</v>
      </c>
      <c r="C938" s="580">
        <v>21824691</v>
      </c>
      <c r="D938" s="580">
        <v>1.371E-2</v>
      </c>
      <c r="E938" s="580">
        <v>299216.51</v>
      </c>
    </row>
    <row r="939" spans="1:5" x14ac:dyDescent="0.35">
      <c r="A939" s="580" t="s">
        <v>460</v>
      </c>
      <c r="B939" s="580" t="s">
        <v>301</v>
      </c>
      <c r="C939" s="580">
        <v>1852</v>
      </c>
      <c r="D939" s="580">
        <v>1.1383477</v>
      </c>
      <c r="E939" s="580">
        <v>2108.2199999999998</v>
      </c>
    </row>
    <row r="940" spans="1:5" x14ac:dyDescent="0.35">
      <c r="A940" s="580" t="s">
        <v>459</v>
      </c>
      <c r="B940" s="580" t="s">
        <v>301</v>
      </c>
      <c r="C940" s="580">
        <v>5365543</v>
      </c>
      <c r="D940" s="580">
        <v>7.0699999999999999E-3</v>
      </c>
      <c r="E940" s="580">
        <v>37934.39</v>
      </c>
    </row>
    <row r="941" spans="1:5" x14ac:dyDescent="0.35">
      <c r="A941" s="580" t="s">
        <v>463</v>
      </c>
      <c r="B941" s="580" t="s">
        <v>302</v>
      </c>
      <c r="C941" s="580">
        <v>7383456</v>
      </c>
      <c r="D941" s="580">
        <v>5.2199999999999998E-3</v>
      </c>
      <c r="E941" s="580">
        <v>38541.64</v>
      </c>
    </row>
    <row r="942" spans="1:5" x14ac:dyDescent="0.35">
      <c r="A942" s="580" t="s">
        <v>458</v>
      </c>
      <c r="B942" s="580" t="s">
        <v>301</v>
      </c>
      <c r="C942" s="580">
        <v>5438719</v>
      </c>
      <c r="D942" s="580">
        <v>1.091E-2</v>
      </c>
      <c r="E942" s="580">
        <v>59336.42</v>
      </c>
    </row>
    <row r="943" spans="1:5" x14ac:dyDescent="0.35">
      <c r="A943" s="580" t="s">
        <v>463</v>
      </c>
      <c r="B943" s="580" t="s">
        <v>302</v>
      </c>
      <c r="C943" s="580">
        <v>2523180</v>
      </c>
      <c r="D943" s="580">
        <v>5.2199999999999998E-3</v>
      </c>
      <c r="E943" s="580">
        <v>13171</v>
      </c>
    </row>
    <row r="944" spans="1:5" x14ac:dyDescent="0.35">
      <c r="A944" s="580" t="s">
        <v>460</v>
      </c>
      <c r="B944" s="580" t="s">
        <v>301</v>
      </c>
      <c r="C944" s="580">
        <v>4195.4480000000003</v>
      </c>
      <c r="D944" s="580">
        <v>1.1383000000000001</v>
      </c>
      <c r="E944" s="580">
        <v>4775.68</v>
      </c>
    </row>
    <row r="945" spans="1:5" x14ac:dyDescent="0.35">
      <c r="A945" s="580" t="s">
        <v>459</v>
      </c>
      <c r="B945" s="580" t="s">
        <v>301</v>
      </c>
      <c r="C945" s="580">
        <v>1414777.6</v>
      </c>
      <c r="D945" s="580">
        <v>7.0699999999999999E-3</v>
      </c>
      <c r="E945" s="580">
        <v>10002.48</v>
      </c>
    </row>
    <row r="946" spans="1:5" x14ac:dyDescent="0.35">
      <c r="A946" s="580" t="s">
        <v>462</v>
      </c>
      <c r="B946" s="580" t="s">
        <v>302</v>
      </c>
      <c r="C946" s="580">
        <v>11411</v>
      </c>
      <c r="D946" s="580">
        <v>1.2132000000000001</v>
      </c>
      <c r="E946" s="580">
        <v>13843.83</v>
      </c>
    </row>
    <row r="947" spans="1:5" x14ac:dyDescent="0.35">
      <c r="A947" s="580" t="s">
        <v>461</v>
      </c>
      <c r="B947" s="580" t="s">
        <v>304</v>
      </c>
      <c r="C947" s="580">
        <v>27113</v>
      </c>
      <c r="D947" s="580">
        <v>1.091E-2</v>
      </c>
      <c r="E947" s="580">
        <v>295.8</v>
      </c>
    </row>
    <row r="948" spans="1:5" x14ac:dyDescent="0.35">
      <c r="A948" s="580" t="s">
        <v>303</v>
      </c>
      <c r="B948" s="580" t="s">
        <v>303</v>
      </c>
      <c r="C948" s="580">
        <v>2496787</v>
      </c>
      <c r="D948" s="580">
        <v>1.371E-2</v>
      </c>
      <c r="E948" s="580">
        <v>34230.949999999997</v>
      </c>
    </row>
    <row r="949" spans="1:5" x14ac:dyDescent="0.35">
      <c r="A949" s="580" t="s">
        <v>458</v>
      </c>
      <c r="B949" s="580" t="s">
        <v>301</v>
      </c>
      <c r="C949" s="580">
        <v>629765</v>
      </c>
      <c r="D949" s="580">
        <v>1.091E-2</v>
      </c>
      <c r="E949" s="580">
        <v>6870.74</v>
      </c>
    </row>
    <row r="950" spans="1:5" x14ac:dyDescent="0.35">
      <c r="A950" s="580" t="s">
        <v>458</v>
      </c>
      <c r="B950" s="580" t="s">
        <v>301</v>
      </c>
      <c r="C950" s="580">
        <v>496377</v>
      </c>
      <c r="D950" s="580">
        <v>1.091E-2</v>
      </c>
      <c r="E950" s="580">
        <v>5415.47</v>
      </c>
    </row>
    <row r="951" spans="1:5" x14ac:dyDescent="0.35">
      <c r="A951" s="580" t="s">
        <v>459</v>
      </c>
      <c r="B951" s="580" t="s">
        <v>301</v>
      </c>
      <c r="C951" s="580">
        <v>1202802.1000000001</v>
      </c>
      <c r="D951" s="580">
        <v>7.0699999999999999E-3</v>
      </c>
      <c r="E951" s="580">
        <v>8503.81</v>
      </c>
    </row>
    <row r="952" spans="1:5" x14ac:dyDescent="0.35">
      <c r="A952" s="580" t="s">
        <v>460</v>
      </c>
      <c r="B952" s="580" t="s">
        <v>301</v>
      </c>
      <c r="C952" s="580">
        <v>4050.5817999999999</v>
      </c>
      <c r="D952" s="580">
        <v>1.1383000000000001</v>
      </c>
      <c r="E952" s="580">
        <v>4610.78</v>
      </c>
    </row>
    <row r="953" spans="1:5" x14ac:dyDescent="0.35">
      <c r="A953" s="580" t="s">
        <v>463</v>
      </c>
      <c r="B953" s="580" t="s">
        <v>302</v>
      </c>
      <c r="C953" s="580">
        <v>1802880</v>
      </c>
      <c r="D953" s="580">
        <v>5.2199999999999998E-3</v>
      </c>
      <c r="E953" s="580">
        <v>9411.0300000000007</v>
      </c>
    </row>
    <row r="954" spans="1:5" x14ac:dyDescent="0.35">
      <c r="A954" s="580" t="s">
        <v>462</v>
      </c>
      <c r="B954" s="580" t="s">
        <v>302</v>
      </c>
      <c r="C954" s="580">
        <v>8866</v>
      </c>
      <c r="D954" s="580">
        <v>1.2132000000000001</v>
      </c>
      <c r="E954" s="580">
        <v>10756.23</v>
      </c>
    </row>
    <row r="955" spans="1:5" x14ac:dyDescent="0.35">
      <c r="A955" s="580" t="s">
        <v>461</v>
      </c>
      <c r="B955" s="580" t="s">
        <v>304</v>
      </c>
      <c r="C955" s="580">
        <v>27077</v>
      </c>
      <c r="D955" s="580">
        <v>1.091E-2</v>
      </c>
      <c r="E955" s="580">
        <v>295.41000000000003</v>
      </c>
    </row>
    <row r="956" spans="1:5" x14ac:dyDescent="0.35">
      <c r="A956" s="580" t="s">
        <v>303</v>
      </c>
      <c r="B956" s="580" t="s">
        <v>303</v>
      </c>
      <c r="C956" s="580">
        <v>2008465</v>
      </c>
      <c r="D956" s="580">
        <v>1.371E-2</v>
      </c>
      <c r="E956" s="580">
        <v>27536.06</v>
      </c>
    </row>
    <row r="957" spans="1:5" x14ac:dyDescent="0.35">
      <c r="A957" s="580" t="s">
        <v>463</v>
      </c>
      <c r="B957" s="580" t="s">
        <v>302</v>
      </c>
      <c r="C957" s="580">
        <v>1657020</v>
      </c>
      <c r="D957" s="580">
        <v>5.2199999999999998E-3</v>
      </c>
      <c r="E957" s="580">
        <v>8649.64</v>
      </c>
    </row>
    <row r="958" spans="1:5" x14ac:dyDescent="0.35">
      <c r="A958" s="580" t="s">
        <v>462</v>
      </c>
      <c r="B958" s="580" t="s">
        <v>302</v>
      </c>
      <c r="C958" s="580">
        <v>6009</v>
      </c>
      <c r="D958" s="580">
        <v>1.2132000000000001</v>
      </c>
      <c r="E958" s="580">
        <v>7290.12</v>
      </c>
    </row>
    <row r="959" spans="1:5" x14ac:dyDescent="0.35">
      <c r="A959" s="580" t="s">
        <v>461</v>
      </c>
      <c r="B959" s="580" t="s">
        <v>304</v>
      </c>
      <c r="C959" s="580">
        <v>27113</v>
      </c>
      <c r="D959" s="580">
        <v>1.091E-2</v>
      </c>
      <c r="E959" s="580">
        <v>295.8</v>
      </c>
    </row>
    <row r="960" spans="1:5" x14ac:dyDescent="0.35">
      <c r="A960" s="580" t="s">
        <v>460</v>
      </c>
      <c r="B960" s="580" t="s">
        <v>301</v>
      </c>
      <c r="C960" s="580">
        <v>3825.0140999999999</v>
      </c>
      <c r="D960" s="580">
        <v>1.1383000000000001</v>
      </c>
      <c r="E960" s="580">
        <v>4354.01</v>
      </c>
    </row>
    <row r="961" spans="1:5" x14ac:dyDescent="0.35">
      <c r="A961" s="580" t="s">
        <v>303</v>
      </c>
      <c r="B961" s="580" t="s">
        <v>303</v>
      </c>
      <c r="C961" s="580">
        <v>1819670</v>
      </c>
      <c r="D961" s="580">
        <v>1.371E-2</v>
      </c>
      <c r="E961" s="580">
        <v>24947.68</v>
      </c>
    </row>
    <row r="962" spans="1:5" x14ac:dyDescent="0.35">
      <c r="A962" s="580" t="s">
        <v>458</v>
      </c>
      <c r="B962" s="580" t="s">
        <v>301</v>
      </c>
      <c r="C962" s="580">
        <v>504293</v>
      </c>
      <c r="D962" s="580">
        <v>1.091E-2</v>
      </c>
      <c r="E962" s="580">
        <v>5501.84</v>
      </c>
    </row>
    <row r="963" spans="1:5" x14ac:dyDescent="0.35">
      <c r="A963" s="580" t="s">
        <v>459</v>
      </c>
      <c r="B963" s="580" t="s">
        <v>301</v>
      </c>
      <c r="C963" s="580">
        <v>1197345.3999999999</v>
      </c>
      <c r="D963" s="580">
        <v>7.0699999999999999E-3</v>
      </c>
      <c r="E963" s="580">
        <v>8465.23</v>
      </c>
    </row>
    <row r="964" spans="1:5" x14ac:dyDescent="0.35">
      <c r="A964" s="580" t="s">
        <v>461</v>
      </c>
      <c r="B964" s="580" t="s">
        <v>304</v>
      </c>
      <c r="C964" s="580">
        <v>27077</v>
      </c>
      <c r="D964" s="580">
        <v>1.091E-2</v>
      </c>
      <c r="E964" s="580">
        <v>295.41000000000003</v>
      </c>
    </row>
    <row r="965" spans="1:5" x14ac:dyDescent="0.35">
      <c r="A965" s="580" t="s">
        <v>462</v>
      </c>
      <c r="B965" s="580" t="s">
        <v>302</v>
      </c>
      <c r="C965" s="580">
        <v>4714</v>
      </c>
      <c r="D965" s="580">
        <v>1.2132000000000001</v>
      </c>
      <c r="E965" s="580">
        <v>5719.02</v>
      </c>
    </row>
    <row r="966" spans="1:5" x14ac:dyDescent="0.35">
      <c r="A966" s="580" t="s">
        <v>463</v>
      </c>
      <c r="B966" s="580" t="s">
        <v>302</v>
      </c>
      <c r="C966" s="580">
        <v>1316700</v>
      </c>
      <c r="D966" s="580">
        <v>5.2199999999999998E-3</v>
      </c>
      <c r="E966" s="580">
        <v>6873.17</v>
      </c>
    </row>
    <row r="967" spans="1:5" x14ac:dyDescent="0.35">
      <c r="A967" s="580" t="s">
        <v>460</v>
      </c>
      <c r="B967" s="580" t="s">
        <v>301</v>
      </c>
      <c r="C967" s="580">
        <v>3506.2294999999999</v>
      </c>
      <c r="D967" s="580">
        <v>1.1383000000000001</v>
      </c>
      <c r="E967" s="580">
        <v>3991.14</v>
      </c>
    </row>
    <row r="968" spans="1:5" x14ac:dyDescent="0.35">
      <c r="A968" s="580" t="s">
        <v>459</v>
      </c>
      <c r="B968" s="580" t="s">
        <v>301</v>
      </c>
      <c r="C968" s="580">
        <v>962598.8</v>
      </c>
      <c r="D968" s="580">
        <v>7.0699999999999999E-3</v>
      </c>
      <c r="E968" s="580">
        <v>6805.57</v>
      </c>
    </row>
    <row r="969" spans="1:5" x14ac:dyDescent="0.35">
      <c r="A969" s="580" t="s">
        <v>458</v>
      </c>
      <c r="B969" s="580" t="s">
        <v>301</v>
      </c>
      <c r="C969" s="580">
        <v>414505</v>
      </c>
      <c r="D969" s="580">
        <v>1.091E-2</v>
      </c>
      <c r="E969" s="580">
        <v>4522.25</v>
      </c>
    </row>
    <row r="970" spans="1:5" x14ac:dyDescent="0.35">
      <c r="A970" s="580" t="s">
        <v>303</v>
      </c>
      <c r="B970" s="580" t="s">
        <v>303</v>
      </c>
      <c r="C970" s="580">
        <v>1268215</v>
      </c>
      <c r="D970" s="580">
        <v>1.371E-2</v>
      </c>
      <c r="E970" s="580">
        <v>17387.23</v>
      </c>
    </row>
    <row r="971" spans="1:5" x14ac:dyDescent="0.35">
      <c r="A971" s="580" t="s">
        <v>303</v>
      </c>
      <c r="B971" s="580" t="s">
        <v>303</v>
      </c>
      <c r="C971" s="580">
        <v>959359</v>
      </c>
      <c r="D971" s="580">
        <v>1.371E-2</v>
      </c>
      <c r="E971" s="580">
        <v>13152.81</v>
      </c>
    </row>
    <row r="972" spans="1:5" x14ac:dyDescent="0.35">
      <c r="A972" s="580" t="s">
        <v>459</v>
      </c>
      <c r="B972" s="580" t="s">
        <v>301</v>
      </c>
      <c r="C972" s="580">
        <v>940043</v>
      </c>
      <c r="D972" s="580">
        <v>7.0699999999999999E-3</v>
      </c>
      <c r="E972" s="580">
        <v>6646.1</v>
      </c>
    </row>
    <row r="973" spans="1:5" x14ac:dyDescent="0.35">
      <c r="A973" s="580" t="s">
        <v>458</v>
      </c>
      <c r="B973" s="580" t="s">
        <v>301</v>
      </c>
      <c r="C973" s="580">
        <v>370213</v>
      </c>
      <c r="D973" s="580">
        <v>1.091E-2</v>
      </c>
      <c r="E973" s="580">
        <v>4039.02</v>
      </c>
    </row>
    <row r="974" spans="1:5" x14ac:dyDescent="0.35">
      <c r="A974" s="580" t="s">
        <v>460</v>
      </c>
      <c r="B974" s="580" t="s">
        <v>301</v>
      </c>
      <c r="C974" s="580">
        <v>3232.4059000000002</v>
      </c>
      <c r="D974" s="580">
        <v>1.1382976</v>
      </c>
      <c r="E974" s="580">
        <v>3679.44</v>
      </c>
    </row>
    <row r="975" spans="1:5" x14ac:dyDescent="0.35">
      <c r="A975" s="580" t="s">
        <v>463</v>
      </c>
      <c r="B975" s="580" t="s">
        <v>302</v>
      </c>
      <c r="C975" s="580">
        <v>1331220</v>
      </c>
      <c r="D975" s="580">
        <v>5.2199999999999998E-3</v>
      </c>
      <c r="E975" s="580">
        <v>6948.96</v>
      </c>
    </row>
    <row r="976" spans="1:5" x14ac:dyDescent="0.35">
      <c r="A976" s="580" t="s">
        <v>462</v>
      </c>
      <c r="B976" s="580" t="s">
        <v>302</v>
      </c>
      <c r="C976" s="580">
        <v>4166</v>
      </c>
      <c r="D976" s="580">
        <v>1.2132000000000001</v>
      </c>
      <c r="E976" s="580">
        <v>5054.1899999999996</v>
      </c>
    </row>
    <row r="977" spans="1:5" x14ac:dyDescent="0.35">
      <c r="A977" s="580" t="s">
        <v>461</v>
      </c>
      <c r="B977" s="580" t="s">
        <v>304</v>
      </c>
      <c r="C977" s="580">
        <v>27077</v>
      </c>
      <c r="D977" s="580">
        <v>1.091E-2</v>
      </c>
      <c r="E977" s="580">
        <v>295.41000000000003</v>
      </c>
    </row>
    <row r="978" spans="1:5" x14ac:dyDescent="0.35">
      <c r="A978" s="580" t="s">
        <v>303</v>
      </c>
      <c r="B978" s="580" t="s">
        <v>303</v>
      </c>
      <c r="C978" s="580">
        <v>885333</v>
      </c>
      <c r="D978" s="580">
        <v>1.371E-2</v>
      </c>
      <c r="E978" s="580">
        <v>12137.91</v>
      </c>
    </row>
    <row r="979" spans="1:5" x14ac:dyDescent="0.35">
      <c r="A979" s="580" t="s">
        <v>458</v>
      </c>
      <c r="B979" s="580" t="s">
        <v>301</v>
      </c>
      <c r="C979" s="580">
        <v>382792</v>
      </c>
      <c r="D979" s="580">
        <v>1.091E-2</v>
      </c>
      <c r="E979" s="580">
        <v>4176.26</v>
      </c>
    </row>
    <row r="980" spans="1:5" x14ac:dyDescent="0.35">
      <c r="A980" s="580" t="s">
        <v>459</v>
      </c>
      <c r="B980" s="580" t="s">
        <v>301</v>
      </c>
      <c r="C980" s="580">
        <v>933408.4</v>
      </c>
      <c r="D980" s="580">
        <v>7.0699999999999999E-3</v>
      </c>
      <c r="E980" s="580">
        <v>6599.19</v>
      </c>
    </row>
    <row r="981" spans="1:5" x14ac:dyDescent="0.35">
      <c r="A981" s="580" t="s">
        <v>463</v>
      </c>
      <c r="B981" s="580" t="s">
        <v>302</v>
      </c>
      <c r="C981" s="580">
        <v>1002900</v>
      </c>
      <c r="D981" s="580">
        <v>5.2199999999999998E-3</v>
      </c>
      <c r="E981" s="580">
        <v>5235.13</v>
      </c>
    </row>
    <row r="982" spans="1:5" x14ac:dyDescent="0.35">
      <c r="A982" s="580" t="s">
        <v>462</v>
      </c>
      <c r="B982" s="580" t="s">
        <v>302</v>
      </c>
      <c r="C982" s="580">
        <v>4111</v>
      </c>
      <c r="D982" s="580">
        <v>1.2131987</v>
      </c>
      <c r="E982" s="580">
        <v>4987.46</v>
      </c>
    </row>
    <row r="983" spans="1:5" x14ac:dyDescent="0.35">
      <c r="A983" s="580" t="s">
        <v>461</v>
      </c>
      <c r="B983" s="580" t="s">
        <v>304</v>
      </c>
      <c r="C983" s="580">
        <v>27077</v>
      </c>
      <c r="D983" s="580">
        <v>1.091E-2</v>
      </c>
      <c r="E983" s="580">
        <v>295.41000000000003</v>
      </c>
    </row>
    <row r="984" spans="1:5" x14ac:dyDescent="0.35">
      <c r="A984" s="580" t="s">
        <v>460</v>
      </c>
      <c r="B984" s="580" t="s">
        <v>301</v>
      </c>
      <c r="C984" s="580">
        <v>3330.3845999999999</v>
      </c>
      <c r="D984" s="580">
        <v>1.1382976</v>
      </c>
      <c r="E984" s="580">
        <v>3790.97</v>
      </c>
    </row>
    <row r="985" spans="1:5" x14ac:dyDescent="0.35">
      <c r="A985" s="580" t="s">
        <v>460</v>
      </c>
      <c r="B985" s="580" t="s">
        <v>301</v>
      </c>
      <c r="C985" s="580">
        <v>3530.2556</v>
      </c>
      <c r="D985" s="580">
        <v>1.1383000000000001</v>
      </c>
      <c r="E985" s="580">
        <v>4018.49</v>
      </c>
    </row>
    <row r="986" spans="1:5" x14ac:dyDescent="0.35">
      <c r="A986" s="580" t="s">
        <v>458</v>
      </c>
      <c r="B986" s="580" t="s">
        <v>301</v>
      </c>
      <c r="C986" s="580">
        <v>479874</v>
      </c>
      <c r="D986" s="580">
        <v>1.091E-2</v>
      </c>
      <c r="E986" s="580">
        <v>5235.43</v>
      </c>
    </row>
    <row r="987" spans="1:5" x14ac:dyDescent="0.35">
      <c r="A987" s="580" t="s">
        <v>459</v>
      </c>
      <c r="B987" s="580" t="s">
        <v>301</v>
      </c>
      <c r="C987" s="580">
        <v>1084332.3999999999</v>
      </c>
      <c r="D987" s="580">
        <v>7.0699999999999999E-3</v>
      </c>
      <c r="E987" s="580">
        <v>7666.23</v>
      </c>
    </row>
    <row r="988" spans="1:5" x14ac:dyDescent="0.35">
      <c r="A988" s="580" t="s">
        <v>460</v>
      </c>
      <c r="B988" s="580" t="s">
        <v>301</v>
      </c>
      <c r="C988" s="580">
        <v>3555.864</v>
      </c>
      <c r="D988" s="580">
        <v>1.1383000000000001</v>
      </c>
      <c r="E988" s="580">
        <v>4047.64</v>
      </c>
    </row>
    <row r="989" spans="1:5" x14ac:dyDescent="0.35">
      <c r="A989" s="580" t="s">
        <v>463</v>
      </c>
      <c r="B989" s="580" t="s">
        <v>302</v>
      </c>
      <c r="C989" s="580">
        <v>1080300</v>
      </c>
      <c r="D989" s="580">
        <v>5.2199999999999998E-3</v>
      </c>
      <c r="E989" s="580">
        <v>5639.17</v>
      </c>
    </row>
    <row r="990" spans="1:5" x14ac:dyDescent="0.35">
      <c r="A990" s="580" t="s">
        <v>462</v>
      </c>
      <c r="B990" s="580" t="s">
        <v>302</v>
      </c>
      <c r="C990" s="580">
        <v>3876</v>
      </c>
      <c r="D990" s="580">
        <v>1.2131987</v>
      </c>
      <c r="E990" s="580">
        <v>4702.3599999999997</v>
      </c>
    </row>
    <row r="991" spans="1:5" x14ac:dyDescent="0.35">
      <c r="A991" s="580" t="s">
        <v>461</v>
      </c>
      <c r="B991" s="580" t="s">
        <v>304</v>
      </c>
      <c r="C991" s="580">
        <v>27077</v>
      </c>
      <c r="D991" s="580">
        <v>1.091E-2</v>
      </c>
      <c r="E991" s="580">
        <v>295.41000000000003</v>
      </c>
    </row>
    <row r="992" spans="1:5" x14ac:dyDescent="0.35">
      <c r="A992" s="580" t="s">
        <v>461</v>
      </c>
      <c r="B992" s="580" t="s">
        <v>304</v>
      </c>
      <c r="C992" s="580">
        <v>27077</v>
      </c>
      <c r="D992" s="580">
        <v>1.091E-2</v>
      </c>
      <c r="E992" s="580">
        <v>295.41000000000003</v>
      </c>
    </row>
    <row r="993" spans="1:5" x14ac:dyDescent="0.35">
      <c r="A993" s="580" t="s">
        <v>462</v>
      </c>
      <c r="B993" s="580" t="s">
        <v>302</v>
      </c>
      <c r="C993" s="580">
        <v>3703</v>
      </c>
      <c r="D993" s="580">
        <v>1.2131987</v>
      </c>
      <c r="E993" s="580">
        <v>4492.47</v>
      </c>
    </row>
    <row r="994" spans="1:5" x14ac:dyDescent="0.35">
      <c r="A994" s="580" t="s">
        <v>463</v>
      </c>
      <c r="B994" s="580" t="s">
        <v>302</v>
      </c>
      <c r="C994" s="580">
        <v>1204969</v>
      </c>
      <c r="D994" s="580">
        <v>5.2199999999999998E-3</v>
      </c>
      <c r="E994" s="580">
        <v>6289.94</v>
      </c>
    </row>
    <row r="995" spans="1:5" x14ac:dyDescent="0.35">
      <c r="A995" s="580" t="s">
        <v>303</v>
      </c>
      <c r="B995" s="580" t="s">
        <v>303</v>
      </c>
      <c r="C995" s="580">
        <v>1143184</v>
      </c>
      <c r="D995" s="580">
        <v>1.371E-2</v>
      </c>
      <c r="E995" s="580">
        <v>15673.05</v>
      </c>
    </row>
    <row r="996" spans="1:5" x14ac:dyDescent="0.35">
      <c r="A996" s="580" t="s">
        <v>459</v>
      </c>
      <c r="B996" s="580" t="s">
        <v>301</v>
      </c>
      <c r="C996" s="580">
        <v>1155440</v>
      </c>
      <c r="D996" s="580">
        <v>7.0699999999999999E-3</v>
      </c>
      <c r="E996" s="580">
        <v>8168.96</v>
      </c>
    </row>
    <row r="997" spans="1:5" x14ac:dyDescent="0.35">
      <c r="A997" s="580" t="s">
        <v>458</v>
      </c>
      <c r="B997" s="580" t="s">
        <v>301</v>
      </c>
      <c r="C997" s="580">
        <v>497282</v>
      </c>
      <c r="D997" s="580">
        <v>1.091E-2</v>
      </c>
      <c r="E997" s="580">
        <v>5425.33</v>
      </c>
    </row>
    <row r="998" spans="1:5" x14ac:dyDescent="0.35">
      <c r="A998" s="580" t="s">
        <v>303</v>
      </c>
      <c r="B998" s="580" t="s">
        <v>303</v>
      </c>
      <c r="C998" s="580">
        <v>1137066</v>
      </c>
      <c r="D998" s="580">
        <v>1.371E-2</v>
      </c>
      <c r="E998" s="580">
        <v>15589.18</v>
      </c>
    </row>
    <row r="999" spans="1:5" x14ac:dyDescent="0.35">
      <c r="A999" s="580" t="s">
        <v>303</v>
      </c>
      <c r="B999" s="580" t="s">
        <v>303</v>
      </c>
      <c r="C999" s="580">
        <v>915198</v>
      </c>
      <c r="D999" s="580">
        <v>1.371E-2</v>
      </c>
      <c r="E999" s="580">
        <v>12547.37</v>
      </c>
    </row>
    <row r="1000" spans="1:5" x14ac:dyDescent="0.35">
      <c r="A1000" s="580" t="s">
        <v>458</v>
      </c>
      <c r="B1000" s="580" t="s">
        <v>301</v>
      </c>
      <c r="C1000" s="580">
        <v>396693</v>
      </c>
      <c r="D1000" s="580">
        <v>1.091E-2</v>
      </c>
      <c r="E1000" s="580">
        <v>4327.92</v>
      </c>
    </row>
    <row r="1001" spans="1:5" x14ac:dyDescent="0.35">
      <c r="A1001" s="580" t="s">
        <v>459</v>
      </c>
      <c r="B1001" s="580" t="s">
        <v>301</v>
      </c>
      <c r="C1001" s="580">
        <v>941768</v>
      </c>
      <c r="D1001" s="580">
        <v>7.0699999999999999E-3</v>
      </c>
      <c r="E1001" s="580">
        <v>6658.3</v>
      </c>
    </row>
    <row r="1002" spans="1:5" x14ac:dyDescent="0.35">
      <c r="A1002" s="580" t="s">
        <v>460</v>
      </c>
      <c r="B1002" s="580" t="s">
        <v>301</v>
      </c>
      <c r="C1002" s="580">
        <v>3291</v>
      </c>
      <c r="D1002" s="580">
        <v>1.1382923</v>
      </c>
      <c r="E1002" s="580">
        <v>3746.12</v>
      </c>
    </row>
    <row r="1003" spans="1:5" x14ac:dyDescent="0.35">
      <c r="A1003" s="580" t="s">
        <v>463</v>
      </c>
      <c r="B1003" s="580" t="s">
        <v>302</v>
      </c>
      <c r="C1003" s="580">
        <v>1358184</v>
      </c>
      <c r="D1003" s="580">
        <v>5.2199999999999998E-3</v>
      </c>
      <c r="E1003" s="580">
        <v>7089.72</v>
      </c>
    </row>
    <row r="1004" spans="1:5" x14ac:dyDescent="0.35">
      <c r="A1004" s="580" t="s">
        <v>462</v>
      </c>
      <c r="B1004" s="580" t="s">
        <v>302</v>
      </c>
      <c r="C1004" s="580">
        <v>3920</v>
      </c>
      <c r="D1004" s="580">
        <v>1.2131987</v>
      </c>
      <c r="E1004" s="580">
        <v>4755.74</v>
      </c>
    </row>
    <row r="1005" spans="1:5" x14ac:dyDescent="0.35">
      <c r="A1005" s="580" t="s">
        <v>461</v>
      </c>
      <c r="B1005" s="580" t="s">
        <v>304</v>
      </c>
      <c r="C1005" s="580">
        <v>27077</v>
      </c>
      <c r="D1005" s="580">
        <v>1.091E-2</v>
      </c>
      <c r="E1005" s="580">
        <v>295.41000000000003</v>
      </c>
    </row>
    <row r="1006" spans="1:5" x14ac:dyDescent="0.35">
      <c r="A1006" s="580" t="s">
        <v>462</v>
      </c>
      <c r="B1006" s="580" t="s">
        <v>302</v>
      </c>
      <c r="C1006" s="580">
        <v>11431</v>
      </c>
      <c r="D1006" s="580">
        <v>1.2132000999999999</v>
      </c>
      <c r="E1006" s="580">
        <v>13868.09</v>
      </c>
    </row>
    <row r="1007" spans="1:5" x14ac:dyDescent="0.35">
      <c r="A1007" s="580" t="s">
        <v>463</v>
      </c>
      <c r="B1007" s="580" t="s">
        <v>302</v>
      </c>
      <c r="C1007" s="580">
        <v>2734020</v>
      </c>
      <c r="D1007" s="580">
        <v>5.2199999999999998E-3</v>
      </c>
      <c r="E1007" s="580">
        <v>14271.6</v>
      </c>
    </row>
    <row r="1008" spans="1:5" x14ac:dyDescent="0.35">
      <c r="A1008" s="580" t="s">
        <v>460</v>
      </c>
      <c r="B1008" s="580" t="s">
        <v>301</v>
      </c>
      <c r="C1008" s="580">
        <v>3715</v>
      </c>
      <c r="D1008" s="580">
        <v>1.1383365000000001</v>
      </c>
      <c r="E1008" s="580">
        <v>4228.92</v>
      </c>
    </row>
    <row r="1009" spans="1:5" x14ac:dyDescent="0.35">
      <c r="A1009" s="580" t="s">
        <v>459</v>
      </c>
      <c r="B1009" s="580" t="s">
        <v>301</v>
      </c>
      <c r="C1009" s="580">
        <v>1189949</v>
      </c>
      <c r="D1009" s="580">
        <v>7.0699999999999999E-3</v>
      </c>
      <c r="E1009" s="580">
        <v>8412.91</v>
      </c>
    </row>
    <row r="1010" spans="1:5" x14ac:dyDescent="0.35">
      <c r="A1010" s="580" t="s">
        <v>458</v>
      </c>
      <c r="B1010" s="580" t="s">
        <v>301</v>
      </c>
      <c r="C1010" s="580">
        <v>531832</v>
      </c>
      <c r="D1010" s="580">
        <v>1.091E-2</v>
      </c>
      <c r="E1010" s="580">
        <v>5802.27</v>
      </c>
    </row>
    <row r="1011" spans="1:5" x14ac:dyDescent="0.35">
      <c r="A1011" s="580" t="s">
        <v>303</v>
      </c>
      <c r="B1011" s="580" t="s">
        <v>303</v>
      </c>
      <c r="C1011" s="580">
        <v>1902569</v>
      </c>
      <c r="D1011" s="580">
        <v>1.3710099999999999E-2</v>
      </c>
      <c r="E1011" s="580">
        <v>26084.49</v>
      </c>
    </row>
    <row r="1012" spans="1:5" x14ac:dyDescent="0.35">
      <c r="A1012" s="580" t="s">
        <v>461</v>
      </c>
      <c r="B1012" s="580" t="s">
        <v>304</v>
      </c>
      <c r="C1012" s="580">
        <v>27077</v>
      </c>
      <c r="D1012" s="580">
        <v>1.091E-2</v>
      </c>
      <c r="E1012" s="580">
        <v>295.41000000000003</v>
      </c>
    </row>
    <row r="1013" spans="1:5" x14ac:dyDescent="0.35">
      <c r="A1013" s="580" t="s">
        <v>462</v>
      </c>
      <c r="B1013" s="580" t="s">
        <v>302</v>
      </c>
      <c r="C1013" s="580">
        <v>10495</v>
      </c>
      <c r="D1013" s="580">
        <v>1.2131996</v>
      </c>
      <c r="E1013" s="580">
        <v>12732.53</v>
      </c>
    </row>
    <row r="1014" spans="1:5" x14ac:dyDescent="0.35">
      <c r="A1014" s="580" t="s">
        <v>463</v>
      </c>
      <c r="B1014" s="580" t="s">
        <v>302</v>
      </c>
      <c r="C1014" s="580">
        <v>2360586</v>
      </c>
      <c r="D1014" s="580">
        <v>5.2199999999999998E-3</v>
      </c>
      <c r="E1014" s="580">
        <v>12322.25</v>
      </c>
    </row>
    <row r="1015" spans="1:5" x14ac:dyDescent="0.35">
      <c r="A1015" s="580" t="s">
        <v>460</v>
      </c>
      <c r="B1015" s="580" t="s">
        <v>301</v>
      </c>
      <c r="C1015" s="580">
        <v>3301</v>
      </c>
      <c r="D1015" s="580">
        <v>1.1384186999999999</v>
      </c>
      <c r="E1015" s="580">
        <v>3757.92</v>
      </c>
    </row>
    <row r="1016" spans="1:5" x14ac:dyDescent="0.35">
      <c r="A1016" s="580" t="s">
        <v>459</v>
      </c>
      <c r="B1016" s="580" t="s">
        <v>301</v>
      </c>
      <c r="C1016" s="580">
        <v>887345</v>
      </c>
      <c r="D1016" s="580">
        <v>7.0699999999999999E-3</v>
      </c>
      <c r="E1016" s="580">
        <v>6273.56</v>
      </c>
    </row>
    <row r="1017" spans="1:5" x14ac:dyDescent="0.35">
      <c r="A1017" s="580" t="s">
        <v>458</v>
      </c>
      <c r="B1017" s="580" t="s">
        <v>301</v>
      </c>
      <c r="C1017" s="580">
        <v>397161</v>
      </c>
      <c r="D1017" s="580">
        <v>1.0910100000000001E-2</v>
      </c>
      <c r="E1017" s="580">
        <v>4333.05</v>
      </c>
    </row>
    <row r="1018" spans="1:5" x14ac:dyDescent="0.35">
      <c r="A1018" s="580" t="s">
        <v>303</v>
      </c>
      <c r="B1018" s="580" t="s">
        <v>303</v>
      </c>
      <c r="C1018" s="580">
        <v>1247433</v>
      </c>
      <c r="D1018" s="580">
        <v>1.3710099999999999E-2</v>
      </c>
      <c r="E1018" s="580">
        <v>17102.490000000002</v>
      </c>
    </row>
    <row r="1019" spans="1:5" x14ac:dyDescent="0.35">
      <c r="A1019" s="580" t="s">
        <v>461</v>
      </c>
      <c r="B1019" s="580" t="s">
        <v>304</v>
      </c>
      <c r="C1019" s="580">
        <v>27077</v>
      </c>
      <c r="D1019" s="580">
        <v>1.091E-2</v>
      </c>
      <c r="E1019" s="580">
        <v>295.41000000000003</v>
      </c>
    </row>
    <row r="1020" spans="1:5" x14ac:dyDescent="0.35">
      <c r="A1020" s="580" t="s">
        <v>462</v>
      </c>
      <c r="B1020" s="580" t="s">
        <v>302</v>
      </c>
      <c r="C1020" s="580">
        <v>4029</v>
      </c>
      <c r="D1020" s="580">
        <v>1.2131987</v>
      </c>
      <c r="E1020" s="580">
        <v>4887.9799999999996</v>
      </c>
    </row>
    <row r="1021" spans="1:5" x14ac:dyDescent="0.35">
      <c r="A1021" s="580" t="s">
        <v>463</v>
      </c>
      <c r="B1021" s="580" t="s">
        <v>302</v>
      </c>
      <c r="C1021" s="580">
        <v>1481520</v>
      </c>
      <c r="D1021" s="580">
        <v>5.2199999999999998E-3</v>
      </c>
      <c r="E1021" s="580">
        <v>7733.53</v>
      </c>
    </row>
    <row r="1022" spans="1:5" x14ac:dyDescent="0.35">
      <c r="A1022" s="580" t="s">
        <v>460</v>
      </c>
      <c r="B1022" s="580" t="s">
        <v>301</v>
      </c>
      <c r="C1022" s="580">
        <v>3425</v>
      </c>
      <c r="D1022" s="580">
        <v>1.1383007000000001</v>
      </c>
      <c r="E1022" s="580">
        <v>3898.68</v>
      </c>
    </row>
    <row r="1023" spans="1:5" x14ac:dyDescent="0.35">
      <c r="A1023" s="580" t="s">
        <v>459</v>
      </c>
      <c r="B1023" s="580" t="s">
        <v>301</v>
      </c>
      <c r="C1023" s="580">
        <v>945356</v>
      </c>
      <c r="D1023" s="580">
        <v>7.0698999999999996E-3</v>
      </c>
      <c r="E1023" s="580">
        <v>6683.61</v>
      </c>
    </row>
    <row r="1024" spans="1:5" x14ac:dyDescent="0.35">
      <c r="A1024" s="580" t="s">
        <v>458</v>
      </c>
      <c r="B1024" s="580" t="s">
        <v>301</v>
      </c>
      <c r="C1024" s="580">
        <v>388679</v>
      </c>
      <c r="D1024" s="580">
        <v>1.09096E-2</v>
      </c>
      <c r="E1024" s="580">
        <v>4240.34</v>
      </c>
    </row>
    <row r="1025" spans="1:5" x14ac:dyDescent="0.35">
      <c r="A1025" s="580" t="s">
        <v>303</v>
      </c>
      <c r="B1025" s="580" t="s">
        <v>303</v>
      </c>
      <c r="C1025" s="580">
        <v>1005429</v>
      </c>
      <c r="D1025" s="580">
        <v>1.371E-2</v>
      </c>
      <c r="E1025" s="580">
        <v>13784.42</v>
      </c>
    </row>
    <row r="1026" spans="1:5" x14ac:dyDescent="0.35">
      <c r="A1026" s="580" t="s">
        <v>461</v>
      </c>
      <c r="B1026" s="580" t="s">
        <v>304</v>
      </c>
      <c r="C1026" s="580">
        <v>27077</v>
      </c>
      <c r="D1026" s="580">
        <v>1.091E-2</v>
      </c>
      <c r="E1026" s="580">
        <v>295.41000000000003</v>
      </c>
    </row>
    <row r="1027" spans="1:5" x14ac:dyDescent="0.35">
      <c r="A1027" s="580" t="s">
        <v>461</v>
      </c>
      <c r="B1027" s="580" t="s">
        <v>304</v>
      </c>
      <c r="C1027" s="580">
        <v>12677</v>
      </c>
      <c r="D1027" s="580">
        <v>1.09E-2</v>
      </c>
      <c r="E1027" s="580">
        <v>138.18</v>
      </c>
    </row>
    <row r="1028" spans="1:5" x14ac:dyDescent="0.35">
      <c r="A1028" s="580" t="s">
        <v>303</v>
      </c>
      <c r="B1028" s="580" t="s">
        <v>303</v>
      </c>
      <c r="C1028" s="580">
        <v>6260974</v>
      </c>
      <c r="D1028" s="580">
        <v>1.413E-2</v>
      </c>
      <c r="E1028" s="580">
        <v>88467.56</v>
      </c>
    </row>
    <row r="1029" spans="1:5" x14ac:dyDescent="0.35">
      <c r="A1029" s="580" t="s">
        <v>460</v>
      </c>
      <c r="B1029" s="580" t="s">
        <v>301</v>
      </c>
      <c r="C1029" s="580">
        <v>900.654</v>
      </c>
      <c r="D1029" s="580">
        <v>1.1383099999999999</v>
      </c>
      <c r="E1029" s="580">
        <v>1025.22</v>
      </c>
    </row>
    <row r="1030" spans="1:5" ht="12.75" customHeight="1" x14ac:dyDescent="0.45">
      <c r="A1030" s="580" t="s">
        <v>459</v>
      </c>
      <c r="B1030" s="580" t="s">
        <v>301</v>
      </c>
      <c r="C1030" s="279">
        <v>299967</v>
      </c>
      <c r="D1030" s="581">
        <v>7.0000000000000001E-3</v>
      </c>
      <c r="E1030" s="279">
        <v>2099.77</v>
      </c>
    </row>
    <row r="1031" spans="1:5" x14ac:dyDescent="0.35">
      <c r="A1031" s="580" t="s">
        <v>458</v>
      </c>
      <c r="B1031" s="580" t="s">
        <v>301</v>
      </c>
      <c r="C1031" s="580">
        <v>499369</v>
      </c>
      <c r="D1031" s="580">
        <v>1.091E-2</v>
      </c>
      <c r="E1031" s="580">
        <v>5448.11</v>
      </c>
    </row>
    <row r="1032" spans="1:5" x14ac:dyDescent="0.35">
      <c r="A1032" s="580" t="s">
        <v>461</v>
      </c>
      <c r="B1032" s="580" t="s">
        <v>304</v>
      </c>
      <c r="C1032" s="580">
        <v>12738</v>
      </c>
      <c r="D1032" s="580">
        <v>1.091E-2</v>
      </c>
      <c r="E1032" s="580">
        <v>138.97</v>
      </c>
    </row>
    <row r="1033" spans="1:5" x14ac:dyDescent="0.35">
      <c r="A1033" s="580" t="s">
        <v>459</v>
      </c>
      <c r="B1033" s="580" t="s">
        <v>301</v>
      </c>
      <c r="C1033" s="580">
        <v>313872</v>
      </c>
      <c r="D1033" s="580">
        <v>7.0699999999999999E-3</v>
      </c>
      <c r="E1033" s="580">
        <v>2219.0700000000002</v>
      </c>
    </row>
    <row r="1034" spans="1:5" x14ac:dyDescent="0.35">
      <c r="A1034" s="580" t="s">
        <v>458</v>
      </c>
      <c r="B1034" s="580" t="s">
        <v>301</v>
      </c>
      <c r="C1034" s="580">
        <v>438223</v>
      </c>
      <c r="D1034" s="580">
        <v>1.091E-2</v>
      </c>
      <c r="E1034" s="580">
        <v>4781.01</v>
      </c>
    </row>
    <row r="1035" spans="1:5" x14ac:dyDescent="0.35">
      <c r="A1035" s="580" t="s">
        <v>303</v>
      </c>
      <c r="B1035" s="580" t="s">
        <v>303</v>
      </c>
      <c r="C1035" s="580">
        <v>5227798</v>
      </c>
      <c r="D1035" s="580">
        <v>1.371E-2</v>
      </c>
      <c r="E1035" s="580">
        <v>71673.11</v>
      </c>
    </row>
    <row r="1036" spans="1:5" x14ac:dyDescent="0.35">
      <c r="A1036" s="580" t="s">
        <v>460</v>
      </c>
      <c r="B1036" s="580" t="s">
        <v>301</v>
      </c>
      <c r="C1036" s="580">
        <v>1004.776</v>
      </c>
      <c r="D1036" s="580">
        <v>1.1382836000000001</v>
      </c>
      <c r="E1036" s="580">
        <v>1143.72</v>
      </c>
    </row>
    <row r="1037" spans="1:5" x14ac:dyDescent="0.35">
      <c r="A1037" s="580" t="s">
        <v>458</v>
      </c>
      <c r="B1037" s="580" t="s">
        <v>301</v>
      </c>
      <c r="C1037" s="580">
        <v>431010</v>
      </c>
      <c r="D1037" s="580">
        <v>1.091E-2</v>
      </c>
      <c r="E1037" s="580">
        <v>4702.32</v>
      </c>
    </row>
    <row r="1038" spans="1:5" x14ac:dyDescent="0.35">
      <c r="A1038" s="580" t="s">
        <v>459</v>
      </c>
      <c r="B1038" s="580" t="s">
        <v>301</v>
      </c>
      <c r="C1038" s="580">
        <v>358292</v>
      </c>
      <c r="D1038" s="580">
        <v>7.0699999999999999E-3</v>
      </c>
      <c r="E1038" s="580">
        <v>2533.13</v>
      </c>
    </row>
    <row r="1039" spans="1:5" x14ac:dyDescent="0.35">
      <c r="A1039" s="580" t="s">
        <v>460</v>
      </c>
      <c r="B1039" s="580" t="s">
        <v>301</v>
      </c>
      <c r="C1039" s="580">
        <v>1060.0540000000001</v>
      </c>
      <c r="D1039" s="580">
        <v>1.1383000000000001</v>
      </c>
      <c r="E1039" s="580">
        <v>1206.6600000000001</v>
      </c>
    </row>
    <row r="1040" spans="1:5" x14ac:dyDescent="0.35">
      <c r="A1040" s="580" t="s">
        <v>461</v>
      </c>
      <c r="B1040" s="580" t="s">
        <v>304</v>
      </c>
      <c r="C1040" s="580">
        <v>12701</v>
      </c>
      <c r="D1040" s="580">
        <v>1.091E-2</v>
      </c>
      <c r="E1040" s="580">
        <v>138.57</v>
      </c>
    </row>
    <row r="1041" spans="1:5" x14ac:dyDescent="0.35">
      <c r="A1041" s="580" t="s">
        <v>303</v>
      </c>
      <c r="B1041" s="580" t="s">
        <v>303</v>
      </c>
      <c r="C1041" s="580">
        <v>6020787</v>
      </c>
      <c r="D1041" s="580">
        <v>1.371E-2</v>
      </c>
      <c r="E1041" s="580">
        <v>82544.990000000005</v>
      </c>
    </row>
    <row r="1042" spans="1:5" x14ac:dyDescent="0.35">
      <c r="A1042" s="580" t="s">
        <v>461</v>
      </c>
      <c r="B1042" s="580" t="s">
        <v>304</v>
      </c>
      <c r="C1042" s="580">
        <v>12638</v>
      </c>
      <c r="D1042" s="580">
        <v>1.091E-2</v>
      </c>
      <c r="E1042" s="580">
        <v>137.88</v>
      </c>
    </row>
    <row r="1043" spans="1:5" x14ac:dyDescent="0.35">
      <c r="A1043" s="580" t="s">
        <v>460</v>
      </c>
      <c r="B1043" s="580" t="s">
        <v>301</v>
      </c>
      <c r="C1043" s="580">
        <v>851.70899999999995</v>
      </c>
      <c r="D1043" s="580">
        <v>1.1383000000000001</v>
      </c>
      <c r="E1043" s="580">
        <v>969.5</v>
      </c>
    </row>
    <row r="1044" spans="1:5" x14ac:dyDescent="0.35">
      <c r="A1044" s="580" t="s">
        <v>459</v>
      </c>
      <c r="B1044" s="580" t="s">
        <v>301</v>
      </c>
      <c r="C1044" s="580">
        <v>290783</v>
      </c>
      <c r="D1044" s="580">
        <v>7.0699999999999999E-3</v>
      </c>
      <c r="E1044" s="580">
        <v>2055.84</v>
      </c>
    </row>
    <row r="1045" spans="1:5" x14ac:dyDescent="0.35">
      <c r="A1045" s="580" t="s">
        <v>458</v>
      </c>
      <c r="B1045" s="580" t="s">
        <v>301</v>
      </c>
      <c r="C1045" s="580">
        <v>480517</v>
      </c>
      <c r="D1045" s="580">
        <v>1.091E-2</v>
      </c>
      <c r="E1045" s="580">
        <v>5242.4399999999996</v>
      </c>
    </row>
    <row r="1046" spans="1:5" x14ac:dyDescent="0.35">
      <c r="A1046" s="580" t="s">
        <v>303</v>
      </c>
      <c r="B1046" s="580" t="s">
        <v>303</v>
      </c>
      <c r="C1046" s="580">
        <v>5191606</v>
      </c>
      <c r="D1046" s="580">
        <v>1.371E-2</v>
      </c>
      <c r="E1046" s="580">
        <v>71176.92</v>
      </c>
    </row>
    <row r="1047" spans="1:5" x14ac:dyDescent="0.35">
      <c r="A1047" s="580" t="s">
        <v>461</v>
      </c>
      <c r="B1047" s="580" t="s">
        <v>304</v>
      </c>
      <c r="C1047" s="580">
        <v>12635</v>
      </c>
      <c r="D1047" s="580">
        <v>1.091E-2</v>
      </c>
      <c r="E1047" s="580">
        <v>137.85</v>
      </c>
    </row>
    <row r="1048" spans="1:5" x14ac:dyDescent="0.35">
      <c r="A1048" s="580" t="s">
        <v>460</v>
      </c>
      <c r="B1048" s="580" t="s">
        <v>301</v>
      </c>
      <c r="C1048" s="580">
        <v>957.11199999999997</v>
      </c>
      <c r="D1048" s="580">
        <v>1.1383098</v>
      </c>
      <c r="E1048" s="580">
        <v>1089.49</v>
      </c>
    </row>
    <row r="1049" spans="1:5" x14ac:dyDescent="0.35">
      <c r="A1049" s="580" t="s">
        <v>459</v>
      </c>
      <c r="B1049" s="580" t="s">
        <v>301</v>
      </c>
      <c r="C1049" s="580">
        <v>295039</v>
      </c>
      <c r="D1049" s="580">
        <v>7.0699999999999999E-3</v>
      </c>
      <c r="E1049" s="580">
        <v>2085.9299999999998</v>
      </c>
    </row>
    <row r="1050" spans="1:5" x14ac:dyDescent="0.35">
      <c r="A1050" s="580" t="s">
        <v>458</v>
      </c>
      <c r="B1050" s="580" t="s">
        <v>301</v>
      </c>
      <c r="C1050" s="580">
        <v>428892</v>
      </c>
      <c r="D1050" s="580">
        <v>1.091E-2</v>
      </c>
      <c r="E1050" s="580">
        <v>4679.21</v>
      </c>
    </row>
    <row r="1051" spans="1:5" x14ac:dyDescent="0.35">
      <c r="A1051" s="580" t="s">
        <v>303</v>
      </c>
      <c r="B1051" s="580" t="s">
        <v>303</v>
      </c>
      <c r="C1051" s="580">
        <v>4776483</v>
      </c>
      <c r="D1051" s="580">
        <v>1.371E-2</v>
      </c>
      <c r="E1051" s="580">
        <v>65485.58</v>
      </c>
    </row>
    <row r="1052" spans="1:5" x14ac:dyDescent="0.35">
      <c r="A1052" s="580" t="s">
        <v>458</v>
      </c>
      <c r="B1052" s="580" t="s">
        <v>301</v>
      </c>
      <c r="C1052" s="580">
        <v>398152</v>
      </c>
      <c r="D1052" s="580">
        <v>1.091E-2</v>
      </c>
      <c r="E1052" s="580">
        <v>4343.84</v>
      </c>
    </row>
    <row r="1053" spans="1:5" x14ac:dyDescent="0.35">
      <c r="A1053" s="580" t="s">
        <v>459</v>
      </c>
      <c r="B1053" s="580" t="s">
        <v>301</v>
      </c>
      <c r="C1053" s="580">
        <v>327552</v>
      </c>
      <c r="D1053" s="580">
        <v>7.0699999999999999E-3</v>
      </c>
      <c r="E1053" s="580">
        <v>2315.8000000000002</v>
      </c>
    </row>
    <row r="1054" spans="1:5" x14ac:dyDescent="0.35">
      <c r="A1054" s="580" t="s">
        <v>460</v>
      </c>
      <c r="B1054" s="580" t="s">
        <v>301</v>
      </c>
      <c r="C1054" s="580">
        <v>974.46600000000001</v>
      </c>
      <c r="D1054" s="580">
        <v>1.1382952</v>
      </c>
      <c r="E1054" s="580">
        <v>1109.23</v>
      </c>
    </row>
    <row r="1055" spans="1:5" x14ac:dyDescent="0.35">
      <c r="A1055" s="580" t="s">
        <v>461</v>
      </c>
      <c r="B1055" s="580" t="s">
        <v>304</v>
      </c>
      <c r="C1055" s="580">
        <v>12825</v>
      </c>
      <c r="D1055" s="580">
        <v>1.091E-2</v>
      </c>
      <c r="E1055" s="580">
        <v>139.91999999999999</v>
      </c>
    </row>
    <row r="1056" spans="1:5" x14ac:dyDescent="0.35">
      <c r="A1056" s="580" t="s">
        <v>303</v>
      </c>
      <c r="B1056" s="580" t="s">
        <v>303</v>
      </c>
      <c r="C1056" s="580">
        <v>4485570</v>
      </c>
      <c r="D1056" s="580">
        <v>1.371E-2</v>
      </c>
      <c r="E1056" s="580">
        <v>61497.17</v>
      </c>
    </row>
    <row r="1057" spans="1:5" x14ac:dyDescent="0.35">
      <c r="A1057" s="580" t="s">
        <v>458</v>
      </c>
      <c r="B1057" s="580" t="s">
        <v>301</v>
      </c>
      <c r="C1057" s="580">
        <v>404399</v>
      </c>
      <c r="D1057" s="580">
        <v>1.091E-2</v>
      </c>
      <c r="E1057" s="580">
        <v>4411.99</v>
      </c>
    </row>
    <row r="1058" spans="1:5" x14ac:dyDescent="0.35">
      <c r="A1058" s="580" t="s">
        <v>459</v>
      </c>
      <c r="B1058" s="580" t="s">
        <v>301</v>
      </c>
      <c r="C1058" s="580">
        <v>328876</v>
      </c>
      <c r="D1058" s="580">
        <v>7.0699999999999999E-3</v>
      </c>
      <c r="E1058" s="580">
        <v>2325.15</v>
      </c>
    </row>
    <row r="1059" spans="1:5" x14ac:dyDescent="0.35">
      <c r="A1059" s="580" t="s">
        <v>460</v>
      </c>
      <c r="B1059" s="580" t="s">
        <v>301</v>
      </c>
      <c r="C1059" s="580">
        <v>988.68399999999997</v>
      </c>
      <c r="D1059" s="580">
        <v>1.138301</v>
      </c>
      <c r="E1059" s="580">
        <v>1125.42</v>
      </c>
    </row>
    <row r="1060" spans="1:5" x14ac:dyDescent="0.35">
      <c r="A1060" s="580" t="s">
        <v>461</v>
      </c>
      <c r="B1060" s="580" t="s">
        <v>304</v>
      </c>
      <c r="C1060" s="580">
        <v>12993</v>
      </c>
      <c r="D1060" s="580">
        <v>1.091E-2</v>
      </c>
      <c r="E1060" s="580">
        <v>141.75</v>
      </c>
    </row>
    <row r="1061" spans="1:5" x14ac:dyDescent="0.35">
      <c r="A1061" s="580" t="s">
        <v>303</v>
      </c>
      <c r="B1061" s="580" t="s">
        <v>303</v>
      </c>
      <c r="C1061" s="580">
        <v>4604465</v>
      </c>
      <c r="D1061" s="580">
        <v>1.371E-2</v>
      </c>
      <c r="E1061" s="580">
        <v>63127.22</v>
      </c>
    </row>
    <row r="1062" spans="1:5" x14ac:dyDescent="0.35">
      <c r="A1062" s="580" t="s">
        <v>459</v>
      </c>
      <c r="B1062" s="580" t="s">
        <v>301</v>
      </c>
      <c r="C1062" s="580">
        <v>327643</v>
      </c>
      <c r="D1062" s="580">
        <v>7.0699999999999999E-3</v>
      </c>
      <c r="E1062" s="580">
        <v>2316.4299999999998</v>
      </c>
    </row>
    <row r="1063" spans="1:5" x14ac:dyDescent="0.35">
      <c r="A1063" s="580" t="s">
        <v>460</v>
      </c>
      <c r="B1063" s="580" t="s">
        <v>301</v>
      </c>
      <c r="C1063" s="580">
        <v>976.99400000000003</v>
      </c>
      <c r="D1063" s="580">
        <v>1.138301</v>
      </c>
      <c r="E1063" s="580">
        <v>1112.1099999999999</v>
      </c>
    </row>
    <row r="1064" spans="1:5" ht="12.75" customHeight="1" x14ac:dyDescent="0.45">
      <c r="A1064" s="580" t="s">
        <v>303</v>
      </c>
      <c r="B1064" s="580" t="s">
        <v>303</v>
      </c>
      <c r="C1064" s="279">
        <v>5264143</v>
      </c>
      <c r="D1064" s="581">
        <v>1.371E-2</v>
      </c>
      <c r="E1064" s="279">
        <v>72171.399999999994</v>
      </c>
    </row>
    <row r="1065" spans="1:5" x14ac:dyDescent="0.35">
      <c r="A1065" s="580" t="s">
        <v>461</v>
      </c>
      <c r="B1065" s="580" t="s">
        <v>304</v>
      </c>
      <c r="C1065" s="580">
        <v>12913</v>
      </c>
      <c r="D1065" s="580">
        <v>1.091E-2</v>
      </c>
      <c r="E1065" s="580">
        <v>140.88</v>
      </c>
    </row>
    <row r="1066" spans="1:5" x14ac:dyDescent="0.35">
      <c r="A1066" s="580" t="s">
        <v>458</v>
      </c>
      <c r="B1066" s="580" t="s">
        <v>301</v>
      </c>
      <c r="C1066" s="580">
        <v>431369</v>
      </c>
      <c r="D1066" s="580">
        <v>1.091E-2</v>
      </c>
      <c r="E1066" s="580">
        <v>4706.2299999999996</v>
      </c>
    </row>
    <row r="1067" spans="1:5" x14ac:dyDescent="0.35">
      <c r="A1067" s="580" t="s">
        <v>461</v>
      </c>
      <c r="B1067" s="580" t="s">
        <v>304</v>
      </c>
      <c r="C1067" s="580">
        <v>12738</v>
      </c>
      <c r="D1067" s="580">
        <v>1.091E-2</v>
      </c>
      <c r="E1067" s="580">
        <v>138.97</v>
      </c>
    </row>
    <row r="1068" spans="1:5" x14ac:dyDescent="0.35">
      <c r="A1068" s="580" t="s">
        <v>460</v>
      </c>
      <c r="B1068" s="580" t="s">
        <v>301</v>
      </c>
      <c r="C1068" s="580">
        <v>981.93499999999995</v>
      </c>
      <c r="D1068" s="580">
        <v>1.138301</v>
      </c>
      <c r="E1068" s="580">
        <v>1117.74</v>
      </c>
    </row>
    <row r="1069" spans="1:5" x14ac:dyDescent="0.35">
      <c r="A1069" s="580" t="s">
        <v>459</v>
      </c>
      <c r="B1069" s="580" t="s">
        <v>301</v>
      </c>
      <c r="C1069" s="580">
        <v>322957</v>
      </c>
      <c r="D1069" s="580">
        <v>7.0699999999999999E-3</v>
      </c>
      <c r="E1069" s="580">
        <v>2283.31</v>
      </c>
    </row>
    <row r="1070" spans="1:5" x14ac:dyDescent="0.35">
      <c r="A1070" s="580" t="s">
        <v>458</v>
      </c>
      <c r="B1070" s="580" t="s">
        <v>301</v>
      </c>
      <c r="C1070" s="580">
        <v>401183</v>
      </c>
      <c r="D1070" s="580">
        <v>1.091E-2</v>
      </c>
      <c r="E1070" s="580">
        <v>4376.8999999999996</v>
      </c>
    </row>
    <row r="1071" spans="1:5" x14ac:dyDescent="0.35">
      <c r="A1071" s="580" t="s">
        <v>303</v>
      </c>
      <c r="B1071" s="580" t="s">
        <v>303</v>
      </c>
      <c r="C1071" s="580">
        <v>4697032</v>
      </c>
      <c r="D1071" s="580">
        <v>1.371E-2</v>
      </c>
      <c r="E1071" s="580">
        <v>64396.3</v>
      </c>
    </row>
    <row r="1072" spans="1:5" x14ac:dyDescent="0.35">
      <c r="A1072" s="580" t="s">
        <v>461</v>
      </c>
      <c r="B1072" s="580" t="s">
        <v>304</v>
      </c>
      <c r="C1072" s="580">
        <v>12651</v>
      </c>
      <c r="D1072" s="580">
        <v>1.091E-2</v>
      </c>
      <c r="E1072" s="580">
        <v>138.02000000000001</v>
      </c>
    </row>
    <row r="1073" spans="1:5" x14ac:dyDescent="0.35">
      <c r="A1073" s="580" t="s">
        <v>459</v>
      </c>
      <c r="B1073" s="580" t="s">
        <v>301</v>
      </c>
      <c r="C1073" s="580">
        <v>333733</v>
      </c>
      <c r="D1073" s="580">
        <v>7.0699999999999999E-3</v>
      </c>
      <c r="E1073" s="580">
        <v>2359.5</v>
      </c>
    </row>
    <row r="1074" spans="1:5" x14ac:dyDescent="0.35">
      <c r="A1074" s="580" t="s">
        <v>458</v>
      </c>
      <c r="B1074" s="580" t="s">
        <v>301</v>
      </c>
      <c r="C1074" s="580">
        <v>403284</v>
      </c>
      <c r="D1074" s="580">
        <v>1.091E-2</v>
      </c>
      <c r="E1074" s="580">
        <v>4399.83</v>
      </c>
    </row>
    <row r="1075" spans="1:5" x14ac:dyDescent="0.35">
      <c r="A1075" s="580" t="s">
        <v>303</v>
      </c>
      <c r="B1075" s="580" t="s">
        <v>303</v>
      </c>
      <c r="C1075" s="580">
        <v>4647722</v>
      </c>
      <c r="D1075" s="580">
        <v>1.371E-2</v>
      </c>
      <c r="E1075" s="580">
        <v>63720.27</v>
      </c>
    </row>
    <row r="1076" spans="1:5" x14ac:dyDescent="0.35">
      <c r="A1076" s="580" t="s">
        <v>460</v>
      </c>
      <c r="B1076" s="580" t="s">
        <v>301</v>
      </c>
      <c r="C1076" s="580">
        <v>965.88499999999999</v>
      </c>
      <c r="D1076" s="580">
        <v>1.138301</v>
      </c>
      <c r="E1076" s="580">
        <v>1099.47</v>
      </c>
    </row>
    <row r="1077" spans="1:5" x14ac:dyDescent="0.35">
      <c r="A1077" s="580" t="s">
        <v>461</v>
      </c>
      <c r="B1077" s="580" t="s">
        <v>304</v>
      </c>
      <c r="C1077" s="580">
        <v>12682</v>
      </c>
      <c r="D1077" s="580">
        <v>1.091E-2</v>
      </c>
      <c r="E1077" s="580">
        <v>138.36000000000001</v>
      </c>
    </row>
    <row r="1078" spans="1:5" x14ac:dyDescent="0.35">
      <c r="A1078" s="580" t="s">
        <v>460</v>
      </c>
      <c r="B1078" s="580" t="s">
        <v>301</v>
      </c>
      <c r="C1078" s="580">
        <v>982.93</v>
      </c>
      <c r="D1078" s="580">
        <v>1.138301</v>
      </c>
      <c r="E1078" s="580">
        <v>1118.8699999999999</v>
      </c>
    </row>
    <row r="1079" spans="1:5" x14ac:dyDescent="0.35">
      <c r="A1079" s="580" t="s">
        <v>459</v>
      </c>
      <c r="B1079" s="580" t="s">
        <v>301</v>
      </c>
      <c r="C1079" s="580">
        <v>306930</v>
      </c>
      <c r="D1079" s="580">
        <v>7.0699999999999999E-3</v>
      </c>
      <c r="E1079" s="580">
        <v>2170.0100000000002</v>
      </c>
    </row>
    <row r="1080" spans="1:5" x14ac:dyDescent="0.35">
      <c r="A1080" s="580" t="s">
        <v>458</v>
      </c>
      <c r="B1080" s="580" t="s">
        <v>301</v>
      </c>
      <c r="C1080" s="580">
        <v>379460</v>
      </c>
      <c r="D1080" s="580">
        <v>1.091E-2</v>
      </c>
      <c r="E1080" s="580">
        <v>4139.91</v>
      </c>
    </row>
    <row r="1081" spans="1:5" x14ac:dyDescent="0.35">
      <c r="A1081" s="580" t="s">
        <v>303</v>
      </c>
      <c r="B1081" s="580" t="s">
        <v>303</v>
      </c>
      <c r="C1081" s="580">
        <v>4743370</v>
      </c>
      <c r="D1081" s="580">
        <v>1.371E-2</v>
      </c>
      <c r="E1081" s="580">
        <v>65031.6</v>
      </c>
    </row>
    <row r="1082" spans="1:5" x14ac:dyDescent="0.35">
      <c r="A1082" s="580" t="s">
        <v>461</v>
      </c>
      <c r="B1082" s="580" t="s">
        <v>304</v>
      </c>
      <c r="C1082" s="580">
        <v>12248</v>
      </c>
      <c r="D1082" s="580">
        <v>1.091E-2</v>
      </c>
      <c r="E1082" s="580">
        <v>133.63</v>
      </c>
    </row>
    <row r="1083" spans="1:5" x14ac:dyDescent="0.35">
      <c r="A1083" s="580" t="s">
        <v>460</v>
      </c>
      <c r="B1083" s="580" t="s">
        <v>301</v>
      </c>
      <c r="C1083" s="580">
        <v>959.649</v>
      </c>
      <c r="D1083" s="580">
        <v>1.1382912000000001</v>
      </c>
      <c r="E1083" s="580">
        <v>1092.3599999999999</v>
      </c>
    </row>
    <row r="1084" spans="1:5" x14ac:dyDescent="0.35">
      <c r="A1084" s="580" t="s">
        <v>459</v>
      </c>
      <c r="B1084" s="580" t="s">
        <v>301</v>
      </c>
      <c r="C1084" s="580">
        <v>328492</v>
      </c>
      <c r="D1084" s="580">
        <v>7.0699999999999999E-3</v>
      </c>
      <c r="E1084" s="580">
        <v>2322.44</v>
      </c>
    </row>
    <row r="1085" spans="1:5" x14ac:dyDescent="0.35">
      <c r="A1085" s="580" t="s">
        <v>458</v>
      </c>
      <c r="B1085" s="580" t="s">
        <v>301</v>
      </c>
      <c r="C1085" s="580">
        <v>420861</v>
      </c>
      <c r="D1085" s="580">
        <v>1.091E-2</v>
      </c>
      <c r="E1085" s="580">
        <v>4591.59</v>
      </c>
    </row>
    <row r="1086" spans="1:5" x14ac:dyDescent="0.35">
      <c r="A1086" s="580" t="s">
        <v>303</v>
      </c>
      <c r="B1086" s="580" t="s">
        <v>303</v>
      </c>
      <c r="C1086" s="580">
        <v>5550276</v>
      </c>
      <c r="D1086" s="580">
        <v>1.371E-2</v>
      </c>
      <c r="E1086" s="580">
        <v>76094.28</v>
      </c>
    </row>
    <row r="1087" spans="1:5" x14ac:dyDescent="0.35">
      <c r="A1087" s="580"/>
      <c r="B1087" s="580"/>
      <c r="C1087" s="580"/>
      <c r="D1087" s="580"/>
      <c r="E1087" s="580">
        <f>SUM(E5:E1086)</f>
        <v>51757037.779999956</v>
      </c>
    </row>
    <row r="1088" spans="1:5" x14ac:dyDescent="0.35">
      <c r="A1088" s="580"/>
      <c r="B1088" s="580"/>
      <c r="C1088" s="580"/>
      <c r="D1088" s="580"/>
      <c r="E1088" s="580"/>
    </row>
    <row r="1089" spans="1:5" x14ac:dyDescent="0.35">
      <c r="A1089" s="580"/>
      <c r="B1089" s="580"/>
      <c r="C1089" s="580"/>
      <c r="D1089" s="580"/>
      <c r="E1089" s="580"/>
    </row>
    <row r="1090" spans="1:5" x14ac:dyDescent="0.35">
      <c r="A1090" s="580"/>
      <c r="B1090" s="580"/>
      <c r="C1090" s="580"/>
      <c r="D1090" s="580"/>
      <c r="E1090" s="580"/>
    </row>
    <row r="1091" spans="1:5" x14ac:dyDescent="0.35">
      <c r="A1091" s="580"/>
      <c r="B1091" s="580"/>
      <c r="C1091" s="580"/>
      <c r="D1091" s="580"/>
      <c r="E1091" s="580"/>
    </row>
    <row r="1092" spans="1:5" x14ac:dyDescent="0.35">
      <c r="A1092" s="580"/>
      <c r="B1092" s="580"/>
      <c r="C1092" s="580"/>
      <c r="D1092" s="580"/>
      <c r="E1092" s="580"/>
    </row>
    <row r="1093" spans="1:5" x14ac:dyDescent="0.35">
      <c r="A1093" s="580"/>
      <c r="B1093" s="580"/>
      <c r="C1093" s="580"/>
      <c r="D1093" s="580"/>
      <c r="E1093" s="580"/>
    </row>
    <row r="1094" spans="1:5" x14ac:dyDescent="0.35">
      <c r="A1094" s="580"/>
      <c r="B1094" s="580"/>
      <c r="C1094" s="580"/>
      <c r="D1094" s="580"/>
      <c r="E1094" s="580"/>
    </row>
    <row r="1095" spans="1:5" x14ac:dyDescent="0.35">
      <c r="A1095" s="580"/>
      <c r="B1095" s="580"/>
      <c r="C1095" s="580"/>
      <c r="D1095" s="580"/>
      <c r="E1095" s="580"/>
    </row>
    <row r="1096" spans="1:5" x14ac:dyDescent="0.35">
      <c r="A1096" s="580"/>
      <c r="B1096" s="580"/>
      <c r="C1096" s="580"/>
      <c r="D1096" s="580"/>
      <c r="E1096" s="580"/>
    </row>
    <row r="1097" spans="1:5" x14ac:dyDescent="0.35">
      <c r="A1097" s="580"/>
      <c r="B1097" s="580"/>
      <c r="C1097" s="580"/>
      <c r="D1097" s="580"/>
      <c r="E1097" s="580"/>
    </row>
    <row r="1098" spans="1:5" x14ac:dyDescent="0.35">
      <c r="A1098" s="580"/>
      <c r="B1098" s="580"/>
      <c r="C1098" s="580"/>
      <c r="D1098" s="580"/>
      <c r="E1098" s="580"/>
    </row>
    <row r="1099" spans="1:5" x14ac:dyDescent="0.35">
      <c r="A1099" s="580"/>
      <c r="B1099" s="580"/>
      <c r="C1099" s="580"/>
      <c r="D1099" s="580"/>
      <c r="E1099" s="580"/>
    </row>
    <row r="1100" spans="1:5" x14ac:dyDescent="0.35">
      <c r="A1100" s="580"/>
      <c r="B1100" s="580"/>
      <c r="C1100" s="580"/>
      <c r="D1100" s="580"/>
      <c r="E1100" s="580"/>
    </row>
    <row r="1101" spans="1:5" x14ac:dyDescent="0.35">
      <c r="A1101" s="580"/>
      <c r="B1101" s="580"/>
      <c r="C1101" s="580"/>
      <c r="D1101" s="580"/>
      <c r="E1101" s="580"/>
    </row>
    <row r="1102" spans="1:5" x14ac:dyDescent="0.35">
      <c r="A1102" s="580"/>
      <c r="B1102" s="580"/>
      <c r="C1102" s="580"/>
      <c r="D1102" s="580"/>
      <c r="E1102" s="580"/>
    </row>
    <row r="1103" spans="1:5" x14ac:dyDescent="0.35">
      <c r="A1103" s="580"/>
      <c r="B1103" s="580"/>
      <c r="C1103" s="580"/>
      <c r="D1103" s="580"/>
      <c r="E1103" s="580"/>
    </row>
    <row r="1104" spans="1:5" x14ac:dyDescent="0.35">
      <c r="A1104" s="580"/>
      <c r="B1104" s="580"/>
      <c r="C1104" s="580"/>
      <c r="D1104" s="580"/>
      <c r="E1104" s="580"/>
    </row>
    <row r="1105" spans="1:5" x14ac:dyDescent="0.35">
      <c r="A1105" s="580"/>
      <c r="B1105" s="580"/>
      <c r="C1105" s="580"/>
      <c r="D1105" s="580"/>
      <c r="E1105" s="580"/>
    </row>
    <row r="1106" spans="1:5" x14ac:dyDescent="0.35">
      <c r="A1106" s="580"/>
      <c r="B1106" s="580"/>
      <c r="C1106" s="580"/>
      <c r="D1106" s="580"/>
      <c r="E1106" s="580"/>
    </row>
    <row r="1107" spans="1:5" x14ac:dyDescent="0.35">
      <c r="A1107" s="580"/>
      <c r="B1107" s="580"/>
      <c r="C1107" s="580"/>
      <c r="D1107" s="580"/>
      <c r="E1107" s="580"/>
    </row>
    <row r="1108" spans="1:5" x14ac:dyDescent="0.35">
      <c r="A1108" s="580"/>
      <c r="B1108" s="580"/>
      <c r="C1108" s="580"/>
      <c r="D1108" s="580"/>
      <c r="E1108" s="580"/>
    </row>
    <row r="1109" spans="1:5" x14ac:dyDescent="0.35">
      <c r="A1109" s="580"/>
      <c r="B1109" s="580"/>
      <c r="C1109" s="580"/>
      <c r="D1109" s="580"/>
      <c r="E1109" s="580"/>
    </row>
    <row r="1110" spans="1:5" x14ac:dyDescent="0.35">
      <c r="A1110" s="580"/>
      <c r="B1110" s="580"/>
      <c r="C1110" s="580"/>
      <c r="D1110" s="580"/>
      <c r="E1110" s="580"/>
    </row>
    <row r="1111" spans="1:5" x14ac:dyDescent="0.35">
      <c r="A1111" s="580"/>
      <c r="B1111" s="580"/>
      <c r="C1111" s="580"/>
      <c r="D1111" s="580"/>
      <c r="E1111" s="580"/>
    </row>
    <row r="1112" spans="1:5" x14ac:dyDescent="0.35">
      <c r="A1112" s="580"/>
      <c r="B1112" s="580"/>
      <c r="C1112" s="580"/>
      <c r="D1112" s="580"/>
      <c r="E1112" s="580"/>
    </row>
    <row r="1113" spans="1:5" x14ac:dyDescent="0.35">
      <c r="A1113" s="580"/>
      <c r="B1113" s="580"/>
      <c r="C1113" s="580"/>
      <c r="D1113" s="580"/>
      <c r="E1113" s="580"/>
    </row>
    <row r="1114" spans="1:5" x14ac:dyDescent="0.35">
      <c r="A1114" s="580"/>
      <c r="B1114" s="580"/>
      <c r="C1114" s="580"/>
      <c r="D1114" s="580"/>
      <c r="E1114" s="580"/>
    </row>
    <row r="1115" spans="1:5" x14ac:dyDescent="0.35">
      <c r="A1115" s="580"/>
      <c r="B1115" s="580"/>
      <c r="C1115" s="580"/>
      <c r="D1115" s="580"/>
      <c r="E1115" s="580"/>
    </row>
    <row r="1116" spans="1:5" x14ac:dyDescent="0.35">
      <c r="A1116" s="580"/>
      <c r="B1116" s="580"/>
      <c r="C1116" s="580"/>
      <c r="D1116" s="580"/>
      <c r="E1116" s="580"/>
    </row>
    <row r="1117" spans="1:5" x14ac:dyDescent="0.35">
      <c r="A1117" s="580"/>
      <c r="B1117" s="580"/>
      <c r="C1117" s="580"/>
      <c r="D1117" s="580"/>
      <c r="E1117" s="580"/>
    </row>
    <row r="1118" spans="1:5" x14ac:dyDescent="0.35">
      <c r="A1118" s="580"/>
      <c r="B1118" s="580"/>
      <c r="C1118" s="580"/>
      <c r="D1118" s="580"/>
      <c r="E1118" s="580"/>
    </row>
    <row r="1119" spans="1:5" x14ac:dyDescent="0.35">
      <c r="A1119" s="580"/>
      <c r="B1119" s="580"/>
      <c r="C1119" s="580"/>
      <c r="D1119" s="580"/>
      <c r="E1119" s="580"/>
    </row>
    <row r="1120" spans="1:5" x14ac:dyDescent="0.35">
      <c r="A1120" s="580"/>
      <c r="B1120" s="580"/>
      <c r="C1120" s="580"/>
      <c r="D1120" s="580"/>
      <c r="E1120" s="580"/>
    </row>
    <row r="1121" spans="1:5" x14ac:dyDescent="0.35">
      <c r="A1121" s="580"/>
      <c r="B1121" s="580"/>
      <c r="C1121" s="580"/>
      <c r="D1121" s="580"/>
      <c r="E1121" s="580"/>
    </row>
    <row r="1122" spans="1:5" x14ac:dyDescent="0.35">
      <c r="A1122" s="580"/>
      <c r="B1122" s="580"/>
      <c r="C1122" s="580"/>
      <c r="D1122" s="580"/>
      <c r="E1122" s="580"/>
    </row>
    <row r="1123" spans="1:5" x14ac:dyDescent="0.35">
      <c r="A1123" s="580"/>
      <c r="B1123" s="580"/>
      <c r="C1123" s="580"/>
      <c r="D1123" s="580"/>
      <c r="E1123" s="580"/>
    </row>
    <row r="1124" spans="1:5" x14ac:dyDescent="0.35">
      <c r="A1124" s="580"/>
      <c r="B1124" s="580"/>
      <c r="C1124" s="580"/>
      <c r="D1124" s="580"/>
      <c r="E1124" s="580"/>
    </row>
    <row r="1125" spans="1:5" x14ac:dyDescent="0.35">
      <c r="A1125" s="580"/>
      <c r="B1125" s="580"/>
      <c r="C1125" s="580"/>
      <c r="D1125" s="580"/>
      <c r="E1125" s="580"/>
    </row>
    <row r="1126" spans="1:5" x14ac:dyDescent="0.35">
      <c r="A1126" s="580"/>
      <c r="B1126" s="580"/>
      <c r="C1126" s="580"/>
      <c r="D1126" s="580"/>
      <c r="E1126" s="580"/>
    </row>
    <row r="1127" spans="1:5" x14ac:dyDescent="0.35">
      <c r="A1127" s="580"/>
      <c r="B1127" s="580"/>
      <c r="C1127" s="580"/>
      <c r="D1127" s="580"/>
      <c r="E1127" s="580"/>
    </row>
    <row r="1128" spans="1:5" x14ac:dyDescent="0.35">
      <c r="A1128" s="580"/>
      <c r="B1128" s="580"/>
      <c r="C1128" s="580"/>
      <c r="D1128" s="580"/>
      <c r="E1128" s="580"/>
    </row>
    <row r="1129" spans="1:5" x14ac:dyDescent="0.35">
      <c r="A1129" s="580"/>
      <c r="B1129" s="580"/>
      <c r="C1129" s="580"/>
      <c r="D1129" s="580"/>
      <c r="E1129" s="580"/>
    </row>
    <row r="1130" spans="1:5" x14ac:dyDescent="0.35">
      <c r="A1130" s="580"/>
      <c r="B1130" s="580"/>
      <c r="C1130" s="580"/>
      <c r="D1130" s="580"/>
      <c r="E1130" s="580"/>
    </row>
    <row r="1131" spans="1:5" x14ac:dyDescent="0.35">
      <c r="A1131" s="580"/>
      <c r="B1131" s="580"/>
      <c r="C1131" s="580"/>
      <c r="D1131" s="580"/>
      <c r="E1131" s="580"/>
    </row>
    <row r="1132" spans="1:5" x14ac:dyDescent="0.35">
      <c r="A1132" s="580"/>
      <c r="B1132" s="580"/>
      <c r="C1132" s="580"/>
      <c r="D1132" s="580"/>
      <c r="E1132" s="580"/>
    </row>
    <row r="1133" spans="1:5" x14ac:dyDescent="0.35">
      <c r="A1133" s="580"/>
      <c r="B1133" s="580"/>
      <c r="C1133" s="580"/>
      <c r="D1133" s="580"/>
      <c r="E1133" s="580"/>
    </row>
    <row r="1134" spans="1:5" x14ac:dyDescent="0.35">
      <c r="A1134" s="580"/>
      <c r="B1134" s="580"/>
      <c r="C1134" s="580"/>
      <c r="D1134" s="580"/>
      <c r="E1134" s="580"/>
    </row>
    <row r="1135" spans="1:5" x14ac:dyDescent="0.35">
      <c r="A1135" s="580"/>
      <c r="B1135" s="580"/>
      <c r="C1135" s="580"/>
      <c r="D1135" s="580"/>
      <c r="E1135" s="580"/>
    </row>
    <row r="1136" spans="1:5" x14ac:dyDescent="0.35">
      <c r="A1136" s="580"/>
      <c r="B1136" s="580"/>
      <c r="C1136" s="580"/>
      <c r="D1136" s="580"/>
      <c r="E1136" s="580"/>
    </row>
    <row r="1137" spans="1:5" x14ac:dyDescent="0.35">
      <c r="A1137" s="580"/>
      <c r="B1137" s="580"/>
      <c r="C1137" s="580"/>
      <c r="D1137" s="580"/>
      <c r="E1137" s="580"/>
    </row>
    <row r="1138" spans="1:5" x14ac:dyDescent="0.35">
      <c r="A1138" s="580"/>
      <c r="B1138" s="580"/>
      <c r="C1138" s="580"/>
      <c r="D1138" s="580"/>
      <c r="E1138" s="580"/>
    </row>
    <row r="1139" spans="1:5" x14ac:dyDescent="0.35">
      <c r="A1139" s="580"/>
      <c r="B1139" s="580"/>
      <c r="C1139" s="580"/>
      <c r="D1139" s="580"/>
      <c r="E1139" s="580"/>
    </row>
    <row r="1140" spans="1:5" x14ac:dyDescent="0.35">
      <c r="A1140" s="580"/>
      <c r="B1140" s="580"/>
      <c r="C1140" s="580"/>
      <c r="D1140" s="580"/>
      <c r="E1140" s="580"/>
    </row>
    <row r="1141" spans="1:5" x14ac:dyDescent="0.35">
      <c r="A1141" s="580"/>
      <c r="B1141" s="580"/>
      <c r="C1141" s="580"/>
      <c r="D1141" s="580"/>
      <c r="E1141" s="580"/>
    </row>
    <row r="1142" spans="1:5" x14ac:dyDescent="0.35">
      <c r="A1142" s="580"/>
      <c r="B1142" s="580"/>
      <c r="C1142" s="580"/>
      <c r="D1142" s="580"/>
      <c r="E1142" s="580"/>
    </row>
    <row r="1143" spans="1:5" x14ac:dyDescent="0.35">
      <c r="A1143" s="580"/>
      <c r="B1143" s="580"/>
      <c r="C1143" s="580"/>
      <c r="D1143" s="580"/>
      <c r="E1143" s="580"/>
    </row>
    <row r="1144" spans="1:5" x14ac:dyDescent="0.35">
      <c r="A1144" s="580"/>
      <c r="B1144" s="580"/>
      <c r="C1144" s="580"/>
      <c r="D1144" s="580"/>
      <c r="E1144" s="580"/>
    </row>
    <row r="1145" spans="1:5" x14ac:dyDescent="0.35">
      <c r="A1145" s="580"/>
      <c r="B1145" s="580"/>
      <c r="C1145" s="580"/>
      <c r="D1145" s="580"/>
      <c r="E1145" s="580"/>
    </row>
    <row r="1146" spans="1:5" x14ac:dyDescent="0.35">
      <c r="A1146" s="580"/>
      <c r="B1146" s="580"/>
      <c r="C1146" s="580"/>
      <c r="D1146" s="580"/>
      <c r="E1146" s="580"/>
    </row>
    <row r="1147" spans="1:5" x14ac:dyDescent="0.35">
      <c r="A1147" s="580"/>
      <c r="B1147" s="580"/>
      <c r="C1147" s="580"/>
      <c r="D1147" s="580"/>
      <c r="E1147" s="580"/>
    </row>
    <row r="1148" spans="1:5" x14ac:dyDescent="0.35">
      <c r="A1148" s="580"/>
      <c r="B1148" s="580"/>
      <c r="C1148" s="580"/>
      <c r="D1148" s="580"/>
      <c r="E1148" s="580"/>
    </row>
    <row r="1149" spans="1:5" x14ac:dyDescent="0.35">
      <c r="A1149" s="580"/>
      <c r="B1149" s="580"/>
      <c r="C1149" s="580"/>
      <c r="D1149" s="580"/>
      <c r="E1149" s="580"/>
    </row>
    <row r="1150" spans="1:5" x14ac:dyDescent="0.35">
      <c r="A1150" s="580"/>
      <c r="B1150" s="580"/>
      <c r="C1150" s="580"/>
      <c r="D1150" s="580"/>
      <c r="E1150" s="580"/>
    </row>
    <row r="1151" spans="1:5" x14ac:dyDescent="0.35">
      <c r="A1151" s="580"/>
      <c r="B1151" s="580"/>
      <c r="C1151" s="580"/>
      <c r="D1151" s="580"/>
      <c r="E1151" s="580"/>
    </row>
    <row r="1152" spans="1:5" x14ac:dyDescent="0.35">
      <c r="A1152" s="580"/>
      <c r="B1152" s="580"/>
      <c r="C1152" s="580"/>
      <c r="D1152" s="580"/>
      <c r="E1152" s="580"/>
    </row>
    <row r="1153" spans="1:5" x14ac:dyDescent="0.35">
      <c r="A1153" s="580"/>
      <c r="B1153" s="580"/>
      <c r="C1153" s="580"/>
      <c r="D1153" s="580"/>
      <c r="E1153" s="580"/>
    </row>
    <row r="1154" spans="1:5" x14ac:dyDescent="0.35">
      <c r="A1154" s="580"/>
      <c r="B1154" s="580"/>
      <c r="C1154" s="580"/>
      <c r="D1154" s="580"/>
      <c r="E1154" s="580"/>
    </row>
    <row r="1155" spans="1:5" x14ac:dyDescent="0.35">
      <c r="A1155" s="580"/>
      <c r="B1155" s="580"/>
      <c r="C1155" s="580"/>
      <c r="D1155" s="580"/>
      <c r="E1155" s="580"/>
    </row>
    <row r="1156" spans="1:5" x14ac:dyDescent="0.35">
      <c r="A1156" s="580"/>
      <c r="B1156" s="580"/>
      <c r="C1156" s="580"/>
      <c r="D1156" s="580"/>
      <c r="E1156" s="580"/>
    </row>
    <row r="1157" spans="1:5" x14ac:dyDescent="0.35">
      <c r="A1157" s="580"/>
      <c r="B1157" s="580"/>
      <c r="C1157" s="580"/>
      <c r="D1157" s="580"/>
      <c r="E1157" s="580"/>
    </row>
    <row r="1158" spans="1:5" x14ac:dyDescent="0.35">
      <c r="A1158" s="580"/>
      <c r="B1158" s="580"/>
      <c r="C1158" s="580"/>
      <c r="D1158" s="580"/>
      <c r="E1158" s="580"/>
    </row>
    <row r="1159" spans="1:5" x14ac:dyDescent="0.35">
      <c r="A1159" s="580"/>
      <c r="B1159" s="580"/>
      <c r="C1159" s="580"/>
      <c r="D1159" s="580"/>
      <c r="E1159" s="580"/>
    </row>
    <row r="1160" spans="1:5" x14ac:dyDescent="0.35">
      <c r="A1160" s="580"/>
      <c r="B1160" s="580"/>
      <c r="C1160" s="580"/>
      <c r="D1160" s="580"/>
      <c r="E1160" s="580"/>
    </row>
    <row r="1161" spans="1:5" x14ac:dyDescent="0.35">
      <c r="A1161" s="580"/>
      <c r="B1161" s="580"/>
      <c r="C1161" s="580"/>
      <c r="D1161" s="580"/>
      <c r="E1161" s="580"/>
    </row>
    <row r="1162" spans="1:5" x14ac:dyDescent="0.35">
      <c r="A1162" s="580"/>
      <c r="B1162" s="580"/>
      <c r="C1162" s="580"/>
      <c r="D1162" s="580"/>
      <c r="E1162" s="580"/>
    </row>
    <row r="1163" spans="1:5" x14ac:dyDescent="0.35">
      <c r="A1163" s="580"/>
      <c r="B1163" s="580"/>
      <c r="C1163" s="580"/>
      <c r="D1163" s="580"/>
      <c r="E1163" s="580"/>
    </row>
  </sheetData>
  <sortState xmlns:xlrd2="http://schemas.microsoft.com/office/spreadsheetml/2017/richdata2" ref="A5:E1163">
    <sortCondition ref="A5:A1163"/>
  </sortState>
  <mergeCells count="4">
    <mergeCell ref="K6:M6"/>
    <mergeCell ref="I6:J6"/>
    <mergeCell ref="I19:J19"/>
    <mergeCell ref="K19:M19"/>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4192-82B6-4523-A936-AE097FF93419}">
  <dimension ref="A5:W32"/>
  <sheetViews>
    <sheetView workbookViewId="0">
      <selection activeCell="K29" sqref="K29"/>
    </sheetView>
  </sheetViews>
  <sheetFormatPr defaultRowHeight="12.75" x14ac:dyDescent="0.35"/>
  <cols>
    <col min="1" max="1" width="15.86328125" customWidth="1"/>
    <col min="3" max="3" width="13.3984375" customWidth="1"/>
    <col min="4" max="4" width="11.73046875" customWidth="1"/>
    <col min="5" max="5" width="15" customWidth="1"/>
    <col min="6" max="6" width="13.3984375" customWidth="1"/>
    <col min="9" max="9" width="11.73046875" bestFit="1" customWidth="1"/>
    <col min="10" max="10" width="12.73046875" customWidth="1"/>
    <col min="11" max="11" width="14" customWidth="1"/>
    <col min="12" max="12" width="11.73046875" customWidth="1"/>
    <col min="13" max="13" width="13.3984375" customWidth="1"/>
    <col min="14" max="14" width="11.73046875" customWidth="1"/>
    <col min="16" max="16" width="12.1328125" customWidth="1"/>
    <col min="20" max="20" width="14" bestFit="1" customWidth="1"/>
    <col min="21" max="21" width="12.59765625" customWidth="1"/>
    <col min="22" max="22" width="13.86328125" bestFit="1" customWidth="1"/>
  </cols>
  <sheetData>
    <row r="5" spans="1:17" ht="13.15" x14ac:dyDescent="0.4">
      <c r="C5" s="982" t="s">
        <v>455</v>
      </c>
      <c r="D5" s="982"/>
      <c r="E5" s="982"/>
      <c r="F5" s="982"/>
      <c r="I5" s="983" t="s">
        <v>456</v>
      </c>
      <c r="J5" s="983"/>
      <c r="K5" s="983"/>
      <c r="L5" s="983"/>
      <c r="M5" s="578"/>
      <c r="N5" s="578"/>
    </row>
    <row r="6" spans="1:17" s="544" customFormat="1" ht="39.4" x14ac:dyDescent="0.4">
      <c r="A6" s="544" t="s">
        <v>295</v>
      </c>
      <c r="B6" s="544" t="s">
        <v>449</v>
      </c>
      <c r="C6" s="544" t="s">
        <v>0</v>
      </c>
      <c r="D6" s="544" t="s">
        <v>451</v>
      </c>
      <c r="E6" s="544" t="s">
        <v>450</v>
      </c>
      <c r="F6" s="544" t="s">
        <v>485</v>
      </c>
      <c r="I6" s="544" t="s">
        <v>300</v>
      </c>
      <c r="J6" s="544" t="s">
        <v>453</v>
      </c>
      <c r="K6" s="544" t="s">
        <v>450</v>
      </c>
      <c r="L6" s="544" t="s">
        <v>283</v>
      </c>
      <c r="P6" s="539" t="s">
        <v>454</v>
      </c>
      <c r="Q6" s="544" t="s">
        <v>422</v>
      </c>
    </row>
    <row r="7" spans="1:17" x14ac:dyDescent="0.35">
      <c r="A7" s="522" t="s">
        <v>3</v>
      </c>
      <c r="B7" s="522" t="s">
        <v>1</v>
      </c>
      <c r="C7" s="572">
        <f>'Util Rev and Load Data'!C40</f>
        <v>321780779.44999999</v>
      </c>
      <c r="D7" s="565">
        <f>C7/C$16</f>
        <v>0.47781009958028309</v>
      </c>
      <c r="E7" s="538">
        <f>'Util Rev and Load Data'!C86</f>
        <v>2017308355.0608244</v>
      </c>
      <c r="F7" s="565" t="e">
        <f>E7/E16</f>
        <v>#DIV/0!</v>
      </c>
      <c r="I7" s="577">
        <f>'EEC Calculation'!B41</f>
        <v>47158169.147293821</v>
      </c>
      <c r="J7" s="537">
        <f>I$7*D7</f>
        <v>22532649.496292293</v>
      </c>
      <c r="K7" s="538">
        <f>'EEC Calculation'!C68</f>
        <v>2017308355.0608244</v>
      </c>
      <c r="L7" s="579">
        <f>J7/K7</f>
        <v>1.1169660523025447E-2</v>
      </c>
      <c r="M7" s="579"/>
      <c r="N7" s="579"/>
      <c r="P7" s="579">
        <f>'EEC Rates Report'!C8</f>
        <v>1.0514180472178947E-2</v>
      </c>
      <c r="Q7" s="565">
        <f>L7/P7-1</f>
        <v>6.2342476675280034E-2</v>
      </c>
    </row>
    <row r="8" spans="1:17" x14ac:dyDescent="0.35">
      <c r="A8" s="522" t="s">
        <v>293</v>
      </c>
      <c r="K8" s="538"/>
      <c r="L8" s="579"/>
      <c r="M8" s="579"/>
      <c r="N8" s="579"/>
      <c r="P8" s="579"/>
    </row>
    <row r="9" spans="1:17" x14ac:dyDescent="0.35">
      <c r="A9" s="571" t="s">
        <v>5</v>
      </c>
      <c r="B9" s="522" t="s">
        <v>1</v>
      </c>
      <c r="C9" s="572">
        <f>'Util Rev and Load Data'!G40+'Util Rev and Load Data'!H40</f>
        <v>58989805.589649819</v>
      </c>
      <c r="D9" s="565">
        <f>C9/C$16</f>
        <v>8.759356270809146E-2</v>
      </c>
      <c r="E9" s="538">
        <f>'Util Rev and Load Data'!I86</f>
        <v>325920903.14288223</v>
      </c>
      <c r="F9" s="565" t="e">
        <f>E9/E$16</f>
        <v>#DIV/0!</v>
      </c>
      <c r="J9" s="537">
        <f>I$7*D9</f>
        <v>4130752.0464022653</v>
      </c>
      <c r="K9" s="538">
        <f>'EEC Calculation'!C101</f>
        <v>318632799.57511365</v>
      </c>
      <c r="L9" s="579">
        <f t="shared" ref="L9:L15" si="0">J9/K9</f>
        <v>1.2963988804387016E-2</v>
      </c>
      <c r="M9" s="579"/>
      <c r="N9" s="579"/>
      <c r="P9" s="579">
        <f>'EEC Rates Report'!C9</f>
        <v>1.2477734474553056E-2</v>
      </c>
      <c r="Q9" s="565">
        <f t="shared" ref="Q9:Q15" si="1">L9/P9-1</f>
        <v>3.8969760963067701E-2</v>
      </c>
    </row>
    <row r="10" spans="1:17" x14ac:dyDescent="0.35">
      <c r="A10" s="571" t="s">
        <v>299</v>
      </c>
      <c r="B10" s="522" t="s">
        <v>1</v>
      </c>
      <c r="C10" s="572">
        <f>'Util Rev and Load Data'!K40</f>
        <v>139143739.47675017</v>
      </c>
      <c r="D10" s="565">
        <f>C10/C$16</f>
        <v>0.20661359615386737</v>
      </c>
      <c r="E10" s="538">
        <f>'Util Rev and Load Data'!K86</f>
        <v>1491129438</v>
      </c>
      <c r="F10" s="565" t="e">
        <f>E10/E$16</f>
        <v>#DIV/0!</v>
      </c>
      <c r="J10" s="537">
        <f>I$7*D10</f>
        <v>9743518.9155547339</v>
      </c>
      <c r="K10" s="538">
        <f>'EEC Calculation'!B106</f>
        <v>1358651965.2546864</v>
      </c>
      <c r="L10" s="579">
        <f t="shared" si="0"/>
        <v>7.1714605099240858E-3</v>
      </c>
      <c r="M10" s="579"/>
      <c r="N10" s="579"/>
      <c r="P10" s="579">
        <f>'EEC Rates Report'!C14</f>
        <v>7.9624132850054912E-3</v>
      </c>
      <c r="Q10" s="565">
        <f t="shared" si="1"/>
        <v>-9.9335810233675881E-2</v>
      </c>
    </row>
    <row r="11" spans="1:17" x14ac:dyDescent="0.35">
      <c r="A11" s="571" t="s">
        <v>299</v>
      </c>
      <c r="B11" s="522" t="s">
        <v>2</v>
      </c>
      <c r="C11" s="572">
        <f>'Util Rev and Load Data'!L40</f>
        <v>69849290.503600001</v>
      </c>
      <c r="D11" s="565">
        <f>C11/C$16</f>
        <v>0.10371873829189719</v>
      </c>
      <c r="E11" s="538">
        <f>'Util Rev and Load Data'!L86</f>
        <v>4826265.0140000004</v>
      </c>
      <c r="F11" s="565" t="e">
        <f>E11/E$16</f>
        <v>#DIV/0!</v>
      </c>
      <c r="J11" s="537">
        <f>I$7*D11</f>
        <v>4891185.8041131888</v>
      </c>
      <c r="K11" s="538">
        <f>'EEC Calculation'!B109</f>
        <v>4069140.035446885</v>
      </c>
      <c r="L11" s="579">
        <f t="shared" si="0"/>
        <v>1.2020195327527046</v>
      </c>
      <c r="M11" s="579"/>
      <c r="N11" s="579"/>
      <c r="P11" s="579">
        <f>'EEC Rates Report'!C15</f>
        <v>1.5076281362878166</v>
      </c>
      <c r="Q11" s="565">
        <f t="shared" si="1"/>
        <v>-0.20270821177933307</v>
      </c>
    </row>
    <row r="12" spans="1:17" x14ac:dyDescent="0.35">
      <c r="A12" s="522" t="s">
        <v>47</v>
      </c>
      <c r="E12" s="538"/>
      <c r="K12" s="538"/>
      <c r="L12" s="579"/>
      <c r="M12" s="579"/>
      <c r="N12" s="579"/>
      <c r="P12" s="579"/>
      <c r="Q12" s="565"/>
    </row>
    <row r="13" spans="1:17" x14ac:dyDescent="0.35">
      <c r="A13" s="571" t="s">
        <v>5</v>
      </c>
      <c r="B13" s="522" t="s">
        <v>1</v>
      </c>
      <c r="C13" s="572">
        <f>'Util Rev and Load Data'!S40</f>
        <v>1216637</v>
      </c>
      <c r="D13" s="565">
        <f>C13/C$16</f>
        <v>1.8065760394908414E-3</v>
      </c>
      <c r="E13" s="538">
        <f>'Util Rev and Load Data'!S86</f>
        <v>5578093</v>
      </c>
      <c r="F13" s="565" t="e">
        <f>E13/E$16</f>
        <v>#DIV/0!</v>
      </c>
      <c r="J13" s="537">
        <f>I$7*D13</f>
        <v>85194.818447757265</v>
      </c>
      <c r="K13" s="538">
        <f>'EEC Calculation'!C118</f>
        <v>6789470.0772284642</v>
      </c>
      <c r="L13" s="579">
        <f t="shared" si="0"/>
        <v>1.2548080701245939E-2</v>
      </c>
      <c r="M13" s="579"/>
      <c r="N13" s="579"/>
      <c r="P13" s="579">
        <f>'EEC Rates Report'!C10</f>
        <v>7.0952838370032228E-3</v>
      </c>
      <c r="Q13" s="565">
        <f t="shared" si="1"/>
        <v>0.76851003983876853</v>
      </c>
    </row>
    <row r="14" spans="1:17" x14ac:dyDescent="0.35">
      <c r="A14" s="571" t="s">
        <v>299</v>
      </c>
      <c r="B14" s="522" t="s">
        <v>1</v>
      </c>
      <c r="C14" s="572">
        <f>'Util Rev and Load Data'!V40</f>
        <v>58358598.952779993</v>
      </c>
      <c r="D14" s="565">
        <f>C14/C$16</f>
        <v>8.6656288248958102E-2</v>
      </c>
      <c r="E14" s="538">
        <f>'Util Rev and Load Data'!V86</f>
        <v>727465365</v>
      </c>
      <c r="F14" s="565" t="e">
        <f>E14/E$16</f>
        <v>#DIV/0!</v>
      </c>
      <c r="J14" s="537">
        <f>I$7*D14</f>
        <v>4086551.8989210161</v>
      </c>
      <c r="K14" s="538">
        <f>'EEC Calculation'!B123</f>
        <v>700597466.8927716</v>
      </c>
      <c r="L14" s="579">
        <f t="shared" si="0"/>
        <v>5.8329527182639307E-3</v>
      </c>
      <c r="M14" s="579"/>
      <c r="N14" s="579"/>
      <c r="P14" s="579">
        <f>'EEC Rates Report'!C17</f>
        <v>4.7700572571896553E-3</v>
      </c>
      <c r="Q14" s="565">
        <f t="shared" si="1"/>
        <v>0.22282656240074039</v>
      </c>
    </row>
    <row r="15" spans="1:17" s="518" customFormat="1" x14ac:dyDescent="0.35">
      <c r="A15" s="575" t="s">
        <v>299</v>
      </c>
      <c r="B15" s="518" t="s">
        <v>2</v>
      </c>
      <c r="C15" s="576">
        <f>'Util Rev and Load Data'!W40</f>
        <v>24110244.66722</v>
      </c>
      <c r="D15" s="558">
        <f>C15/C$16</f>
        <v>3.5801138977411905E-2</v>
      </c>
      <c r="E15" s="557">
        <f>'Util Rev and Load Data'!W86</f>
        <v>1745708.25</v>
      </c>
      <c r="F15" s="558" t="e">
        <f>E15/E$16</f>
        <v>#DIV/0!</v>
      </c>
      <c r="J15" s="541">
        <f>I$7*D15</f>
        <v>1688316.1675625644</v>
      </c>
      <c r="K15" s="557">
        <f>'EEC Calculation'!B126</f>
        <v>1526885.5499130297</v>
      </c>
      <c r="L15" s="609">
        <f t="shared" si="0"/>
        <v>1.105725421043332</v>
      </c>
      <c r="M15" s="609"/>
      <c r="N15" s="609"/>
      <c r="P15" s="579">
        <f>'EEC Rates Report'!C18</f>
        <v>1.066908945377024</v>
      </c>
      <c r="Q15" s="565">
        <f t="shared" si="1"/>
        <v>3.6382182223236637E-2</v>
      </c>
    </row>
    <row r="16" spans="1:17" s="244" customFormat="1" ht="13.15" x14ac:dyDescent="0.4">
      <c r="A16" s="573" t="s">
        <v>452</v>
      </c>
      <c r="C16" s="574">
        <f>SUM(C7:C15)</f>
        <v>673449095.63999999</v>
      </c>
      <c r="D16" s="567">
        <f>SUM(D7:D15)</f>
        <v>1</v>
      </c>
      <c r="E16" s="574"/>
      <c r="F16" s="567" t="e">
        <f>SUM(F7:F15)</f>
        <v>#DIV/0!</v>
      </c>
      <c r="J16" s="543">
        <f>SUM(J7:J15)</f>
        <v>47158169.147293814</v>
      </c>
      <c r="K16" s="569"/>
      <c r="P16"/>
    </row>
    <row r="19" spans="1:23" ht="13.15" x14ac:dyDescent="0.4">
      <c r="C19" s="982" t="s">
        <v>457</v>
      </c>
      <c r="D19" s="982"/>
      <c r="E19" s="982"/>
      <c r="F19" s="982"/>
      <c r="I19" s="983" t="s">
        <v>456</v>
      </c>
      <c r="J19" s="983"/>
      <c r="K19" s="983"/>
      <c r="L19" s="983"/>
      <c r="M19" s="578"/>
      <c r="N19" s="578"/>
    </row>
    <row r="20" spans="1:23" ht="26.25" x14ac:dyDescent="0.4">
      <c r="A20" s="544" t="s">
        <v>295</v>
      </c>
      <c r="B20" s="544" t="s">
        <v>449</v>
      </c>
      <c r="C20" s="544" t="s">
        <v>0</v>
      </c>
      <c r="D20" s="544" t="s">
        <v>451</v>
      </c>
      <c r="E20" s="544" t="s">
        <v>450</v>
      </c>
      <c r="G20" s="544"/>
      <c r="H20" s="544"/>
      <c r="I20" s="544" t="s">
        <v>300</v>
      </c>
      <c r="J20" s="544" t="s">
        <v>453</v>
      </c>
      <c r="K20" s="544" t="s">
        <v>450</v>
      </c>
      <c r="L20" s="544" t="s">
        <v>283</v>
      </c>
      <c r="M20" s="544" t="s">
        <v>486</v>
      </c>
      <c r="N20" s="544"/>
      <c r="O20" s="544"/>
      <c r="P20" s="583" t="s">
        <v>454</v>
      </c>
      <c r="Q20" s="544" t="s">
        <v>422</v>
      </c>
      <c r="T20" s="583" t="s">
        <v>487</v>
      </c>
      <c r="U20" s="544" t="s">
        <v>488</v>
      </c>
    </row>
    <row r="21" spans="1:23" x14ac:dyDescent="0.35">
      <c r="A21" s="522" t="s">
        <v>3</v>
      </c>
      <c r="B21" s="522" t="s">
        <v>1</v>
      </c>
      <c r="C21" s="572">
        <f>'2019 Detailed True-up'!J8</f>
        <v>26737262.47169999</v>
      </c>
      <c r="D21" s="565">
        <f>C21/C$30</f>
        <v>0.52180992167283946</v>
      </c>
      <c r="E21" s="538">
        <f>E7</f>
        <v>2017308355.0608244</v>
      </c>
      <c r="F21" s="239">
        <f>C21*M21</f>
        <v>25400399.34811499</v>
      </c>
      <c r="G21" s="565">
        <f>F21/F$30</f>
        <v>0.51992470959924464</v>
      </c>
      <c r="H21" s="565"/>
      <c r="I21" s="577">
        <f>I7</f>
        <v>47158169.147293821</v>
      </c>
      <c r="J21" s="537">
        <f>I$21*G21</f>
        <v>24518697.399138797</v>
      </c>
      <c r="K21" s="538">
        <f>K7</f>
        <v>2017308355.0608244</v>
      </c>
      <c r="L21" s="579">
        <f>J21/K21</f>
        <v>1.2154164403091231E-2</v>
      </c>
      <c r="M21" s="565">
        <f>1-2.5*2%</f>
        <v>0.95</v>
      </c>
      <c r="N21" s="579"/>
      <c r="P21" s="579">
        <f>P7</f>
        <v>1.0514180472178947E-2</v>
      </c>
      <c r="Q21" s="565">
        <f>L21/P21-1</f>
        <v>0.15597829381488792</v>
      </c>
      <c r="S21" s="579">
        <f>L21-P21</f>
        <v>1.6399839309122841E-3</v>
      </c>
      <c r="T21" s="610">
        <f>-S21*K21</f>
        <v>-3308353.2859948445</v>
      </c>
      <c r="U21" s="610"/>
      <c r="V21" s="579">
        <f>(J21+T21)/K21</f>
        <v>1.0514180472178945E-2</v>
      </c>
      <c r="W21" s="565">
        <f>V21/P21-1</f>
        <v>0</v>
      </c>
    </row>
    <row r="22" spans="1:23" x14ac:dyDescent="0.35">
      <c r="A22" s="522" t="s">
        <v>293</v>
      </c>
      <c r="K22" s="538"/>
      <c r="L22" s="579"/>
      <c r="M22" s="565"/>
      <c r="N22" s="579"/>
      <c r="P22" s="579"/>
      <c r="W22" s="565"/>
    </row>
    <row r="23" spans="1:23" x14ac:dyDescent="0.35">
      <c r="A23" s="571" t="s">
        <v>5</v>
      </c>
      <c r="B23" s="522" t="s">
        <v>1</v>
      </c>
      <c r="C23" s="572">
        <f>'2019 Detailed True-up'!J9+'2019 Detailed True-up'!J15</f>
        <v>3516924.5298000001</v>
      </c>
      <c r="D23" s="565">
        <f>C23/C$30</f>
        <v>6.8637023530986177E-2</v>
      </c>
      <c r="E23" s="538">
        <f t="shared" ref="E23:E25" si="2">E9</f>
        <v>325920903.14288223</v>
      </c>
      <c r="F23" s="239">
        <f>C23*M23</f>
        <v>3319976.7561312001</v>
      </c>
      <c r="G23" s="565">
        <f t="shared" ref="G23:G29" si="3">F23/F$30</f>
        <v>6.7957118592934893E-2</v>
      </c>
      <c r="H23" s="565"/>
      <c r="J23" s="537">
        <f t="shared" ref="J23:J29" si="4">I$21*G23</f>
        <v>3204733.2933683298</v>
      </c>
      <c r="K23" s="538">
        <f t="shared" ref="K23:K25" si="5">K9</f>
        <v>318632799.57511365</v>
      </c>
      <c r="L23" s="579">
        <f t="shared" ref="L23:L25" si="6">J23/K23</f>
        <v>1.0057763349039196E-2</v>
      </c>
      <c r="M23" s="565">
        <f>1-0.028*2</f>
        <v>0.94399999999999995</v>
      </c>
      <c r="N23" s="579"/>
      <c r="P23" s="579">
        <f t="shared" ref="P23:P25" si="7">P9</f>
        <v>1.2477734474553056E-2</v>
      </c>
      <c r="Q23" s="565">
        <f t="shared" ref="Q23:Q25" si="8">L23/P23-1</f>
        <v>-0.19394314973195814</v>
      </c>
      <c r="S23" s="565">
        <f>J23/SUM(J$23:J$29)</f>
        <v>0.14155512677231505</v>
      </c>
      <c r="T23" s="239">
        <f>-T$21*S23</f>
        <v>468314.36880660529</v>
      </c>
      <c r="U23" s="239"/>
      <c r="V23" s="579">
        <f>(T23+J23)/K23</f>
        <v>1.1527525311495939E-2</v>
      </c>
      <c r="W23" s="565">
        <f>V23/P23-1</f>
        <v>-7.6152378862922809E-2</v>
      </c>
    </row>
    <row r="24" spans="1:23" x14ac:dyDescent="0.35">
      <c r="A24" s="571" t="s">
        <v>299</v>
      </c>
      <c r="B24" s="522" t="s">
        <v>1</v>
      </c>
      <c r="C24" s="572">
        <f>'2019 Detailed True-up'!J10</f>
        <v>10337574.287700003</v>
      </c>
      <c r="D24" s="565">
        <f>C24/C$30</f>
        <v>0.20175022910671694</v>
      </c>
      <c r="E24" s="538">
        <f t="shared" si="2"/>
        <v>1491129438</v>
      </c>
      <c r="F24" s="239">
        <f>C24*M24</f>
        <v>9758670.1275888029</v>
      </c>
      <c r="G24" s="565">
        <f t="shared" si="3"/>
        <v>0.19975173077497169</v>
      </c>
      <c r="H24" s="565"/>
      <c r="J24" s="537">
        <f t="shared" si="4"/>
        <v>9419925.9073508121</v>
      </c>
      <c r="K24" s="538">
        <f t="shared" si="5"/>
        <v>1358651965.2546864</v>
      </c>
      <c r="L24" s="579">
        <f t="shared" si="6"/>
        <v>6.9332883978017127E-3</v>
      </c>
      <c r="M24" s="565">
        <f>1-0.028*2</f>
        <v>0.94399999999999995</v>
      </c>
      <c r="N24" s="579"/>
      <c r="P24" s="579">
        <f t="shared" si="7"/>
        <v>7.9624132850054912E-3</v>
      </c>
      <c r="Q24" s="565">
        <f t="shared" si="8"/>
        <v>-0.12924786121586862</v>
      </c>
      <c r="S24" s="565">
        <f>J24/SUM(J$23:J$29)</f>
        <v>0.41608417423072053</v>
      </c>
      <c r="T24" s="239">
        <f t="shared" ref="T24:T29" si="9">-T$21*S24</f>
        <v>1376553.4450666558</v>
      </c>
      <c r="U24" s="239"/>
      <c r="V24" s="579">
        <f>(T24+J24)/K24</f>
        <v>7.9464643105959885E-3</v>
      </c>
      <c r="W24" s="565">
        <f>V24/P24-1</f>
        <v>-2.0030327287252625E-3</v>
      </c>
    </row>
    <row r="25" spans="1:23" x14ac:dyDescent="0.35">
      <c r="A25" s="571" t="s">
        <v>299</v>
      </c>
      <c r="B25" s="522" t="s">
        <v>2</v>
      </c>
      <c r="C25" s="572">
        <f>'2019 Detailed True-up'!J11</f>
        <v>4870660.5188999986</v>
      </c>
      <c r="D25" s="565">
        <f>C25/C$30</f>
        <v>9.5056813933449946E-2</v>
      </c>
      <c r="E25" s="538">
        <f t="shared" si="2"/>
        <v>4826265.0140000004</v>
      </c>
      <c r="F25" s="239">
        <f>C25*M25</f>
        <v>4597903.5298415981</v>
      </c>
      <c r="G25" s="565">
        <f t="shared" si="3"/>
        <v>9.4115199716166775E-2</v>
      </c>
      <c r="H25" s="565"/>
      <c r="J25" s="537">
        <f t="shared" si="4"/>
        <v>4438300.5075463317</v>
      </c>
      <c r="K25" s="538">
        <f t="shared" si="5"/>
        <v>4069140.035446885</v>
      </c>
      <c r="L25" s="579">
        <f t="shared" si="6"/>
        <v>1.0907219876641341</v>
      </c>
      <c r="M25" s="565">
        <f>1-0.028*2</f>
        <v>0.94399999999999995</v>
      </c>
      <c r="N25" s="579"/>
      <c r="P25" s="579">
        <f t="shared" si="7"/>
        <v>1.5076281362878166</v>
      </c>
      <c r="Q25" s="565">
        <f t="shared" si="8"/>
        <v>-0.27653115419444008</v>
      </c>
      <c r="S25" s="565">
        <f>J25/SUM(J$23:J$29)</f>
        <v>0.19604258248243026</v>
      </c>
      <c r="T25" s="239">
        <f t="shared" si="9"/>
        <v>648578.12195066351</v>
      </c>
      <c r="U25" s="239"/>
      <c r="V25" s="579">
        <f>(T25+J25)/K25</f>
        <v>1.2501114695450237</v>
      </c>
      <c r="W25" s="565">
        <f>V25/P25-1</f>
        <v>-0.17080914089124632</v>
      </c>
    </row>
    <row r="26" spans="1:23" x14ac:dyDescent="0.35">
      <c r="A26" s="522" t="s">
        <v>47</v>
      </c>
      <c r="C26" s="572"/>
      <c r="E26" s="538"/>
      <c r="F26" s="239"/>
      <c r="G26" s="565"/>
      <c r="H26" s="565"/>
      <c r="K26" s="538"/>
      <c r="L26" s="579"/>
      <c r="M26" s="565"/>
      <c r="N26" s="579"/>
      <c r="P26" s="579"/>
      <c r="Q26" s="565"/>
      <c r="S26" s="565"/>
      <c r="T26" s="239"/>
      <c r="U26" s="239"/>
      <c r="V26" s="579"/>
      <c r="W26" s="565"/>
    </row>
    <row r="27" spans="1:23" x14ac:dyDescent="0.35">
      <c r="A27" s="571" t="s">
        <v>5</v>
      </c>
      <c r="B27" s="522" t="s">
        <v>1</v>
      </c>
      <c r="C27" s="572">
        <f>'2019 Detailed True-up'!J12</f>
        <v>44744.495400000007</v>
      </c>
      <c r="D27" s="565">
        <f>C27/C$30</f>
        <v>8.7324278858680879E-4</v>
      </c>
      <c r="E27" s="538">
        <f t="shared" ref="E27:E29" si="10">E13</f>
        <v>5578093</v>
      </c>
      <c r="F27" s="239">
        <f>C27*M27</f>
        <v>44744.495400000007</v>
      </c>
      <c r="G27" s="565">
        <f t="shared" si="3"/>
        <v>9.1588200871086647E-4</v>
      </c>
      <c r="H27" s="565"/>
      <c r="J27" s="537">
        <f t="shared" si="4"/>
        <v>43191.318685750273</v>
      </c>
      <c r="K27" s="538">
        <f t="shared" ref="K27:K29" si="11">K13</f>
        <v>6789470.0772284642</v>
      </c>
      <c r="L27" s="579">
        <f t="shared" ref="L27:L29" si="12">J27/K27</f>
        <v>6.3615154341149175E-3</v>
      </c>
      <c r="M27" s="565">
        <v>1</v>
      </c>
      <c r="N27" s="579"/>
      <c r="P27" s="579">
        <f t="shared" ref="P27:P29" si="13">P13</f>
        <v>7.0952838370032228E-3</v>
      </c>
      <c r="Q27" s="565">
        <f t="shared" ref="Q27:Q29" si="14">L27/P27-1</f>
        <v>-0.10341635651861691</v>
      </c>
      <c r="S27" s="565">
        <f>J27/SUM(J$23:J$29)</f>
        <v>1.9077882720152288E-3</v>
      </c>
      <c r="T27" s="239">
        <f t="shared" si="9"/>
        <v>6311.6375987040083</v>
      </c>
      <c r="U27" s="239"/>
      <c r="V27" s="579">
        <f>(T27+J27)/K27</f>
        <v>7.2911369696560951E-3</v>
      </c>
      <c r="W27" s="565">
        <f>V27/P27-1</f>
        <v>2.7603283695496694E-2</v>
      </c>
    </row>
    <row r="28" spans="1:23" x14ac:dyDescent="0.35">
      <c r="A28" s="571" t="s">
        <v>299</v>
      </c>
      <c r="B28" s="522" t="s">
        <v>1</v>
      </c>
      <c r="C28" s="572">
        <f>'2019 Detailed True-up'!J13</f>
        <v>3776434.9920000006</v>
      </c>
      <c r="D28" s="565">
        <f>C28/C$30</f>
        <v>7.3701683164604043E-2</v>
      </c>
      <c r="E28" s="538">
        <f t="shared" si="10"/>
        <v>727465365</v>
      </c>
      <c r="F28" s="239">
        <f>C28*M28</f>
        <v>3776434.9920000006</v>
      </c>
      <c r="G28" s="565">
        <f t="shared" si="3"/>
        <v>7.7300432943064656E-2</v>
      </c>
      <c r="H28" s="565"/>
      <c r="J28" s="537">
        <f t="shared" si="4"/>
        <v>3645346.8918880867</v>
      </c>
      <c r="K28" s="538">
        <f t="shared" si="11"/>
        <v>700597466.8927716</v>
      </c>
      <c r="L28" s="579">
        <f t="shared" si="12"/>
        <v>5.2031973624677942E-3</v>
      </c>
      <c r="M28" s="565">
        <v>1</v>
      </c>
      <c r="N28" s="579"/>
      <c r="P28" s="579">
        <f t="shared" si="13"/>
        <v>4.7700572571896553E-3</v>
      </c>
      <c r="Q28" s="565">
        <f t="shared" si="14"/>
        <v>9.0803963542636756E-2</v>
      </c>
      <c r="S28" s="565">
        <f>J28/SUM(J$23:J$29)</f>
        <v>0.16101731226061664</v>
      </c>
      <c r="T28" s="239">
        <f t="shared" si="9"/>
        <v>532702.15411946899</v>
      </c>
      <c r="U28" s="239"/>
      <c r="V28" s="579">
        <f>(T28+J28)/K28</f>
        <v>5.9635514592104831E-3</v>
      </c>
      <c r="W28" s="565">
        <f>V28/P28-1</f>
        <v>0.2502054247298473</v>
      </c>
    </row>
    <row r="29" spans="1:23" ht="15" x14ac:dyDescent="0.65">
      <c r="A29" s="575" t="s">
        <v>299</v>
      </c>
      <c r="B29" s="518" t="s">
        <v>2</v>
      </c>
      <c r="C29" s="608">
        <f>'2019 Detailed True-up'!J14</f>
        <v>1955866.1066999999</v>
      </c>
      <c r="D29" s="558">
        <f>C29/C$30</f>
        <v>3.8171085802816598E-2</v>
      </c>
      <c r="E29" s="557">
        <f t="shared" si="10"/>
        <v>1745708.25</v>
      </c>
      <c r="F29" s="611">
        <f>C29*M29</f>
        <v>1955866.1066999999</v>
      </c>
      <c r="G29" s="565">
        <f t="shared" si="3"/>
        <v>4.0034926364906499E-2</v>
      </c>
      <c r="H29" s="565"/>
      <c r="I29" s="518"/>
      <c r="J29" s="541">
        <f t="shared" si="4"/>
        <v>1887973.8293157136</v>
      </c>
      <c r="K29" s="557">
        <f t="shared" si="11"/>
        <v>1526885.5499130297</v>
      </c>
      <c r="L29" s="609">
        <f t="shared" si="12"/>
        <v>1.2364868011379446</v>
      </c>
      <c r="M29" s="558">
        <v>1</v>
      </c>
      <c r="N29" s="609"/>
      <c r="O29" s="518"/>
      <c r="P29" s="579">
        <f t="shared" si="13"/>
        <v>1.066908945377024</v>
      </c>
      <c r="Q29" s="565">
        <f t="shared" si="14"/>
        <v>0.15894313802101956</v>
      </c>
      <c r="S29" s="565">
        <f>J29/SUM(J$23:J$29)</f>
        <v>8.3393015981902116E-2</v>
      </c>
      <c r="T29" s="239">
        <f t="shared" si="9"/>
        <v>275893.55845274642</v>
      </c>
      <c r="U29" s="239"/>
      <c r="V29" s="579">
        <f>(T29+J29)/K29</f>
        <v>1.4171771996216169</v>
      </c>
      <c r="W29" s="565">
        <f>V29/P29-1</f>
        <v>0.32830191907409234</v>
      </c>
    </row>
    <row r="30" spans="1:23" ht="13.15" x14ac:dyDescent="0.4">
      <c r="A30" s="573" t="s">
        <v>452</v>
      </c>
      <c r="B30" s="244"/>
      <c r="C30" s="574">
        <f>SUM(C21:C29)</f>
        <v>51239467.402199991</v>
      </c>
      <c r="D30" s="567">
        <f>SUM(D21:D29)</f>
        <v>0.99999999999999989</v>
      </c>
      <c r="E30" s="574"/>
      <c r="F30" s="239">
        <f>SUM(F21:F29)</f>
        <v>48853995.355776593</v>
      </c>
      <c r="G30" s="244"/>
      <c r="H30" s="244"/>
      <c r="I30" s="244"/>
      <c r="J30" s="543">
        <f>SUM(J21:J29)</f>
        <v>47158169.147293828</v>
      </c>
      <c r="K30" s="569"/>
      <c r="L30" s="244"/>
      <c r="M30" s="244"/>
      <c r="N30" s="244"/>
      <c r="O30" s="244"/>
      <c r="Q30" s="244"/>
    </row>
    <row r="31" spans="1:23" x14ac:dyDescent="0.35">
      <c r="K31" s="560">
        <f>K21+K23+K24+K27+K28</f>
        <v>4401980056.8606243</v>
      </c>
    </row>
    <row r="32" spans="1:23" x14ac:dyDescent="0.35">
      <c r="K32" s="560">
        <f>K25+K29</f>
        <v>5596025.5853599142</v>
      </c>
    </row>
  </sheetData>
  <mergeCells count="4">
    <mergeCell ref="C5:F5"/>
    <mergeCell ref="I5:L5"/>
    <mergeCell ref="C19:F19"/>
    <mergeCell ref="I19:L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87023-B2D3-491C-807A-BBBA079E20D1}">
  <dimension ref="A3:Z108"/>
  <sheetViews>
    <sheetView topLeftCell="F11" workbookViewId="0">
      <selection activeCell="V33" sqref="V33"/>
    </sheetView>
  </sheetViews>
  <sheetFormatPr defaultRowHeight="12.75" x14ac:dyDescent="0.35"/>
  <cols>
    <col min="11" max="11" width="13.59765625" bestFit="1" customWidth="1"/>
    <col min="12" max="12" width="11.265625" bestFit="1" customWidth="1"/>
    <col min="13" max="13" width="11.73046875" customWidth="1"/>
    <col min="14" max="14" width="10.265625" bestFit="1" customWidth="1"/>
    <col min="17" max="17" width="11" customWidth="1"/>
    <col min="18" max="19" width="12.265625" customWidth="1"/>
    <col min="20" max="20" width="16.59765625" bestFit="1" customWidth="1"/>
    <col min="21" max="21" width="12.73046875" customWidth="1"/>
    <col min="22" max="22" width="11.86328125" customWidth="1"/>
    <col min="23" max="24" width="15" bestFit="1" customWidth="1"/>
    <col min="25" max="25" width="14" bestFit="1" customWidth="1"/>
  </cols>
  <sheetData>
    <row r="3" spans="1:26" ht="14.25" x14ac:dyDescent="0.35">
      <c r="Q3" s="742" t="s">
        <v>567</v>
      </c>
    </row>
    <row r="4" spans="1:26" ht="14.25" x14ac:dyDescent="0.4">
      <c r="A4" s="539" t="s">
        <v>516</v>
      </c>
      <c r="J4" s="244" t="s">
        <v>520</v>
      </c>
      <c r="L4" s="244"/>
      <c r="M4" s="244"/>
      <c r="N4" s="244"/>
      <c r="Q4" s="742" t="s">
        <v>568</v>
      </c>
    </row>
    <row r="5" spans="1:26" ht="14.25" x14ac:dyDescent="0.4">
      <c r="J5" s="583" t="s">
        <v>524</v>
      </c>
      <c r="K5" s="583" t="s">
        <v>10</v>
      </c>
      <c r="L5" s="583" t="s">
        <v>3</v>
      </c>
      <c r="M5" s="583" t="s">
        <v>4</v>
      </c>
      <c r="N5" s="583" t="s">
        <v>525</v>
      </c>
      <c r="Q5" s="742" t="s">
        <v>569</v>
      </c>
    </row>
    <row r="6" spans="1:26" x14ac:dyDescent="0.35">
      <c r="J6" s="688" t="s">
        <v>522</v>
      </c>
      <c r="K6" s="538">
        <f t="shared" ref="K6:K8" si="0">SUM(L6:M6)</f>
        <v>1532</v>
      </c>
      <c r="L6" s="538">
        <v>1465</v>
      </c>
      <c r="M6" s="538">
        <v>67</v>
      </c>
      <c r="N6" s="565">
        <f t="shared" ref="N6:N8" si="1">M6/K6</f>
        <v>4.3733681462140996E-2</v>
      </c>
    </row>
    <row r="7" spans="1:26" x14ac:dyDescent="0.35">
      <c r="J7" s="688" t="s">
        <v>523</v>
      </c>
      <c r="K7" s="538">
        <f t="shared" si="0"/>
        <v>36</v>
      </c>
      <c r="L7" s="538">
        <v>30</v>
      </c>
      <c r="M7" s="538">
        <v>6</v>
      </c>
      <c r="N7" s="565">
        <f t="shared" si="1"/>
        <v>0.16666666666666666</v>
      </c>
    </row>
    <row r="8" spans="1:26" x14ac:dyDescent="0.35">
      <c r="J8" s="518" t="s">
        <v>16</v>
      </c>
      <c r="K8" s="557">
        <f t="shared" si="0"/>
        <v>3</v>
      </c>
      <c r="L8" s="557">
        <v>1</v>
      </c>
      <c r="M8" s="557">
        <v>2</v>
      </c>
      <c r="N8" s="558">
        <f t="shared" si="1"/>
        <v>0.66666666666666663</v>
      </c>
    </row>
    <row r="9" spans="1:26" ht="13.15" x14ac:dyDescent="0.4">
      <c r="J9" s="244" t="s">
        <v>521</v>
      </c>
      <c r="K9" s="569">
        <f>SUM(K6:K8)</f>
        <v>1571</v>
      </c>
      <c r="L9" s="569">
        <f t="shared" ref="L9:M9" si="2">SUM(L6:L8)</f>
        <v>1496</v>
      </c>
      <c r="M9" s="569">
        <f t="shared" si="2"/>
        <v>75</v>
      </c>
      <c r="N9" s="629">
        <f>M9/K9</f>
        <v>4.7740292807129214E-2</v>
      </c>
      <c r="Q9" s="583" t="s">
        <v>2</v>
      </c>
      <c r="R9" s="583" t="s">
        <v>1</v>
      </c>
      <c r="S9" s="583" t="s">
        <v>527</v>
      </c>
      <c r="T9" s="583" t="s">
        <v>529</v>
      </c>
    </row>
    <row r="10" spans="1:26" x14ac:dyDescent="0.35">
      <c r="P10" s="703" t="s">
        <v>528</v>
      </c>
      <c r="Q10">
        <v>6.1</v>
      </c>
      <c r="R10" s="538">
        <v>6500</v>
      </c>
      <c r="S10" s="560">
        <f>R10/Q10</f>
        <v>1065.5737704918033</v>
      </c>
      <c r="T10" s="540">
        <f>R10/(Q10*1000)</f>
        <v>1.0655737704918034</v>
      </c>
    </row>
    <row r="11" spans="1:26" x14ac:dyDescent="0.35">
      <c r="P11" s="688" t="s">
        <v>531</v>
      </c>
      <c r="Q11">
        <v>1.5</v>
      </c>
      <c r="R11" s="538">
        <v>3600</v>
      </c>
      <c r="S11" s="560">
        <f>R11/Q11</f>
        <v>2400</v>
      </c>
      <c r="T11" s="540">
        <f>R11/(Q11*1000)</f>
        <v>2.4</v>
      </c>
    </row>
    <row r="14" spans="1:26" ht="13.15" x14ac:dyDescent="0.4">
      <c r="J14" s="244" t="s">
        <v>573</v>
      </c>
      <c r="M14" s="244"/>
      <c r="N14" s="744">
        <f>K16/18169</f>
        <v>0.55854367328966925</v>
      </c>
      <c r="P14" s="244" t="s">
        <v>526</v>
      </c>
      <c r="R14" s="244"/>
      <c r="S14" s="244"/>
      <c r="T14" s="244"/>
      <c r="V14" s="244" t="s">
        <v>570</v>
      </c>
      <c r="X14" s="244"/>
      <c r="Y14" s="244"/>
      <c r="Z14" s="244"/>
    </row>
    <row r="15" spans="1:26" ht="13.15" x14ac:dyDescent="0.4">
      <c r="J15" s="583" t="s">
        <v>524</v>
      </c>
      <c r="K15" s="583" t="s">
        <v>10</v>
      </c>
      <c r="L15" s="583" t="s">
        <v>3</v>
      </c>
      <c r="M15" s="583" t="s">
        <v>4</v>
      </c>
      <c r="N15" s="583" t="s">
        <v>525</v>
      </c>
      <c r="P15" s="583" t="s">
        <v>524</v>
      </c>
      <c r="Q15" s="583" t="s">
        <v>10</v>
      </c>
      <c r="R15" s="583" t="s">
        <v>3</v>
      </c>
      <c r="S15" s="583" t="s">
        <v>4</v>
      </c>
      <c r="T15" s="583" t="s">
        <v>525</v>
      </c>
      <c r="V15" s="583" t="s">
        <v>524</v>
      </c>
      <c r="W15" s="583" t="s">
        <v>10</v>
      </c>
      <c r="X15" s="583" t="s">
        <v>3</v>
      </c>
      <c r="Y15" s="583" t="s">
        <v>4</v>
      </c>
      <c r="Z15" s="583" t="s">
        <v>525</v>
      </c>
    </row>
    <row r="16" spans="1:26" x14ac:dyDescent="0.35">
      <c r="J16" s="688" t="s">
        <v>522</v>
      </c>
      <c r="K16" s="538">
        <f t="shared" ref="K16:K18" si="3">SUM(L16:M16)</f>
        <v>10148.18</v>
      </c>
      <c r="L16" s="538">
        <f>11157.86-1223</f>
        <v>9934.86</v>
      </c>
      <c r="M16" s="538">
        <f>7011.32-6798</f>
        <v>213.31999999999971</v>
      </c>
      <c r="N16" s="565">
        <f t="shared" ref="N16:N18" si="4">M16/K16</f>
        <v>2.1020517964797598E-2</v>
      </c>
      <c r="P16" s="688" t="s">
        <v>522</v>
      </c>
      <c r="Q16" s="538">
        <f t="shared" ref="Q16:Q18" si="5">SUM(R16:S16)</f>
        <v>10813634.426229509</v>
      </c>
      <c r="R16" s="538">
        <f>L16*$S$10</f>
        <v>10586326.229508197</v>
      </c>
      <c r="S16" s="538">
        <f>M16*$S$10</f>
        <v>227308.19672131116</v>
      </c>
      <c r="T16" s="565">
        <f t="shared" ref="T16:T18" si="6">S16/Q16</f>
        <v>2.1020517964797598E-2</v>
      </c>
      <c r="V16" s="688" t="s">
        <v>522</v>
      </c>
      <c r="W16" s="538">
        <f>Q16*V107</f>
        <v>5114051.7649391862</v>
      </c>
      <c r="X16" s="538">
        <f>R16*V107</f>
        <v>5006551.7479413766</v>
      </c>
      <c r="Y16" s="538">
        <f>S16*V107</f>
        <v>107500.01699780903</v>
      </c>
      <c r="Z16" s="565">
        <f t="shared" ref="Z16:Z18" si="7">Y16/W16</f>
        <v>2.1020517964797598E-2</v>
      </c>
    </row>
    <row r="17" spans="1:26" x14ac:dyDescent="0.35">
      <c r="J17" s="688" t="s">
        <v>523</v>
      </c>
      <c r="K17" s="538">
        <f t="shared" si="3"/>
        <v>278.03999999999996</v>
      </c>
      <c r="L17" s="538">
        <v>190.54</v>
      </c>
      <c r="M17" s="538">
        <v>87.5</v>
      </c>
      <c r="N17" s="565">
        <f t="shared" si="4"/>
        <v>0.31470292044310177</v>
      </c>
      <c r="P17" s="688" t="s">
        <v>523</v>
      </c>
      <c r="Q17" s="538">
        <f t="shared" si="5"/>
        <v>667296</v>
      </c>
      <c r="R17" s="538">
        <f>L17*S11</f>
        <v>457296</v>
      </c>
      <c r="S17" s="538">
        <f>M17*S11</f>
        <v>210000</v>
      </c>
      <c r="T17" s="565">
        <f t="shared" si="6"/>
        <v>0.31470292044310172</v>
      </c>
      <c r="V17" s="688" t="s">
        <v>523</v>
      </c>
      <c r="W17" s="538">
        <v>0</v>
      </c>
      <c r="X17" s="538">
        <f>W17*(1-N7)</f>
        <v>0</v>
      </c>
      <c r="Y17" s="538">
        <f>W17-X17</f>
        <v>0</v>
      </c>
      <c r="Z17" s="565" t="e">
        <f t="shared" si="7"/>
        <v>#DIV/0!</v>
      </c>
    </row>
    <row r="18" spans="1:26" x14ac:dyDescent="0.35">
      <c r="J18" s="518" t="s">
        <v>16</v>
      </c>
      <c r="K18" s="557">
        <f t="shared" si="3"/>
        <v>290.87</v>
      </c>
      <c r="L18" s="557">
        <v>9.1199999999999992</v>
      </c>
      <c r="M18" s="557">
        <v>281.75</v>
      </c>
      <c r="N18" s="558">
        <f t="shared" si="4"/>
        <v>0.96864578677759827</v>
      </c>
      <c r="P18" s="518" t="s">
        <v>16</v>
      </c>
      <c r="Q18" s="557">
        <f t="shared" si="5"/>
        <v>290.87</v>
      </c>
      <c r="R18" s="557">
        <v>9.1199999999999992</v>
      </c>
      <c r="S18" s="557">
        <v>281.75</v>
      </c>
      <c r="T18" s="558">
        <f t="shared" si="6"/>
        <v>0.96864578677759827</v>
      </c>
      <c r="V18" s="518" t="s">
        <v>16</v>
      </c>
      <c r="W18" s="557">
        <f t="shared" ref="W18" si="8">SUM(X18:Y18)</f>
        <v>290.87</v>
      </c>
      <c r="X18" s="557">
        <v>9.1199999999999992</v>
      </c>
      <c r="Y18" s="557">
        <v>281.75</v>
      </c>
      <c r="Z18" s="558">
        <f t="shared" si="7"/>
        <v>0.96864578677759827</v>
      </c>
    </row>
    <row r="19" spans="1:26" ht="13.15" x14ac:dyDescent="0.4">
      <c r="J19" s="244" t="s">
        <v>521</v>
      </c>
      <c r="K19" s="569">
        <f>SUM(K16:K18)</f>
        <v>10717.090000000002</v>
      </c>
      <c r="L19" s="569">
        <f t="shared" ref="L19" si="9">SUM(L16:L18)</f>
        <v>10134.520000000002</v>
      </c>
      <c r="M19" s="569">
        <f t="shared" ref="M19" si="10">SUM(M16:M18)</f>
        <v>582.56999999999971</v>
      </c>
      <c r="N19" s="629">
        <f>M19/K19</f>
        <v>5.4358972444945371E-2</v>
      </c>
      <c r="P19" s="244" t="s">
        <v>521</v>
      </c>
      <c r="Q19" s="569">
        <f>SUM(Q16:Q18)</f>
        <v>11481221.296229508</v>
      </c>
      <c r="R19" s="569">
        <f t="shared" ref="R19" si="11">SUM(R16:R18)</f>
        <v>11043631.349508196</v>
      </c>
      <c r="S19" s="569">
        <f t="shared" ref="S19" si="12">SUM(S16:S18)</f>
        <v>437589.94672131119</v>
      </c>
      <c r="T19" s="629">
        <f>S19/Q19</f>
        <v>3.8113536481090039E-2</v>
      </c>
      <c r="V19" s="244" t="s">
        <v>521</v>
      </c>
      <c r="W19" s="569">
        <f>SUM(W16:W18)</f>
        <v>5114342.6349391863</v>
      </c>
      <c r="X19" s="569">
        <f t="shared" ref="X19" si="13">SUM(X16:X18)</f>
        <v>5006560.8679413768</v>
      </c>
      <c r="Y19" s="569">
        <f t="shared" ref="Y19" si="14">SUM(Y16:Y18)</f>
        <v>107781.76699780903</v>
      </c>
      <c r="Z19" s="629">
        <f>Y19/W19</f>
        <v>2.1074412625678655E-2</v>
      </c>
    </row>
    <row r="23" spans="1:26" ht="13.15" x14ac:dyDescent="0.4">
      <c r="A23" s="539" t="s">
        <v>517</v>
      </c>
    </row>
    <row r="25" spans="1:26" x14ac:dyDescent="0.35">
      <c r="N25" s="688"/>
    </row>
    <row r="26" spans="1:26" ht="13.15" x14ac:dyDescent="0.4">
      <c r="M26" s="583" t="s">
        <v>530</v>
      </c>
      <c r="N26" s="702">
        <f>1-N9</f>
        <v>0.95225970719287079</v>
      </c>
      <c r="O26" s="702">
        <f>1-N26</f>
        <v>4.7740292807129214E-2</v>
      </c>
      <c r="S26" s="583">
        <v>2019</v>
      </c>
      <c r="T26" s="583" t="s">
        <v>604</v>
      </c>
      <c r="U26" s="583" t="s">
        <v>3</v>
      </c>
      <c r="V26" s="583" t="s">
        <v>4</v>
      </c>
      <c r="W26" s="583" t="s">
        <v>565</v>
      </c>
    </row>
    <row r="27" spans="1:26" ht="13.15" x14ac:dyDescent="0.4">
      <c r="K27" s="583">
        <v>2019</v>
      </c>
      <c r="L27" s="583" t="s">
        <v>518</v>
      </c>
      <c r="M27" s="701">
        <v>0.47</v>
      </c>
      <c r="N27" s="583" t="s">
        <v>118</v>
      </c>
      <c r="O27" s="583" t="s">
        <v>519</v>
      </c>
      <c r="R27" s="688" t="s">
        <v>533</v>
      </c>
      <c r="S27" s="538">
        <f>'2019 FA Data'!D21*0.036</f>
        <v>2212928.1359999999</v>
      </c>
      <c r="T27" s="560">
        <f>S27*V$107</f>
        <v>1046551.8431198156</v>
      </c>
      <c r="U27" s="560">
        <f>T27</f>
        <v>1046551.8431198156</v>
      </c>
      <c r="V27" s="538">
        <v>0</v>
      </c>
      <c r="W27" s="540">
        <v>1</v>
      </c>
      <c r="X27" s="688" t="s">
        <v>575</v>
      </c>
    </row>
    <row r="28" spans="1:26" x14ac:dyDescent="0.35">
      <c r="K28" s="688" t="s">
        <v>31</v>
      </c>
      <c r="L28" s="538">
        <v>163295</v>
      </c>
      <c r="M28" s="560">
        <f>L28*M$27</f>
        <v>76748.649999999994</v>
      </c>
      <c r="N28" s="560">
        <f>M28*N$26</f>
        <v>73084.646976448115</v>
      </c>
      <c r="O28" s="560">
        <f t="shared" ref="O28:O38" si="15">M28-N28</f>
        <v>3664.0030235518789</v>
      </c>
      <c r="R28" s="688" t="s">
        <v>217</v>
      </c>
      <c r="S28" s="538">
        <f>Y106*1000</f>
        <v>56137999.999999993</v>
      </c>
      <c r="T28" s="560">
        <f t="shared" ref="T28:T32" si="16">S28*V$107</f>
        <v>26549134.792626724</v>
      </c>
      <c r="U28" s="560">
        <f>W107*1000</f>
        <v>24818224.654377874</v>
      </c>
      <c r="V28" s="560">
        <f>X107*1000</f>
        <v>1730910.1382488478</v>
      </c>
      <c r="W28" s="540">
        <f>R55</f>
        <v>0.32927610506085842</v>
      </c>
      <c r="X28" s="688" t="s">
        <v>574</v>
      </c>
    </row>
    <row r="29" spans="1:26" x14ac:dyDescent="0.35">
      <c r="K29" s="688" t="s">
        <v>32</v>
      </c>
      <c r="L29" s="538">
        <v>171000</v>
      </c>
      <c r="M29" s="560">
        <f t="shared" ref="M29:M38" si="17">L29*M$27</f>
        <v>80370</v>
      </c>
      <c r="N29" s="560">
        <f t="shared" ref="N29:N38" si="18">M29*N$26</f>
        <v>76533.112667091031</v>
      </c>
      <c r="O29" s="560">
        <f t="shared" si="15"/>
        <v>3836.8873329089693</v>
      </c>
      <c r="R29" s="688" t="s">
        <v>35</v>
      </c>
      <c r="S29" s="538">
        <f>8195337*0.036</f>
        <v>295032.13199999998</v>
      </c>
      <c r="T29" s="560">
        <f t="shared" si="16"/>
        <v>139528.44491474653</v>
      </c>
      <c r="U29" s="560">
        <f>T29*0.95</f>
        <v>132552.02266900919</v>
      </c>
      <c r="V29" s="560">
        <f>T29-U29</f>
        <v>6976.4222457373398</v>
      </c>
      <c r="W29" s="540"/>
      <c r="X29" s="688" t="s">
        <v>605</v>
      </c>
    </row>
    <row r="30" spans="1:26" x14ac:dyDescent="0.35">
      <c r="K30" s="688" t="s">
        <v>34</v>
      </c>
      <c r="L30" s="538">
        <v>433344</v>
      </c>
      <c r="M30" s="560">
        <f t="shared" si="17"/>
        <v>203671.67999999999</v>
      </c>
      <c r="N30" s="560">
        <f t="shared" si="18"/>
        <v>193948.33436028007</v>
      </c>
      <c r="O30" s="560">
        <f t="shared" si="15"/>
        <v>9723.3456397199188</v>
      </c>
      <c r="R30" s="688" t="s">
        <v>43</v>
      </c>
      <c r="S30" s="538">
        <f>'Util Rev and Load Data'!C82*0.036</f>
        <v>885958.4021399999</v>
      </c>
      <c r="T30" s="560">
        <f t="shared" si="16"/>
        <v>418993.00009040319</v>
      </c>
      <c r="U30" s="560">
        <f>T30*0.95</f>
        <v>398043.35008588299</v>
      </c>
      <c r="V30" s="560">
        <f>T30-U30</f>
        <v>20949.650004520197</v>
      </c>
      <c r="W30" s="540"/>
      <c r="X30" s="688" t="s">
        <v>605</v>
      </c>
    </row>
    <row r="31" spans="1:26" x14ac:dyDescent="0.35">
      <c r="K31" s="688" t="s">
        <v>36</v>
      </c>
      <c r="L31" s="538">
        <v>53666</v>
      </c>
      <c r="M31" s="560">
        <f t="shared" si="17"/>
        <v>25223.019999999997</v>
      </c>
      <c r="N31" s="560">
        <f t="shared" si="18"/>
        <v>24018.865639719919</v>
      </c>
      <c r="O31" s="560">
        <f t="shared" si="15"/>
        <v>1204.1543602800775</v>
      </c>
      <c r="R31" s="688" t="s">
        <v>559</v>
      </c>
      <c r="S31" s="538">
        <f>L39</f>
        <v>2079077</v>
      </c>
      <c r="T31" s="560">
        <f>M39</f>
        <v>977166.6599999998</v>
      </c>
      <c r="U31" s="560">
        <f>N39</f>
        <v>930515.98996817321</v>
      </c>
      <c r="V31" s="560">
        <f>O39</f>
        <v>46650.20003182684</v>
      </c>
      <c r="W31" s="540">
        <f>0.2</f>
        <v>0.2</v>
      </c>
      <c r="X31" s="688" t="s">
        <v>576</v>
      </c>
    </row>
    <row r="32" spans="1:26" ht="15" x14ac:dyDescent="0.65">
      <c r="K32" s="688" t="s">
        <v>37</v>
      </c>
      <c r="L32" s="538">
        <v>38012</v>
      </c>
      <c r="M32" s="560">
        <f t="shared" si="17"/>
        <v>17865.64</v>
      </c>
      <c r="N32" s="560">
        <f t="shared" si="18"/>
        <v>17012.729115213238</v>
      </c>
      <c r="O32" s="560">
        <f t="shared" si="15"/>
        <v>852.91088478676102</v>
      </c>
      <c r="R32" s="688" t="s">
        <v>560</v>
      </c>
      <c r="S32" s="538">
        <f>Q16</f>
        <v>10813634.426229509</v>
      </c>
      <c r="T32" s="560">
        <f t="shared" si="16"/>
        <v>5114051.7649391862</v>
      </c>
      <c r="U32" s="794">
        <f>X16</f>
        <v>5006551.7479413766</v>
      </c>
      <c r="V32" s="794">
        <f>Y16</f>
        <v>107500.01699780903</v>
      </c>
      <c r="W32" s="540">
        <f>0.56</f>
        <v>0.56000000000000005</v>
      </c>
      <c r="X32" s="688" t="s">
        <v>566</v>
      </c>
    </row>
    <row r="33" spans="11:23" ht="13.15" x14ac:dyDescent="0.4">
      <c r="K33" s="688" t="s">
        <v>38</v>
      </c>
      <c r="L33" s="538">
        <v>38257</v>
      </c>
      <c r="M33" s="560">
        <f t="shared" si="17"/>
        <v>17980.789999999997</v>
      </c>
      <c r="N33" s="560">
        <f t="shared" si="18"/>
        <v>17122.381820496495</v>
      </c>
      <c r="O33" s="560">
        <f t="shared" si="15"/>
        <v>858.40817950350174</v>
      </c>
      <c r="U33" s="559">
        <f>SUM(U27:U32)</f>
        <v>32332439.608162135</v>
      </c>
      <c r="V33" s="559">
        <f>SUM(V27:V32)</f>
        <v>1912986.4275287413</v>
      </c>
    </row>
    <row r="34" spans="11:23" ht="13.15" x14ac:dyDescent="0.4">
      <c r="K34" s="688" t="s">
        <v>39</v>
      </c>
      <c r="L34" s="538">
        <v>333189</v>
      </c>
      <c r="M34" s="560">
        <f t="shared" si="17"/>
        <v>156598.82999999999</v>
      </c>
      <c r="N34" s="560">
        <f t="shared" si="18"/>
        <v>149122.75600254614</v>
      </c>
      <c r="O34" s="560">
        <f t="shared" si="15"/>
        <v>7476.0739974538446</v>
      </c>
      <c r="R34" s="745" t="s">
        <v>532</v>
      </c>
      <c r="S34" s="746"/>
      <c r="T34" s="747">
        <f>SUM(T27:T33)</f>
        <v>34245426.505690873</v>
      </c>
    </row>
    <row r="35" spans="11:23" ht="13.15" x14ac:dyDescent="0.4">
      <c r="K35" s="688" t="s">
        <v>40</v>
      </c>
      <c r="L35" s="538">
        <v>479564</v>
      </c>
      <c r="M35" s="560">
        <f t="shared" si="17"/>
        <v>225395.08</v>
      </c>
      <c r="N35" s="560">
        <f t="shared" si="18"/>
        <v>214634.65288351369</v>
      </c>
      <c r="O35" s="560">
        <f t="shared" si="15"/>
        <v>10760.427116486302</v>
      </c>
      <c r="R35" s="244" t="s">
        <v>603</v>
      </c>
      <c r="S35" s="244"/>
      <c r="T35" s="569">
        <f>T36*V107</f>
        <v>953624173.68862224</v>
      </c>
      <c r="U35" s="629">
        <f>T34/T35</f>
        <v>3.5910820478920351E-2</v>
      </c>
      <c r="V35" s="244" t="s">
        <v>577</v>
      </c>
      <c r="W35" s="244"/>
    </row>
    <row r="36" spans="11:23" x14ac:dyDescent="0.35">
      <c r="K36" s="688" t="s">
        <v>41</v>
      </c>
      <c r="L36" s="538">
        <v>164693</v>
      </c>
      <c r="M36" s="560">
        <f t="shared" si="17"/>
        <v>77405.709999999992</v>
      </c>
      <c r="N36" s="560">
        <f t="shared" si="18"/>
        <v>73710.338739656261</v>
      </c>
      <c r="O36" s="560">
        <f t="shared" si="15"/>
        <v>3695.3712603437307</v>
      </c>
      <c r="R36" s="688" t="s">
        <v>602</v>
      </c>
      <c r="T36" s="538">
        <v>2016433088.3355033</v>
      </c>
    </row>
    <row r="37" spans="11:23" x14ac:dyDescent="0.35">
      <c r="K37" s="688" t="s">
        <v>42</v>
      </c>
      <c r="L37" s="538">
        <v>18776</v>
      </c>
      <c r="M37" s="560">
        <f t="shared" si="17"/>
        <v>8824.7199999999993</v>
      </c>
      <c r="N37" s="560">
        <f t="shared" si="18"/>
        <v>8403.4252832590701</v>
      </c>
      <c r="O37" s="560">
        <f t="shared" si="15"/>
        <v>421.29471674092929</v>
      </c>
      <c r="U37" s="560"/>
    </row>
    <row r="38" spans="11:23" x14ac:dyDescent="0.35">
      <c r="K38" s="518" t="s">
        <v>44</v>
      </c>
      <c r="L38" s="557">
        <v>185281</v>
      </c>
      <c r="M38" s="739">
        <f t="shared" si="17"/>
        <v>87082.069999999992</v>
      </c>
      <c r="N38" s="739">
        <f t="shared" si="18"/>
        <v>82924.74647994907</v>
      </c>
      <c r="O38" s="739">
        <f t="shared" si="15"/>
        <v>4157.3235200509225</v>
      </c>
    </row>
    <row r="39" spans="11:23" ht="13.15" x14ac:dyDescent="0.4">
      <c r="K39" s="244" t="s">
        <v>10</v>
      </c>
      <c r="L39" s="559">
        <f>SUM(L28:L38)</f>
        <v>2079077</v>
      </c>
      <c r="M39" s="569">
        <f>SUM(M27:M38)</f>
        <v>977166.6599999998</v>
      </c>
      <c r="N39" s="559">
        <f>SUM(N28:N38)</f>
        <v>930515.98996817321</v>
      </c>
      <c r="O39" s="559">
        <f>SUM(O28:O38)</f>
        <v>46650.20003182684</v>
      </c>
      <c r="R39" s="539" t="s">
        <v>561</v>
      </c>
    </row>
    <row r="40" spans="11:23" x14ac:dyDescent="0.35">
      <c r="R40" s="740" t="s">
        <v>562</v>
      </c>
    </row>
    <row r="41" spans="11:23" x14ac:dyDescent="0.35">
      <c r="R41" s="741" t="s">
        <v>563</v>
      </c>
    </row>
    <row r="42" spans="11:23" x14ac:dyDescent="0.35">
      <c r="R42" s="741" t="s">
        <v>564</v>
      </c>
    </row>
    <row r="52" spans="1:20" ht="13.15" x14ac:dyDescent="0.4">
      <c r="A52" s="539" t="s">
        <v>217</v>
      </c>
      <c r="E52" s="743" t="s">
        <v>572</v>
      </c>
    </row>
    <row r="53" spans="1:20" x14ac:dyDescent="0.35">
      <c r="B53" s="688" t="s">
        <v>534</v>
      </c>
      <c r="E53" s="995" t="s">
        <v>547</v>
      </c>
      <c r="F53" s="997" t="s">
        <v>548</v>
      </c>
      <c r="G53" s="999" t="s">
        <v>549</v>
      </c>
      <c r="H53" s="1000"/>
      <c r="I53" s="999" t="s">
        <v>550</v>
      </c>
      <c r="J53" s="1000"/>
      <c r="K53" s="999" t="s">
        <v>551</v>
      </c>
      <c r="L53" s="1000"/>
      <c r="M53" s="999" t="s">
        <v>552</v>
      </c>
      <c r="N53" s="1000"/>
      <c r="O53" s="987" t="s">
        <v>553</v>
      </c>
      <c r="P53" s="988"/>
    </row>
    <row r="54" spans="1:20" ht="23.25" x14ac:dyDescent="0.35">
      <c r="B54" t="s">
        <v>535</v>
      </c>
      <c r="E54" s="996"/>
      <c r="F54" s="998"/>
      <c r="G54" s="733" t="s">
        <v>554</v>
      </c>
      <c r="H54" s="734" t="s">
        <v>555</v>
      </c>
      <c r="I54" s="733" t="s">
        <v>554</v>
      </c>
      <c r="J54" s="734" t="s">
        <v>555</v>
      </c>
      <c r="K54" s="733" t="s">
        <v>554</v>
      </c>
      <c r="L54" s="734" t="s">
        <v>555</v>
      </c>
      <c r="M54" s="733" t="s">
        <v>554</v>
      </c>
      <c r="N54" s="734" t="s">
        <v>555</v>
      </c>
      <c r="O54" s="733" t="s">
        <v>554</v>
      </c>
      <c r="P54" s="735" t="s">
        <v>555</v>
      </c>
      <c r="Q54" s="737" t="s">
        <v>557</v>
      </c>
      <c r="T54" s="736" t="s">
        <v>556</v>
      </c>
    </row>
    <row r="55" spans="1:20" x14ac:dyDescent="0.35">
      <c r="B55" t="s">
        <v>536</v>
      </c>
      <c r="E55" s="989" t="s">
        <v>537</v>
      </c>
      <c r="F55" s="704" t="s">
        <v>538</v>
      </c>
      <c r="G55" s="705">
        <v>6379</v>
      </c>
      <c r="H55" s="706">
        <v>38.9</v>
      </c>
      <c r="I55" s="707">
        <v>1923</v>
      </c>
      <c r="J55" s="708">
        <v>12.5</v>
      </c>
      <c r="K55" s="709">
        <v>139</v>
      </c>
      <c r="L55" s="710">
        <v>0.9</v>
      </c>
      <c r="M55" s="709">
        <v>82</v>
      </c>
      <c r="N55" s="706">
        <v>0.5</v>
      </c>
      <c r="O55" s="707">
        <v>8523</v>
      </c>
      <c r="P55" s="711">
        <v>52.8</v>
      </c>
      <c r="Q55" s="738">
        <f>H55+J55</f>
        <v>51.4</v>
      </c>
      <c r="R55" s="540">
        <f>Q55/Q$61</f>
        <v>0.32927610506085842</v>
      </c>
      <c r="T55" s="560">
        <f>(H55+J55)*S10*1000</f>
        <v>54770491.803278685</v>
      </c>
    </row>
    <row r="56" spans="1:20" x14ac:dyDescent="0.35">
      <c r="E56" s="990"/>
      <c r="F56" s="712" t="s">
        <v>539</v>
      </c>
      <c r="G56" s="713">
        <v>1</v>
      </c>
      <c r="H56" s="714">
        <v>0</v>
      </c>
      <c r="I56" s="713">
        <v>373</v>
      </c>
      <c r="J56" s="715">
        <v>3.1</v>
      </c>
      <c r="K56" s="713">
        <v>234</v>
      </c>
      <c r="L56" s="716">
        <v>1.7</v>
      </c>
      <c r="M56" s="713">
        <v>3</v>
      </c>
      <c r="N56" s="714">
        <v>0</v>
      </c>
      <c r="O56" s="713">
        <v>611</v>
      </c>
      <c r="P56" s="717">
        <v>4.8</v>
      </c>
    </row>
    <row r="57" spans="1:20" x14ac:dyDescent="0.35">
      <c r="B57" s="986" t="s">
        <v>558</v>
      </c>
      <c r="C57" s="986"/>
      <c r="E57" s="991" t="s">
        <v>540</v>
      </c>
      <c r="F57" s="704" t="s">
        <v>538</v>
      </c>
      <c r="G57" s="718">
        <v>416</v>
      </c>
      <c r="H57" s="706">
        <v>32.200000000000003</v>
      </c>
      <c r="I57" s="709">
        <v>76</v>
      </c>
      <c r="J57" s="708">
        <v>4.7</v>
      </c>
      <c r="K57" s="709">
        <v>2</v>
      </c>
      <c r="L57" s="710">
        <v>0</v>
      </c>
      <c r="M57" s="709">
        <v>17</v>
      </c>
      <c r="N57" s="706">
        <v>1.6</v>
      </c>
      <c r="O57" s="709">
        <v>511</v>
      </c>
      <c r="P57" s="711">
        <v>38.5</v>
      </c>
      <c r="Q57" s="738">
        <f>H57+J57</f>
        <v>36.900000000000006</v>
      </c>
      <c r="R57" s="540">
        <f>Q57/Q$61</f>
        <v>0.23638693145419606</v>
      </c>
    </row>
    <row r="58" spans="1:20" x14ac:dyDescent="0.35">
      <c r="B58" s="986"/>
      <c r="C58" s="986"/>
      <c r="E58" s="992"/>
      <c r="F58" s="712" t="s">
        <v>539</v>
      </c>
      <c r="G58" s="713">
        <v>3</v>
      </c>
      <c r="H58" s="714">
        <v>0.3</v>
      </c>
      <c r="I58" s="713">
        <v>113</v>
      </c>
      <c r="J58" s="715">
        <v>10.9</v>
      </c>
      <c r="K58" s="713">
        <v>20</v>
      </c>
      <c r="L58" s="716">
        <v>0.7</v>
      </c>
      <c r="M58" s="713">
        <v>1</v>
      </c>
      <c r="N58" s="714">
        <v>0.1</v>
      </c>
      <c r="O58" s="713">
        <v>137</v>
      </c>
      <c r="P58" s="717">
        <v>12</v>
      </c>
    </row>
    <row r="59" spans="1:20" x14ac:dyDescent="0.35">
      <c r="B59" s="986"/>
      <c r="C59" s="986"/>
      <c r="E59" s="989" t="s">
        <v>541</v>
      </c>
      <c r="F59" s="704" t="s">
        <v>538</v>
      </c>
      <c r="G59" s="718">
        <v>120</v>
      </c>
      <c r="H59" s="706">
        <v>66</v>
      </c>
      <c r="I59" s="709">
        <v>4</v>
      </c>
      <c r="J59" s="708">
        <v>1.8</v>
      </c>
      <c r="K59" s="709">
        <v>0</v>
      </c>
      <c r="L59" s="710">
        <v>0</v>
      </c>
      <c r="M59" s="709">
        <v>12</v>
      </c>
      <c r="N59" s="706">
        <v>4</v>
      </c>
      <c r="O59" s="709">
        <v>136</v>
      </c>
      <c r="P59" s="711">
        <v>71.8</v>
      </c>
      <c r="Q59" s="738">
        <f>H59+J59</f>
        <v>67.8</v>
      </c>
      <c r="R59" s="540">
        <f>Q59/Q$61</f>
        <v>0.43433696348494555</v>
      </c>
    </row>
    <row r="60" spans="1:20" x14ac:dyDescent="0.35">
      <c r="E60" s="990"/>
      <c r="F60" s="712" t="s">
        <v>539</v>
      </c>
      <c r="G60" s="713">
        <v>6</v>
      </c>
      <c r="H60" s="714">
        <v>2.9</v>
      </c>
      <c r="I60" s="713">
        <v>59</v>
      </c>
      <c r="J60" s="715">
        <v>28.6</v>
      </c>
      <c r="K60" s="713">
        <v>6</v>
      </c>
      <c r="L60" s="716">
        <v>2.5</v>
      </c>
      <c r="M60" s="713">
        <v>0</v>
      </c>
      <c r="N60" s="714">
        <v>0</v>
      </c>
      <c r="O60" s="713">
        <v>71</v>
      </c>
      <c r="P60" s="717">
        <v>34</v>
      </c>
    </row>
    <row r="61" spans="1:20" ht="12.75" customHeight="1" x14ac:dyDescent="0.35">
      <c r="E61" s="993" t="s">
        <v>542</v>
      </c>
      <c r="F61" s="994"/>
      <c r="G61" s="719">
        <v>6915</v>
      </c>
      <c r="H61" s="720">
        <v>137.1</v>
      </c>
      <c r="I61" s="721">
        <v>2003</v>
      </c>
      <c r="J61" s="722">
        <v>19</v>
      </c>
      <c r="K61" s="723">
        <v>141</v>
      </c>
      <c r="L61" s="724">
        <v>0.9</v>
      </c>
      <c r="M61" s="723">
        <v>111</v>
      </c>
      <c r="N61" s="720">
        <v>6.1</v>
      </c>
      <c r="O61" s="721">
        <v>9170</v>
      </c>
      <c r="P61" s="725">
        <v>163.1</v>
      </c>
      <c r="Q61" s="738">
        <f>H61+J61</f>
        <v>156.1</v>
      </c>
      <c r="R61" s="565">
        <f>L61/(Q61+L61)</f>
        <v>5.7324840764331215E-3</v>
      </c>
      <c r="S61" s="688" t="s">
        <v>571</v>
      </c>
    </row>
    <row r="62" spans="1:20" x14ac:dyDescent="0.35">
      <c r="E62" s="993" t="s">
        <v>543</v>
      </c>
      <c r="F62" s="994"/>
      <c r="G62" s="723">
        <v>10</v>
      </c>
      <c r="H62" s="720">
        <v>3.2</v>
      </c>
      <c r="I62" s="723">
        <v>545</v>
      </c>
      <c r="J62" s="722">
        <v>42.6</v>
      </c>
      <c r="K62" s="723">
        <v>260</v>
      </c>
      <c r="L62" s="724">
        <v>4.9000000000000004</v>
      </c>
      <c r="M62" s="723">
        <v>4</v>
      </c>
      <c r="N62" s="720">
        <v>0.1</v>
      </c>
      <c r="O62" s="723">
        <v>819</v>
      </c>
      <c r="P62" s="725">
        <v>50.8</v>
      </c>
    </row>
    <row r="63" spans="1:20" x14ac:dyDescent="0.35">
      <c r="E63" s="984" t="s">
        <v>544</v>
      </c>
      <c r="F63" s="985"/>
      <c r="G63" s="726">
        <v>6925</v>
      </c>
      <c r="H63" s="727">
        <v>140.30000000000001</v>
      </c>
      <c r="I63" s="728">
        <v>2548</v>
      </c>
      <c r="J63" s="729">
        <v>6261</v>
      </c>
      <c r="K63" s="730">
        <v>401</v>
      </c>
      <c r="L63" s="731">
        <v>5.8</v>
      </c>
      <c r="M63" s="730">
        <v>115</v>
      </c>
      <c r="N63" s="727">
        <v>6.2</v>
      </c>
      <c r="O63" s="728">
        <v>9989</v>
      </c>
      <c r="P63" s="732">
        <v>213.9</v>
      </c>
    </row>
    <row r="65" spans="2:2" x14ac:dyDescent="0.35">
      <c r="B65" s="688" t="s">
        <v>545</v>
      </c>
    </row>
    <row r="66" spans="2:2" x14ac:dyDescent="0.35">
      <c r="B66" s="688" t="s">
        <v>546</v>
      </c>
    </row>
    <row r="72" spans="2:2" x14ac:dyDescent="0.35">
      <c r="B72" s="688" t="s">
        <v>591</v>
      </c>
    </row>
    <row r="91" spans="20:25" ht="13.15" x14ac:dyDescent="0.4">
      <c r="W91" s="983" t="s">
        <v>596</v>
      </c>
      <c r="X91" s="983"/>
    </row>
    <row r="92" spans="20:25" ht="13.15" x14ac:dyDescent="0.4">
      <c r="W92" s="583" t="s">
        <v>3</v>
      </c>
      <c r="X92" s="583" t="s">
        <v>4</v>
      </c>
      <c r="Y92" s="583" t="s">
        <v>600</v>
      </c>
    </row>
    <row r="93" spans="20:25" ht="13.15" x14ac:dyDescent="0.4">
      <c r="T93" s="539" t="s">
        <v>599</v>
      </c>
      <c r="U93" s="583" t="s">
        <v>597</v>
      </c>
      <c r="V93" s="583" t="s">
        <v>598</v>
      </c>
      <c r="W93" s="538">
        <v>52478</v>
      </c>
      <c r="X93" s="538">
        <v>3660</v>
      </c>
      <c r="Y93" s="560">
        <f>SUM(W93:X93)</f>
        <v>56138</v>
      </c>
    </row>
    <row r="94" spans="20:25" x14ac:dyDescent="0.35">
      <c r="T94" s="688" t="s">
        <v>287</v>
      </c>
      <c r="U94" s="565">
        <v>7.6999999999999999E-2</v>
      </c>
      <c r="V94" s="565">
        <f>U94/U$106</f>
        <v>4.4354838709677415E-2</v>
      </c>
      <c r="W94" s="560">
        <f>$V94*W$93</f>
        <v>2327.6532258064512</v>
      </c>
      <c r="X94" s="560">
        <f>$V94*X$93</f>
        <v>162.33870967741933</v>
      </c>
      <c r="Y94" s="560">
        <f t="shared" ref="Y94:Y99" si="19">SUM(W94:X94)</f>
        <v>2489.9919354838707</v>
      </c>
    </row>
    <row r="95" spans="20:25" x14ac:dyDescent="0.35">
      <c r="T95" s="688" t="s">
        <v>288</v>
      </c>
      <c r="U95" s="565">
        <v>0.108</v>
      </c>
      <c r="V95" s="565">
        <f t="shared" ref="V95:V105" si="20">U95/U$106</f>
        <v>6.2211981566820271E-2</v>
      </c>
      <c r="W95" s="560">
        <f t="shared" ref="W95:X105" si="21">$V95*W$93</f>
        <v>3264.7603686635944</v>
      </c>
      <c r="X95" s="560">
        <f t="shared" si="21"/>
        <v>227.69585253456219</v>
      </c>
      <c r="Y95" s="560">
        <f t="shared" si="19"/>
        <v>3492.4562211981565</v>
      </c>
    </row>
    <row r="96" spans="20:25" x14ac:dyDescent="0.35">
      <c r="T96" s="688" t="s">
        <v>289</v>
      </c>
      <c r="U96" s="565">
        <v>0.14099999999999999</v>
      </c>
      <c r="V96" s="565">
        <f t="shared" si="20"/>
        <v>8.1221198156682009E-2</v>
      </c>
      <c r="W96" s="560">
        <f t="shared" si="21"/>
        <v>4262.3260368663587</v>
      </c>
      <c r="X96" s="560">
        <f t="shared" si="21"/>
        <v>297.26958525345617</v>
      </c>
      <c r="Y96" s="560">
        <f t="shared" si="19"/>
        <v>4559.5956221198148</v>
      </c>
    </row>
    <row r="97" spans="20:25" x14ac:dyDescent="0.35">
      <c r="T97" s="688" t="s">
        <v>290</v>
      </c>
      <c r="U97" s="565">
        <v>0.188</v>
      </c>
      <c r="V97" s="565">
        <f t="shared" si="20"/>
        <v>0.10829493087557603</v>
      </c>
      <c r="W97" s="560">
        <f t="shared" si="21"/>
        <v>5683.1013824884785</v>
      </c>
      <c r="X97" s="560">
        <f t="shared" si="21"/>
        <v>396.35944700460823</v>
      </c>
      <c r="Y97" s="560">
        <f t="shared" si="19"/>
        <v>6079.4608294930867</v>
      </c>
    </row>
    <row r="98" spans="20:25" x14ac:dyDescent="0.35">
      <c r="T98" s="688" t="s">
        <v>291</v>
      </c>
      <c r="U98" s="565">
        <v>0.19500000000000001</v>
      </c>
      <c r="V98" s="565">
        <f t="shared" si="20"/>
        <v>0.11232718894009215</v>
      </c>
      <c r="W98" s="560">
        <f t="shared" si="21"/>
        <v>5894.7062211981556</v>
      </c>
      <c r="X98" s="560">
        <f t="shared" si="21"/>
        <v>411.11751152073725</v>
      </c>
      <c r="Y98" s="560">
        <f t="shared" si="19"/>
        <v>6305.8237327188926</v>
      </c>
    </row>
    <row r="99" spans="20:25" x14ac:dyDescent="0.35">
      <c r="T99" s="688" t="s">
        <v>292</v>
      </c>
      <c r="U99" s="565">
        <v>0.20599999999999999</v>
      </c>
      <c r="V99" s="565">
        <f t="shared" si="20"/>
        <v>0.11866359447004607</v>
      </c>
      <c r="W99" s="560">
        <f t="shared" si="21"/>
        <v>6227.2281105990778</v>
      </c>
      <c r="X99" s="560">
        <f t="shared" si="21"/>
        <v>434.30875576036863</v>
      </c>
      <c r="Y99" s="560">
        <f t="shared" si="19"/>
        <v>6661.5368663594463</v>
      </c>
    </row>
    <row r="100" spans="20:25" x14ac:dyDescent="0.35">
      <c r="T100" s="688" t="s">
        <v>592</v>
      </c>
      <c r="U100" s="565">
        <v>0.20300000000000001</v>
      </c>
      <c r="V100" s="565">
        <f t="shared" si="20"/>
        <v>0.11693548387096774</v>
      </c>
      <c r="W100" s="560">
        <f t="shared" si="21"/>
        <v>6136.5403225806449</v>
      </c>
      <c r="X100" s="560">
        <f t="shared" si="21"/>
        <v>427.98387096774189</v>
      </c>
      <c r="Y100" s="560">
        <f t="shared" ref="Y100:Y105" si="22">SUM(W100:X100)</f>
        <v>6564.5241935483864</v>
      </c>
    </row>
    <row r="101" spans="20:25" x14ac:dyDescent="0.35">
      <c r="T101" s="688" t="s">
        <v>593</v>
      </c>
      <c r="U101" s="565">
        <v>0.19500000000000001</v>
      </c>
      <c r="V101" s="565">
        <f t="shared" si="20"/>
        <v>0.11232718894009215</v>
      </c>
      <c r="W101" s="560">
        <f t="shared" si="21"/>
        <v>5894.7062211981556</v>
      </c>
      <c r="X101" s="560">
        <f t="shared" si="21"/>
        <v>411.11751152073725</v>
      </c>
      <c r="Y101" s="560">
        <f t="shared" si="22"/>
        <v>6305.8237327188926</v>
      </c>
    </row>
    <row r="102" spans="20:25" x14ac:dyDescent="0.35">
      <c r="T102" s="688" t="s">
        <v>594</v>
      </c>
      <c r="U102" s="565">
        <v>0.157</v>
      </c>
      <c r="V102" s="565">
        <f t="shared" si="20"/>
        <v>9.0437788018433163E-2</v>
      </c>
      <c r="W102" s="560">
        <f t="shared" si="21"/>
        <v>4745.9942396313354</v>
      </c>
      <c r="X102" s="560">
        <f t="shared" si="21"/>
        <v>331.0023041474654</v>
      </c>
      <c r="Y102" s="560">
        <f t="shared" si="22"/>
        <v>5076.9965437788005</v>
      </c>
    </row>
    <row r="103" spans="20:25" x14ac:dyDescent="0.35">
      <c r="T103" s="688" t="s">
        <v>411</v>
      </c>
      <c r="U103" s="565">
        <v>0.125</v>
      </c>
      <c r="V103" s="565">
        <f t="shared" si="20"/>
        <v>7.2004608294930869E-2</v>
      </c>
      <c r="W103" s="560">
        <f t="shared" si="21"/>
        <v>3778.6578341013819</v>
      </c>
      <c r="X103" s="560">
        <f t="shared" si="21"/>
        <v>263.536866359447</v>
      </c>
      <c r="Y103" s="560">
        <f t="shared" si="22"/>
        <v>4042.1947004608292</v>
      </c>
    </row>
    <row r="104" spans="20:25" x14ac:dyDescent="0.35">
      <c r="T104" s="688" t="s">
        <v>412</v>
      </c>
      <c r="U104" s="565">
        <v>8.4000000000000005E-2</v>
      </c>
      <c r="V104" s="565">
        <f t="shared" si="20"/>
        <v>4.8387096774193547E-2</v>
      </c>
      <c r="W104" s="560">
        <f t="shared" si="21"/>
        <v>2539.2580645161288</v>
      </c>
      <c r="X104" s="560">
        <f t="shared" si="21"/>
        <v>177.09677419354838</v>
      </c>
      <c r="Y104" s="560">
        <f t="shared" si="22"/>
        <v>2716.3548387096771</v>
      </c>
    </row>
    <row r="105" spans="20:25" x14ac:dyDescent="0.35">
      <c r="T105" s="518" t="s">
        <v>595</v>
      </c>
      <c r="U105" s="558">
        <v>5.7000000000000002E-2</v>
      </c>
      <c r="V105" s="558">
        <f t="shared" si="20"/>
        <v>3.2834101382488476E-2</v>
      </c>
      <c r="W105" s="739">
        <f t="shared" si="21"/>
        <v>1723.0679723502303</v>
      </c>
      <c r="X105" s="739">
        <f t="shared" si="21"/>
        <v>120.17281105990781</v>
      </c>
      <c r="Y105" s="739">
        <f t="shared" si="22"/>
        <v>1843.2407834101382</v>
      </c>
    </row>
    <row r="106" spans="20:25" ht="13.15" x14ac:dyDescent="0.4">
      <c r="T106" s="244" t="s">
        <v>132</v>
      </c>
      <c r="U106" s="744">
        <f>SUM(U94:U105)</f>
        <v>1.7360000000000002</v>
      </c>
      <c r="V106" s="567">
        <f>SUM(V94:V105)</f>
        <v>0.99999999999999978</v>
      </c>
      <c r="W106" s="559">
        <f t="shared" ref="W106:X106" si="23">SUM(W94:W105)</f>
        <v>52477.999999999993</v>
      </c>
      <c r="X106" s="559">
        <f t="shared" si="23"/>
        <v>3660</v>
      </c>
      <c r="Y106" s="559">
        <f>SUM(Y94:Y105)</f>
        <v>56137.999999999993</v>
      </c>
    </row>
    <row r="107" spans="20:25" ht="13.15" x14ac:dyDescent="0.4">
      <c r="T107" s="244" t="s">
        <v>601</v>
      </c>
      <c r="V107" s="762">
        <f>SUM(V100:V105)</f>
        <v>0.47292626728110598</v>
      </c>
      <c r="W107" s="763">
        <f t="shared" ref="W107:X107" si="24">SUM(W100:W105)</f>
        <v>24818.224654377875</v>
      </c>
      <c r="X107" s="763">
        <f t="shared" si="24"/>
        <v>1730.9101382488477</v>
      </c>
      <c r="Y107" s="763">
        <f>SUM(Y100:Y105)</f>
        <v>26549.134792626726</v>
      </c>
    </row>
    <row r="108" spans="20:25" ht="13.15" x14ac:dyDescent="0.4">
      <c r="W108" s="629">
        <f>W107/Y107</f>
        <v>0.93480351989739552</v>
      </c>
      <c r="X108" s="629">
        <f>X107/Y107</f>
        <v>6.5196480102604287E-2</v>
      </c>
      <c r="Y108" s="565"/>
    </row>
  </sheetData>
  <mergeCells count="15">
    <mergeCell ref="W91:X91"/>
    <mergeCell ref="E63:F63"/>
    <mergeCell ref="B57:C59"/>
    <mergeCell ref="O53:P53"/>
    <mergeCell ref="E55:E56"/>
    <mergeCell ref="E57:E58"/>
    <mergeCell ref="E59:E60"/>
    <mergeCell ref="E61:F61"/>
    <mergeCell ref="E62:F62"/>
    <mergeCell ref="E53:E54"/>
    <mergeCell ref="F53:F54"/>
    <mergeCell ref="G53:H53"/>
    <mergeCell ref="I53:J53"/>
    <mergeCell ref="K53:L53"/>
    <mergeCell ref="M53:N53"/>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09A07-6CC5-4722-8512-45BB1451C316}">
  <dimension ref="A8:Q28"/>
  <sheetViews>
    <sheetView topLeftCell="A4" workbookViewId="0">
      <selection activeCell="A25" sqref="A25:B28"/>
    </sheetView>
  </sheetViews>
  <sheetFormatPr defaultRowHeight="12.75" x14ac:dyDescent="0.35"/>
  <cols>
    <col min="1" max="1" width="15.73046875" customWidth="1"/>
    <col min="2" max="4" width="16.3984375" customWidth="1"/>
    <col min="5" max="5" width="14" bestFit="1" customWidth="1"/>
    <col min="8" max="10" width="12.59765625" customWidth="1"/>
    <col min="11" max="11" width="13.3984375" customWidth="1"/>
    <col min="16" max="16" width="11.59765625" bestFit="1" customWidth="1"/>
  </cols>
  <sheetData>
    <row r="8" spans="1:17" s="736" customFormat="1" ht="52.5" x14ac:dyDescent="0.4">
      <c r="A8" s="544" t="s">
        <v>626</v>
      </c>
      <c r="B8" s="544" t="s">
        <v>376</v>
      </c>
      <c r="C8" s="544" t="s">
        <v>469</v>
      </c>
      <c r="D8" s="544" t="s">
        <v>621</v>
      </c>
      <c r="E8" s="544" t="s">
        <v>639</v>
      </c>
      <c r="F8" s="544" t="s">
        <v>640</v>
      </c>
      <c r="H8" s="544" t="s">
        <v>630</v>
      </c>
      <c r="I8" s="544" t="s">
        <v>631</v>
      </c>
      <c r="J8" s="544" t="s">
        <v>632</v>
      </c>
      <c r="K8" s="544" t="s">
        <v>641</v>
      </c>
      <c r="L8" s="544" t="s">
        <v>643</v>
      </c>
      <c r="N8" s="544" t="s">
        <v>67</v>
      </c>
      <c r="O8" s="544"/>
      <c r="P8" s="544" t="s">
        <v>94</v>
      </c>
    </row>
    <row r="9" spans="1:17" s="736" customFormat="1" x14ac:dyDescent="0.35">
      <c r="A9" s="688" t="s">
        <v>636</v>
      </c>
      <c r="B9" s="828">
        <v>7951752</v>
      </c>
      <c r="C9" s="828">
        <v>727398788</v>
      </c>
      <c r="D9" s="828">
        <v>1558525</v>
      </c>
      <c r="E9" s="560">
        <f t="shared" ref="E9:E10" si="0">C9+B9</f>
        <v>735350540</v>
      </c>
      <c r="F9"/>
      <c r="G9" s="827"/>
      <c r="H9" s="829">
        <v>338928</v>
      </c>
      <c r="I9" s="829">
        <v>54187521</v>
      </c>
      <c r="J9" s="829">
        <v>22198986</v>
      </c>
      <c r="K9" s="537">
        <f>SUM(H9:J9)</f>
        <v>76725435</v>
      </c>
      <c r="N9" s="579">
        <f>(I9+H9)/E9</f>
        <v>7.415028076269585E-2</v>
      </c>
      <c r="O9"/>
      <c r="P9" s="831">
        <f>J9/D9</f>
        <v>14.243586724627452</v>
      </c>
    </row>
    <row r="10" spans="1:17" s="736" customFormat="1" x14ac:dyDescent="0.35">
      <c r="A10" s="688" t="s">
        <v>637</v>
      </c>
      <c r="B10" s="828">
        <v>9972776</v>
      </c>
      <c r="C10" s="828">
        <v>703687893</v>
      </c>
      <c r="D10" s="828">
        <v>1416502.88</v>
      </c>
      <c r="E10" s="560">
        <f t="shared" si="0"/>
        <v>713660669</v>
      </c>
      <c r="F10" s="565">
        <f t="shared" ref="F10:F11" si="1">E10/E9-1</f>
        <v>-2.9495961205114551E-2</v>
      </c>
      <c r="G10" s="827"/>
      <c r="H10" s="829">
        <v>819118</v>
      </c>
      <c r="I10" s="829">
        <v>51376605.483200006</v>
      </c>
      <c r="J10" s="829">
        <v>21813347.386799999</v>
      </c>
      <c r="K10" s="537">
        <f t="shared" ref="K10:K13" si="2">SUM(H10:J10)</f>
        <v>74009070.870000005</v>
      </c>
      <c r="L10" s="565">
        <f t="shared" ref="L10:L11" si="3">K10/K9-1</f>
        <v>-3.5403698004449202E-2</v>
      </c>
      <c r="N10" s="579">
        <f t="shared" ref="N10:N12" si="4">(I10+H10)/E10</f>
        <v>7.313801327504571E-2</v>
      </c>
      <c r="O10" s="565">
        <f t="shared" ref="O10:Q11" si="5">N10/N9-1</f>
        <v>-1.3651566484147448E-2</v>
      </c>
      <c r="P10" s="831">
        <f t="shared" ref="P10:P12" si="6">J10/D10</f>
        <v>15.399437371281589</v>
      </c>
      <c r="Q10" s="565">
        <f t="shared" si="5"/>
        <v>8.1148847477837016E-2</v>
      </c>
    </row>
    <row r="11" spans="1:17" x14ac:dyDescent="0.35">
      <c r="A11" s="688" t="s">
        <v>623</v>
      </c>
      <c r="B11" s="538">
        <v>8702978</v>
      </c>
      <c r="C11" s="538">
        <v>714469990</v>
      </c>
      <c r="D11" s="538">
        <v>1390845.426</v>
      </c>
      <c r="E11" s="560">
        <f>C11+B11</f>
        <v>723172968</v>
      </c>
      <c r="F11" s="565">
        <f t="shared" si="1"/>
        <v>1.3328882216991023E-2</v>
      </c>
      <c r="H11" s="830">
        <v>842442</v>
      </c>
      <c r="I11" s="830">
        <v>52070329.929140009</v>
      </c>
      <c r="J11" s="830">
        <v>21750354.450059999</v>
      </c>
      <c r="K11" s="537">
        <f t="shared" si="2"/>
        <v>74663126.379200011</v>
      </c>
      <c r="L11" s="565">
        <f t="shared" si="3"/>
        <v>8.8375046668114354E-3</v>
      </c>
      <c r="N11" s="579">
        <f t="shared" si="4"/>
        <v>7.3167519072892123E-2</v>
      </c>
      <c r="O11" s="565">
        <f t="shared" si="5"/>
        <v>4.034262967391733E-4</v>
      </c>
      <c r="P11" s="831">
        <f t="shared" si="6"/>
        <v>15.638225530649299</v>
      </c>
      <c r="Q11" s="565">
        <f t="shared" si="5"/>
        <v>1.5506291146261342E-2</v>
      </c>
    </row>
    <row r="12" spans="1:17" x14ac:dyDescent="0.35">
      <c r="A12" s="688" t="s">
        <v>363</v>
      </c>
      <c r="B12" s="538">
        <v>5578093</v>
      </c>
      <c r="C12" s="538">
        <v>727465365</v>
      </c>
      <c r="D12" s="538">
        <v>1745708.25</v>
      </c>
      <c r="E12" s="560">
        <f t="shared" ref="E12:E13" si="7">C12+B12</f>
        <v>733043458</v>
      </c>
      <c r="F12" s="565">
        <f>E12/E11-1</f>
        <v>1.3648864707011654E-2</v>
      </c>
      <c r="H12" s="537">
        <f>'Util Rev and Load Data'!S42</f>
        <v>1216637</v>
      </c>
      <c r="I12" s="537">
        <f>'Util Rev and Load Data'!V42</f>
        <v>58358598.952779993</v>
      </c>
      <c r="J12" s="537">
        <f>'Util Rev and Load Data'!W42</f>
        <v>24110244.66722</v>
      </c>
      <c r="K12" s="537">
        <f t="shared" si="2"/>
        <v>83685480.61999999</v>
      </c>
      <c r="L12" s="565">
        <f>K12/K11-1</f>
        <v>0.12084083105463783</v>
      </c>
      <c r="N12" s="579">
        <f t="shared" si="4"/>
        <v>8.1271083320656273E-2</v>
      </c>
      <c r="O12" s="565">
        <f>N12/N11-1</f>
        <v>0.11075357413295772</v>
      </c>
      <c r="P12" s="831">
        <f t="shared" si="6"/>
        <v>13.81115353451529</v>
      </c>
      <c r="Q12" s="565">
        <f>P12/P11-1</f>
        <v>-0.11683371572772994</v>
      </c>
    </row>
    <row r="13" spans="1:17" x14ac:dyDescent="0.35">
      <c r="A13" s="688" t="s">
        <v>622</v>
      </c>
      <c r="B13" s="538">
        <v>6568991.2031142469</v>
      </c>
      <c r="C13" s="538">
        <v>677846510.05066609</v>
      </c>
      <c r="D13" s="538">
        <v>1526885.5499130297</v>
      </c>
      <c r="E13" s="560">
        <f t="shared" si="7"/>
        <v>684415501.25378036</v>
      </c>
      <c r="F13" s="565">
        <f>E13/E12-1</f>
        <v>-6.63370721278842E-2</v>
      </c>
      <c r="H13" s="537">
        <f>H12/B12*B13</f>
        <v>1432761.6535585385</v>
      </c>
      <c r="I13" s="537">
        <f t="shared" ref="I13:J13" si="8">I12/C12*C13</f>
        <v>54378083.871509649</v>
      </c>
      <c r="J13" s="537">
        <f t="shared" si="8"/>
        <v>21088050.759481661</v>
      </c>
      <c r="K13" s="537">
        <f t="shared" si="2"/>
        <v>76898896.284549847</v>
      </c>
      <c r="L13" s="565">
        <f>K13/K12-1</f>
        <v>-8.1096317845944399E-2</v>
      </c>
      <c r="N13" s="579">
        <f t="shared" ref="N13" si="9">(I13+H13)/E13</f>
        <v>8.1545268075939731E-2</v>
      </c>
      <c r="O13" s="565">
        <f>N13/N12-1</f>
        <v>3.3737061705165772E-3</v>
      </c>
      <c r="P13" s="831">
        <f t="shared" ref="P13" si="10">J13/D13</f>
        <v>13.81115353451529</v>
      </c>
      <c r="Q13" s="565">
        <f>P13/P12-1</f>
        <v>0</v>
      </c>
    </row>
    <row r="14" spans="1:17" x14ac:dyDescent="0.35">
      <c r="H14" s="832"/>
    </row>
    <row r="15" spans="1:17" x14ac:dyDescent="0.35">
      <c r="H15" s="832"/>
    </row>
    <row r="17" spans="1:17" ht="52.5" x14ac:dyDescent="0.4">
      <c r="A17" s="544" t="s">
        <v>626</v>
      </c>
      <c r="B17" s="544" t="s">
        <v>375</v>
      </c>
      <c r="C17" s="544" t="s">
        <v>624</v>
      </c>
      <c r="D17" s="544" t="s">
        <v>625</v>
      </c>
      <c r="E17" s="544" t="s">
        <v>638</v>
      </c>
      <c r="F17" s="544" t="s">
        <v>640</v>
      </c>
      <c r="H17" s="544" t="s">
        <v>633</v>
      </c>
      <c r="I17" s="544" t="s">
        <v>634</v>
      </c>
      <c r="J17" s="544" t="s">
        <v>635</v>
      </c>
      <c r="K17" s="544" t="s">
        <v>642</v>
      </c>
      <c r="L17" s="544" t="s">
        <v>643</v>
      </c>
      <c r="N17" s="544" t="s">
        <v>67</v>
      </c>
      <c r="O17" s="544"/>
      <c r="P17" s="544" t="s">
        <v>94</v>
      </c>
    </row>
    <row r="18" spans="1:17" x14ac:dyDescent="0.35">
      <c r="A18" s="688" t="s">
        <v>636</v>
      </c>
      <c r="B18" s="538">
        <v>371655561</v>
      </c>
      <c r="C18" s="538">
        <v>1527382956</v>
      </c>
      <c r="D18" s="538">
        <v>5164505</v>
      </c>
      <c r="E18" s="560">
        <f t="shared" ref="E18:E19" si="11">C18+B18</f>
        <v>1899038517</v>
      </c>
      <c r="H18" s="537">
        <v>55567412</v>
      </c>
      <c r="I18" s="537">
        <v>131188104</v>
      </c>
      <c r="J18" s="537">
        <v>63193395</v>
      </c>
      <c r="K18" s="537">
        <f>SUM(H18:J18)</f>
        <v>249948911</v>
      </c>
      <c r="N18" s="579">
        <f>(I18+H18)/E18</f>
        <v>9.8342142262088733E-2</v>
      </c>
      <c r="P18" s="831">
        <f>J18/D18</f>
        <v>12.236099103399066</v>
      </c>
      <c r="Q18" s="736"/>
    </row>
    <row r="19" spans="1:17" x14ac:dyDescent="0.35">
      <c r="A19" s="688" t="s">
        <v>637</v>
      </c>
      <c r="B19" s="538">
        <v>319403730.98045254</v>
      </c>
      <c r="C19" s="538">
        <v>1520551690.2210946</v>
      </c>
      <c r="D19" s="538">
        <v>4836803.5036409758</v>
      </c>
      <c r="E19" s="560">
        <f t="shared" si="11"/>
        <v>1839955421.2015471</v>
      </c>
      <c r="F19" s="565">
        <f t="shared" ref="F19:F20" si="12">E19/E18-1</f>
        <v>-3.111211029663008E-2</v>
      </c>
      <c r="H19" s="537">
        <v>55445976</v>
      </c>
      <c r="I19" s="537">
        <v>130818970.82502478</v>
      </c>
      <c r="J19" s="537">
        <v>63687238.656079978</v>
      </c>
      <c r="K19" s="537">
        <f t="shared" ref="K19:K22" si="13">SUM(H19:J19)</f>
        <v>249952185.48110476</v>
      </c>
      <c r="L19" s="565">
        <f t="shared" ref="L19:L20" si="14">K19/K18-1</f>
        <v>1.3100601605531281E-5</v>
      </c>
      <c r="N19" s="579">
        <f t="shared" ref="N19:N21" si="15">(I19+H19)/E19</f>
        <v>0.10123340200459209</v>
      </c>
      <c r="O19" s="565">
        <f t="shared" ref="O19:O20" si="16">N19/N18-1</f>
        <v>2.9400007728100475E-2</v>
      </c>
      <c r="P19" s="831">
        <f t="shared" ref="P19:P21" si="17">J19/D19</f>
        <v>13.167216449487448</v>
      </c>
      <c r="Q19" s="565">
        <f t="shared" ref="Q19" si="18">P19/P18-1</f>
        <v>7.6095930428491387E-2</v>
      </c>
    </row>
    <row r="20" spans="1:17" x14ac:dyDescent="0.35">
      <c r="A20" s="688" t="s">
        <v>623</v>
      </c>
      <c r="B20" s="538">
        <v>321561151.15507054</v>
      </c>
      <c r="C20" s="538">
        <v>1533131323.1644192</v>
      </c>
      <c r="D20" s="538">
        <v>4871856.7607075162</v>
      </c>
      <c r="E20" s="560">
        <f>C20+B20</f>
        <v>1854692474.3194897</v>
      </c>
      <c r="F20" s="565">
        <f t="shared" si="12"/>
        <v>8.009462048987448E-3</v>
      </c>
      <c r="H20" s="537">
        <v>55566697</v>
      </c>
      <c r="I20" s="537">
        <v>129582584.60229462</v>
      </c>
      <c r="J20" s="537">
        <v>65266311.381351881</v>
      </c>
      <c r="K20" s="537">
        <f t="shared" si="13"/>
        <v>250415592.98364651</v>
      </c>
      <c r="L20" s="565">
        <f t="shared" si="14"/>
        <v>1.8539845996936588E-3</v>
      </c>
      <c r="N20" s="579">
        <f t="shared" si="15"/>
        <v>9.982748308192077E-2</v>
      </c>
      <c r="O20" s="565">
        <f t="shared" si="16"/>
        <v>-1.3887895643451165E-2</v>
      </c>
      <c r="P20" s="831">
        <f t="shared" si="17"/>
        <v>13.396598994399328</v>
      </c>
      <c r="Q20" s="565">
        <f t="shared" ref="Q20" si="19">P20/P19-1</f>
        <v>1.742073169312941E-2</v>
      </c>
    </row>
    <row r="21" spans="1:17" x14ac:dyDescent="0.35">
      <c r="A21" s="688" t="s">
        <v>363</v>
      </c>
      <c r="B21" s="538">
        <f>325920903.142882-1912896</f>
        <v>324008007.14288199</v>
      </c>
      <c r="C21" s="538">
        <v>1491129438</v>
      </c>
      <c r="D21" s="538">
        <v>4826265.0140000004</v>
      </c>
      <c r="E21" s="560">
        <f t="shared" ref="E21:E22" si="20">C21+B21</f>
        <v>1815137445.1428819</v>
      </c>
      <c r="F21" s="565">
        <f>E21/E20-1</f>
        <v>-2.132700149717337E-2</v>
      </c>
      <c r="H21" s="537">
        <f>'Util Rev and Load Data'!G42+'Util Rev and Load Data'!H42</f>
        <v>58989805.589649819</v>
      </c>
      <c r="I21" s="537">
        <f>'Util Rev and Load Data'!K42</f>
        <v>139143739.47675017</v>
      </c>
      <c r="J21" s="537">
        <f>'Util Rev and Load Data'!L42</f>
        <v>69849290.503600001</v>
      </c>
      <c r="K21" s="537">
        <f t="shared" si="13"/>
        <v>267982835.56999999</v>
      </c>
      <c r="L21" s="565">
        <f>K21/K20-1</f>
        <v>7.0152351045889905E-2</v>
      </c>
      <c r="N21" s="579">
        <f t="shared" si="15"/>
        <v>0.10915622152833916</v>
      </c>
      <c r="O21" s="565">
        <f>N21/N20-1</f>
        <v>9.3448599107352148E-2</v>
      </c>
      <c r="P21" s="831">
        <f t="shared" si="17"/>
        <v>14.472742441822321</v>
      </c>
      <c r="Q21" s="565">
        <f>P21/P20-1</f>
        <v>8.0329600660055123E-2</v>
      </c>
    </row>
    <row r="22" spans="1:17" x14ac:dyDescent="0.35">
      <c r="A22" s="688" t="s">
        <v>622</v>
      </c>
      <c r="B22" s="538">
        <f>'EEC Calculation'!K71</f>
        <v>315935328</v>
      </c>
      <c r="C22" s="538">
        <f>'EEC Calculation'!K72</f>
        <v>1347149932</v>
      </c>
      <c r="D22" s="538">
        <f>'EEC Calculation'!K68</f>
        <v>4069140.035446885</v>
      </c>
      <c r="E22" s="560">
        <f t="shared" si="20"/>
        <v>1663085260</v>
      </c>
      <c r="F22" s="565">
        <f>E22/E21-1</f>
        <v>-8.3768965016813302E-2</v>
      </c>
      <c r="H22" s="537">
        <f>H21/B21*B22</f>
        <v>57520071.006775051</v>
      </c>
      <c r="I22" s="537">
        <f t="shared" ref="I22" si="21">I21/C21*C22</f>
        <v>125708388.82085681</v>
      </c>
      <c r="J22" s="537">
        <f t="shared" ref="J22" si="22">J21/D21*D22</f>
        <v>58891615.692730516</v>
      </c>
      <c r="K22" s="537">
        <f t="shared" si="13"/>
        <v>242120075.52036238</v>
      </c>
      <c r="L22" s="565">
        <f>K22/K21-1</f>
        <v>-9.6509017059348112E-2</v>
      </c>
      <c r="N22" s="579">
        <f t="shared" ref="N22" si="23">(I22+H22)/E22</f>
        <v>0.11017382225348558</v>
      </c>
      <c r="O22" s="565">
        <f>N22/N21-1</f>
        <v>9.3224253358956677E-3</v>
      </c>
      <c r="P22" s="831">
        <f t="shared" ref="P22" si="24">J22/D22</f>
        <v>14.472742441822321</v>
      </c>
      <c r="Q22" s="565">
        <f>P22/P21-1</f>
        <v>0</v>
      </c>
    </row>
    <row r="24" spans="1:17" x14ac:dyDescent="0.35">
      <c r="H24" s="610"/>
    </row>
    <row r="25" spans="1:17" ht="13.15" x14ac:dyDescent="0.4">
      <c r="A25" s="544" t="s">
        <v>626</v>
      </c>
      <c r="B25" s="544" t="s">
        <v>687</v>
      </c>
      <c r="C25" s="544"/>
    </row>
    <row r="26" spans="1:17" x14ac:dyDescent="0.35">
      <c r="A26" s="688" t="s">
        <v>623</v>
      </c>
      <c r="B26" s="538">
        <v>2017249821</v>
      </c>
      <c r="C26" s="538"/>
    </row>
    <row r="27" spans="1:17" x14ac:dyDescent="0.35">
      <c r="A27" s="688" t="s">
        <v>363</v>
      </c>
      <c r="B27" s="538">
        <v>1984975915.4526622</v>
      </c>
      <c r="C27" s="538"/>
    </row>
    <row r="28" spans="1:17" x14ac:dyDescent="0.35">
      <c r="A28" s="688" t="s">
        <v>622</v>
      </c>
      <c r="B28" s="538">
        <v>2076935382.8618228</v>
      </c>
      <c r="C28" s="538"/>
    </row>
  </sheetData>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769D2-CEAF-46E0-85D4-CA1792C812DC}">
  <dimension ref="A4:AD110"/>
  <sheetViews>
    <sheetView topLeftCell="A71" workbookViewId="0">
      <selection activeCell="F98" sqref="F98"/>
    </sheetView>
  </sheetViews>
  <sheetFormatPr defaultRowHeight="12.75" x14ac:dyDescent="0.35"/>
  <cols>
    <col min="1" max="1" width="34.59765625" bestFit="1" customWidth="1"/>
    <col min="3" max="3" width="14.3984375" bestFit="1" customWidth="1"/>
    <col min="7" max="7" width="12.73046875" bestFit="1" customWidth="1"/>
    <col min="8" max="8" width="11.73046875" bestFit="1" customWidth="1"/>
    <col min="9" max="9" width="12.73046875" bestFit="1" customWidth="1"/>
    <col min="11" max="11" width="14.3984375" bestFit="1" customWidth="1"/>
    <col min="12" max="14" width="10.73046875" bestFit="1" customWidth="1"/>
    <col min="15" max="15" width="5.1328125" bestFit="1" customWidth="1"/>
    <col min="16" max="16" width="14.3984375" bestFit="1" customWidth="1"/>
    <col min="19" max="19" width="11.265625" bestFit="1" customWidth="1"/>
    <col min="22" max="22" width="14.3984375" bestFit="1" customWidth="1"/>
    <col min="23" max="25" width="10.73046875" bestFit="1" customWidth="1"/>
    <col min="26" max="26" width="5.1328125" bestFit="1" customWidth="1"/>
    <col min="27" max="27" width="14.3984375" bestFit="1" customWidth="1"/>
    <col min="28" max="28" width="9" bestFit="1" customWidth="1"/>
    <col min="29" max="29" width="14.3984375" bestFit="1" customWidth="1"/>
    <col min="30" max="30" width="11.73046875" bestFit="1" customWidth="1"/>
  </cols>
  <sheetData>
    <row r="4" spans="1:30" ht="13.15" thickBot="1" x14ac:dyDescent="0.4"/>
    <row r="5" spans="1:30" ht="14.25" x14ac:dyDescent="0.45">
      <c r="A5" s="37"/>
      <c r="B5" s="1001" t="s">
        <v>3</v>
      </c>
      <c r="C5" s="1002"/>
      <c r="D5" s="1003"/>
      <c r="E5" s="38"/>
      <c r="F5" s="1001" t="s">
        <v>13</v>
      </c>
      <c r="G5" s="1002"/>
      <c r="H5" s="1002"/>
      <c r="I5" s="1002"/>
      <c r="J5" s="1002"/>
      <c r="K5" s="1002"/>
      <c r="L5" s="1002"/>
      <c r="M5" s="1002"/>
      <c r="N5" s="1002"/>
      <c r="O5" s="1002"/>
      <c r="P5" s="1003"/>
      <c r="Q5" s="692"/>
      <c r="R5" s="1001" t="s">
        <v>14</v>
      </c>
      <c r="S5" s="1002"/>
      <c r="T5" s="1002"/>
      <c r="U5" s="1002"/>
      <c r="V5" s="1002"/>
      <c r="W5" s="1002"/>
      <c r="X5" s="1002"/>
      <c r="Y5" s="1002"/>
      <c r="Z5" s="1002"/>
      <c r="AA5" s="1003"/>
      <c r="AB5" s="37"/>
      <c r="AC5" s="173"/>
      <c r="AD5" s="174"/>
    </row>
    <row r="6" spans="1:30" ht="14.25" x14ac:dyDescent="0.45">
      <c r="A6" s="751">
        <v>2019</v>
      </c>
      <c r="B6" s="175"/>
      <c r="C6" s="176"/>
      <c r="D6" s="177"/>
      <c r="E6" s="175"/>
      <c r="F6" s="175"/>
      <c r="G6" s="1004" t="s">
        <v>22</v>
      </c>
      <c r="H6" s="1005"/>
      <c r="I6" s="1005"/>
      <c r="J6" s="693"/>
      <c r="K6" s="1004" t="s">
        <v>12</v>
      </c>
      <c r="L6" s="1005"/>
      <c r="M6" s="1005"/>
      <c r="N6" s="1005"/>
      <c r="O6" s="1005"/>
      <c r="P6" s="178"/>
      <c r="Q6" s="38"/>
      <c r="R6" s="1006" t="s">
        <v>5</v>
      </c>
      <c r="S6" s="1007"/>
      <c r="T6" s="1008"/>
      <c r="U6" s="1006" t="s">
        <v>12</v>
      </c>
      <c r="V6" s="1007"/>
      <c r="W6" s="1007"/>
      <c r="X6" s="1007"/>
      <c r="Y6" s="1007"/>
      <c r="Z6" s="1008"/>
      <c r="AA6" s="175" t="s">
        <v>10</v>
      </c>
      <c r="AB6" s="175" t="s">
        <v>16</v>
      </c>
      <c r="AC6" s="175"/>
      <c r="AD6" s="179"/>
    </row>
    <row r="7" spans="1:30" ht="14.25" x14ac:dyDescent="0.45">
      <c r="A7" s="691"/>
      <c r="B7" s="691"/>
      <c r="C7" s="176" t="s">
        <v>26</v>
      </c>
      <c r="D7" s="181"/>
      <c r="E7" s="691"/>
      <c r="F7" s="691"/>
      <c r="G7" s="175" t="s">
        <v>29</v>
      </c>
      <c r="H7" s="691"/>
      <c r="I7" s="691"/>
      <c r="J7" s="691"/>
      <c r="K7" s="691"/>
      <c r="L7" s="1011" t="s">
        <v>133</v>
      </c>
      <c r="M7" s="1012"/>
      <c r="N7" s="1013"/>
      <c r="O7" s="182"/>
      <c r="P7" s="175" t="s">
        <v>10</v>
      </c>
      <c r="Q7" s="691"/>
      <c r="R7" s="691"/>
      <c r="S7" s="175" t="s">
        <v>29</v>
      </c>
      <c r="T7" s="691"/>
      <c r="U7" s="691"/>
      <c r="V7" s="182"/>
      <c r="W7" s="1011" t="s">
        <v>155</v>
      </c>
      <c r="X7" s="1012"/>
      <c r="Y7" s="1013"/>
      <c r="Z7" s="182"/>
      <c r="AA7" s="691" t="s">
        <v>15</v>
      </c>
      <c r="AB7" s="691" t="s">
        <v>0</v>
      </c>
      <c r="AC7" s="1009" t="s">
        <v>9</v>
      </c>
      <c r="AD7" s="1010"/>
    </row>
    <row r="8" spans="1:30" ht="14.25" x14ac:dyDescent="0.45">
      <c r="A8" s="691" t="s">
        <v>11</v>
      </c>
      <c r="B8" s="175"/>
      <c r="C8" s="183" t="s">
        <v>7</v>
      </c>
      <c r="D8" s="177"/>
      <c r="E8" s="175"/>
      <c r="F8" s="175"/>
      <c r="G8" s="691" t="s">
        <v>7</v>
      </c>
      <c r="H8" s="691" t="s">
        <v>23</v>
      </c>
      <c r="I8" s="691" t="s">
        <v>10</v>
      </c>
      <c r="J8" s="175"/>
      <c r="K8" s="691" t="s">
        <v>6</v>
      </c>
      <c r="L8" s="691" t="s">
        <v>135</v>
      </c>
      <c r="M8" s="691" t="s">
        <v>136</v>
      </c>
      <c r="N8" s="691" t="s">
        <v>10</v>
      </c>
      <c r="O8" s="175"/>
      <c r="P8" s="691" t="s">
        <v>4</v>
      </c>
      <c r="Q8" s="175"/>
      <c r="R8" s="175"/>
      <c r="S8" s="691" t="s">
        <v>7</v>
      </c>
      <c r="T8" s="175"/>
      <c r="U8" s="175"/>
      <c r="V8" s="691" t="s">
        <v>6</v>
      </c>
      <c r="W8" s="691" t="s">
        <v>135</v>
      </c>
      <c r="X8" s="691" t="s">
        <v>136</v>
      </c>
      <c r="Y8" s="691" t="s">
        <v>10</v>
      </c>
      <c r="Z8" s="175"/>
      <c r="AA8" s="175"/>
      <c r="AB8" s="175"/>
      <c r="AC8" s="175"/>
      <c r="AD8" s="177"/>
    </row>
    <row r="9" spans="1:30" ht="14.25" x14ac:dyDescent="0.45">
      <c r="A9" s="37" t="s">
        <v>138</v>
      </c>
      <c r="B9" s="37"/>
      <c r="C9" s="176" t="s">
        <v>18</v>
      </c>
      <c r="D9" s="40"/>
      <c r="E9" s="37"/>
      <c r="F9" s="37"/>
      <c r="G9" s="175" t="s">
        <v>1</v>
      </c>
      <c r="H9" s="175" t="s">
        <v>1</v>
      </c>
      <c r="I9" s="175" t="s">
        <v>1</v>
      </c>
      <c r="J9" s="37"/>
      <c r="K9" s="175" t="s">
        <v>18</v>
      </c>
      <c r="L9" s="175" t="s">
        <v>2</v>
      </c>
      <c r="M9" s="175" t="s">
        <v>2</v>
      </c>
      <c r="N9" s="175" t="s">
        <v>2</v>
      </c>
      <c r="O9" s="184"/>
      <c r="P9" s="175" t="s">
        <v>18</v>
      </c>
      <c r="Q9" s="37"/>
      <c r="R9" s="37"/>
      <c r="S9" s="175" t="s">
        <v>18</v>
      </c>
      <c r="T9" s="175"/>
      <c r="U9" s="175"/>
      <c r="V9" s="175" t="s">
        <v>18</v>
      </c>
      <c r="W9" s="175" t="s">
        <v>2</v>
      </c>
      <c r="X9" s="175" t="s">
        <v>2</v>
      </c>
      <c r="Y9" s="175" t="s">
        <v>2</v>
      </c>
      <c r="Z9" s="175"/>
      <c r="AA9" s="175" t="s">
        <v>1</v>
      </c>
      <c r="AB9" s="175" t="s">
        <v>18</v>
      </c>
      <c r="AC9" s="175" t="s">
        <v>1</v>
      </c>
      <c r="AD9" s="177" t="s">
        <v>2</v>
      </c>
    </row>
    <row r="10" spans="1:30" ht="14.25" x14ac:dyDescent="0.45">
      <c r="A10" s="37" t="s">
        <v>139</v>
      </c>
      <c r="B10" s="691"/>
      <c r="C10" s="183"/>
      <c r="D10" s="177"/>
      <c r="E10" s="37"/>
      <c r="F10" s="175"/>
      <c r="G10" s="175"/>
      <c r="H10" s="175"/>
      <c r="I10" s="175" t="s">
        <v>156</v>
      </c>
      <c r="J10" s="175"/>
      <c r="K10" s="175"/>
      <c r="L10" s="175"/>
      <c r="M10" s="175"/>
      <c r="N10" s="175" t="s">
        <v>142</v>
      </c>
      <c r="O10" s="175"/>
      <c r="P10" s="175" t="s">
        <v>175</v>
      </c>
      <c r="Q10" s="185"/>
      <c r="R10" s="175"/>
      <c r="S10" s="175"/>
      <c r="T10" s="175"/>
      <c r="U10" s="175"/>
      <c r="V10" s="175"/>
      <c r="W10" s="175"/>
      <c r="X10" s="175"/>
      <c r="Y10" s="175" t="s">
        <v>146</v>
      </c>
      <c r="Z10" s="175"/>
      <c r="AA10" s="175" t="s">
        <v>157</v>
      </c>
      <c r="AB10" s="175"/>
      <c r="AC10" s="175" t="s">
        <v>158</v>
      </c>
      <c r="AD10" s="177" t="s">
        <v>159</v>
      </c>
    </row>
    <row r="11" spans="1:30" ht="14.25" x14ac:dyDescent="0.45">
      <c r="A11" s="137" t="s">
        <v>30</v>
      </c>
      <c r="B11" s="37"/>
      <c r="C11" s="158"/>
      <c r="D11" s="37"/>
      <c r="E11" s="37"/>
      <c r="F11" s="37"/>
      <c r="G11" s="37"/>
      <c r="H11" s="37"/>
      <c r="I11" s="37"/>
      <c r="J11" s="37"/>
      <c r="K11" s="37"/>
      <c r="L11" s="37"/>
      <c r="M11" s="37"/>
      <c r="N11" s="37"/>
      <c r="O11" s="184"/>
      <c r="P11" s="37"/>
      <c r="Q11" s="37"/>
      <c r="R11" s="37"/>
      <c r="S11" s="185"/>
      <c r="T11" s="185"/>
      <c r="U11" s="185"/>
      <c r="V11" s="37"/>
      <c r="W11" s="37"/>
      <c r="X11" s="37"/>
      <c r="Y11" s="37"/>
      <c r="Z11" s="37"/>
      <c r="AA11" s="37"/>
      <c r="AB11" s="37"/>
      <c r="AC11" s="37"/>
      <c r="AD11" s="40"/>
    </row>
    <row r="12" spans="1:30" ht="14.25" x14ac:dyDescent="0.45">
      <c r="A12" s="137"/>
      <c r="B12" s="37"/>
      <c r="C12" s="186"/>
      <c r="D12" s="123"/>
      <c r="E12" s="123"/>
      <c r="F12" s="123"/>
      <c r="G12" s="186"/>
      <c r="H12" s="186"/>
      <c r="I12" s="186"/>
      <c r="J12" s="186"/>
      <c r="K12" s="186"/>
      <c r="L12" s="186"/>
      <c r="M12" s="186"/>
      <c r="N12" s="128"/>
      <c r="O12" s="158"/>
      <c r="P12" s="128"/>
      <c r="Q12" s="186"/>
      <c r="R12" s="128"/>
      <c r="S12" s="186"/>
      <c r="T12" s="128"/>
      <c r="U12" s="128"/>
      <c r="V12" s="186"/>
      <c r="W12" s="186"/>
      <c r="X12" s="186"/>
      <c r="Y12" s="186"/>
      <c r="Z12" s="186"/>
      <c r="AA12" s="128"/>
      <c r="AB12" s="186"/>
      <c r="AC12" s="128"/>
      <c r="AD12" s="144"/>
    </row>
    <row r="13" spans="1:30" ht="14.25" x14ac:dyDescent="0.45">
      <c r="A13" s="137" t="s">
        <v>217</v>
      </c>
      <c r="B13" s="37"/>
      <c r="C13" s="128">
        <v>0</v>
      </c>
      <c r="D13" s="128"/>
      <c r="E13" s="128"/>
      <c r="F13" s="128"/>
      <c r="G13" s="128">
        <v>0</v>
      </c>
      <c r="H13" s="128">
        <v>0</v>
      </c>
      <c r="I13" s="187">
        <f>+G13+H13</f>
        <v>0</v>
      </c>
      <c r="J13" s="128"/>
      <c r="K13" s="128">
        <v>0</v>
      </c>
      <c r="L13" s="128">
        <v>0</v>
      </c>
      <c r="M13" s="128">
        <v>0</v>
      </c>
      <c r="N13" s="187">
        <f>+L13+M13</f>
        <v>0</v>
      </c>
      <c r="O13" s="128">
        <v>0</v>
      </c>
      <c r="P13" s="187">
        <f>+I13+K13</f>
        <v>0</v>
      </c>
      <c r="Q13" s="128"/>
      <c r="R13" s="128"/>
      <c r="S13" s="128">
        <v>0</v>
      </c>
      <c r="T13" s="128"/>
      <c r="U13" s="128"/>
      <c r="V13" s="128">
        <v>404984526</v>
      </c>
      <c r="W13" s="128">
        <v>639781</v>
      </c>
      <c r="X13" s="128">
        <v>604649</v>
      </c>
      <c r="Y13" s="187">
        <f>+W13+X13</f>
        <v>1244430</v>
      </c>
      <c r="Z13" s="128"/>
      <c r="AA13" s="187">
        <f>+S13+V13</f>
        <v>404984526</v>
      </c>
      <c r="AB13" s="128">
        <v>0</v>
      </c>
      <c r="AC13" s="187">
        <f>+C13+P13+AA13+AB13</f>
        <v>404984526</v>
      </c>
      <c r="AD13" s="188">
        <f>+N13+Y13</f>
        <v>1244430</v>
      </c>
    </row>
    <row r="14" spans="1:30" ht="14.25" x14ac:dyDescent="0.45">
      <c r="A14" s="127"/>
      <c r="B14" s="123"/>
      <c r="C14" s="128"/>
      <c r="D14" s="123"/>
      <c r="E14" s="123"/>
      <c r="F14" s="123"/>
      <c r="G14" s="128"/>
      <c r="H14" s="128"/>
      <c r="I14" s="128"/>
      <c r="J14" s="186"/>
      <c r="K14" s="128"/>
      <c r="L14" s="128"/>
      <c r="M14" s="128"/>
      <c r="N14" s="128"/>
      <c r="O14" s="158"/>
      <c r="P14" s="128"/>
      <c r="Q14" s="186"/>
      <c r="R14" s="128"/>
      <c r="S14" s="128"/>
      <c r="T14" s="128"/>
      <c r="U14" s="128"/>
      <c r="V14" s="128">
        <v>186523954</v>
      </c>
      <c r="W14" s="128">
        <v>318851</v>
      </c>
      <c r="X14" s="128">
        <v>312790</v>
      </c>
      <c r="Y14" s="187">
        <f>+W14+X14</f>
        <v>631641</v>
      </c>
      <c r="Z14" s="128"/>
      <c r="AA14" s="187">
        <f>+S14+V14</f>
        <v>186523954</v>
      </c>
      <c r="AB14" s="128">
        <v>0</v>
      </c>
      <c r="AC14" s="187">
        <f>+C14+P14+AA14+AB14</f>
        <v>186523954</v>
      </c>
      <c r="AD14" s="188">
        <f>+N14+Y14</f>
        <v>631641</v>
      </c>
    </row>
    <row r="15" spans="1:30" ht="14.25" x14ac:dyDescent="0.45">
      <c r="A15" s="1"/>
      <c r="B15" s="189"/>
      <c r="C15" s="135"/>
      <c r="D15" s="190"/>
      <c r="E15" s="190"/>
      <c r="F15" s="190"/>
      <c r="G15" s="135"/>
      <c r="H15" s="135"/>
      <c r="I15" s="191"/>
      <c r="J15" s="190"/>
      <c r="K15" s="135"/>
      <c r="L15" s="135"/>
      <c r="M15" s="135"/>
      <c r="N15" s="191"/>
      <c r="O15" s="192"/>
      <c r="P15" s="191"/>
      <c r="Q15" s="190"/>
      <c r="R15" s="190"/>
      <c r="S15" s="193"/>
      <c r="T15" s="190"/>
      <c r="U15" s="190"/>
      <c r="V15" s="135"/>
      <c r="W15" s="135"/>
      <c r="X15" s="135"/>
      <c r="Y15" s="135"/>
      <c r="Z15" s="135"/>
      <c r="AA15" s="135"/>
      <c r="AB15" s="135"/>
      <c r="AC15" s="135"/>
      <c r="AD15" s="191"/>
    </row>
    <row r="16" spans="1:30" ht="14.25" x14ac:dyDescent="0.45">
      <c r="A16" s="137" t="s">
        <v>279</v>
      </c>
      <c r="B16" s="194"/>
      <c r="C16" s="139">
        <f>+C13</f>
        <v>0</v>
      </c>
      <c r="D16" s="195"/>
      <c r="E16" s="195"/>
      <c r="F16" s="195"/>
      <c r="G16" s="139"/>
      <c r="H16" s="139"/>
      <c r="I16" s="139">
        <f>+G16+H16</f>
        <v>0</v>
      </c>
      <c r="J16" s="195"/>
      <c r="K16" s="139"/>
      <c r="L16" s="139"/>
      <c r="M16" s="139"/>
      <c r="N16" s="139">
        <f>+L16+M16</f>
        <v>0</v>
      </c>
      <c r="O16" s="139"/>
      <c r="P16" s="139">
        <f>+I16+K16</f>
        <v>0</v>
      </c>
      <c r="Q16" s="195"/>
      <c r="R16" s="195"/>
      <c r="S16" s="139">
        <f>+S13</f>
        <v>0</v>
      </c>
      <c r="T16" s="195"/>
      <c r="U16" s="195"/>
      <c r="V16" s="139">
        <f>SUM(V13:V15)</f>
        <v>591508480</v>
      </c>
      <c r="W16" s="139">
        <f t="shared" ref="W16:AA16" si="0">SUM(W13:W15)</f>
        <v>958632</v>
      </c>
      <c r="X16" s="139">
        <f t="shared" si="0"/>
        <v>917439</v>
      </c>
      <c r="Y16" s="139">
        <f t="shared" si="0"/>
        <v>1876071</v>
      </c>
      <c r="Z16" s="139">
        <f t="shared" si="0"/>
        <v>0</v>
      </c>
      <c r="AA16" s="139">
        <f t="shared" si="0"/>
        <v>591508480</v>
      </c>
      <c r="AB16" s="139"/>
      <c r="AC16" s="139">
        <f>SUM(AC13:AC15)</f>
        <v>591508480</v>
      </c>
      <c r="AD16" s="196">
        <f>SUM(AD13:AD15)</f>
        <v>1876071</v>
      </c>
    </row>
    <row r="17" spans="1:30" ht="14.25" x14ac:dyDescent="0.45">
      <c r="A17" s="137"/>
      <c r="B17" s="197"/>
      <c r="C17" s="128"/>
      <c r="D17" s="186"/>
      <c r="E17" s="186"/>
      <c r="F17" s="186"/>
      <c r="G17" s="128"/>
      <c r="H17" s="128"/>
      <c r="I17" s="128"/>
      <c r="J17" s="186"/>
      <c r="K17" s="128"/>
      <c r="L17" s="128"/>
      <c r="M17" s="128"/>
      <c r="N17" s="128"/>
      <c r="O17" s="128"/>
      <c r="P17" s="128"/>
      <c r="Q17" s="186"/>
      <c r="R17" s="186"/>
      <c r="S17" s="198"/>
      <c r="T17" s="186"/>
      <c r="U17" s="186"/>
      <c r="V17" s="128"/>
      <c r="W17" s="128"/>
      <c r="X17" s="128"/>
      <c r="Y17" s="128"/>
      <c r="Z17" s="128"/>
      <c r="AA17" s="128"/>
      <c r="AB17" s="128"/>
      <c r="AC17" s="128"/>
      <c r="AD17" s="144"/>
    </row>
    <row r="18" spans="1:30" ht="14.25" x14ac:dyDescent="0.45">
      <c r="A18" s="199" t="s">
        <v>160</v>
      </c>
      <c r="B18" s="197"/>
      <c r="C18" s="128"/>
      <c r="D18" s="186"/>
      <c r="E18" s="186"/>
      <c r="F18" s="186"/>
      <c r="G18" s="128"/>
      <c r="H18" s="128"/>
      <c r="I18" s="128"/>
      <c r="J18" s="186"/>
      <c r="K18" s="128"/>
      <c r="L18" s="128"/>
      <c r="M18" s="128"/>
      <c r="N18" s="128"/>
      <c r="O18" s="128"/>
      <c r="P18" s="128"/>
      <c r="Q18" s="186"/>
      <c r="R18" s="186"/>
      <c r="S18" s="198"/>
      <c r="T18" s="186"/>
      <c r="U18" s="186"/>
      <c r="V18" s="128"/>
      <c r="W18" s="128"/>
      <c r="X18" s="128"/>
      <c r="Y18" s="128"/>
      <c r="Z18" s="128"/>
      <c r="AA18" s="128"/>
      <c r="AB18" s="128"/>
      <c r="AC18" s="128"/>
      <c r="AD18" s="144"/>
    </row>
    <row r="19" spans="1:30" ht="14.25" x14ac:dyDescent="0.45">
      <c r="A19" s="247" t="s">
        <v>31</v>
      </c>
      <c r="B19" s="676"/>
      <c r="C19" s="677">
        <v>10176903.62444303</v>
      </c>
      <c r="D19" s="677"/>
      <c r="E19" s="676"/>
      <c r="F19" s="677"/>
      <c r="G19" s="677">
        <v>1020967.8755569701</v>
      </c>
      <c r="H19" s="677">
        <v>115951</v>
      </c>
      <c r="I19" s="677">
        <f>+G19+H19</f>
        <v>1136918.87555697</v>
      </c>
      <c r="J19" s="677"/>
      <c r="K19" s="677">
        <v>2332694</v>
      </c>
      <c r="L19" s="677">
        <v>7531</v>
      </c>
      <c r="M19" s="677">
        <v>0</v>
      </c>
      <c r="N19" s="677">
        <f>+L19+M19</f>
        <v>7531</v>
      </c>
      <c r="O19" s="677"/>
      <c r="P19" s="677">
        <f>+I19+K19</f>
        <v>3469612.87555697</v>
      </c>
      <c r="Q19" s="676"/>
      <c r="R19" s="676"/>
      <c r="S19" s="677">
        <v>0</v>
      </c>
      <c r="T19" s="676"/>
      <c r="U19" s="676"/>
      <c r="V19" s="677">
        <f>VLOOKUP($A19,'2019 FA Data'!$C$6:$K$21,8)</f>
        <v>0</v>
      </c>
      <c r="W19" s="677">
        <f>VLOOKUP($A19,'2019 FA Data'!$C$6:$K$21,9)</f>
        <v>0</v>
      </c>
      <c r="X19" s="677">
        <v>0</v>
      </c>
      <c r="Y19" s="677">
        <f>+W19+X19</f>
        <v>0</v>
      </c>
      <c r="Z19" s="677"/>
      <c r="AA19" s="677">
        <f>+S19+V19</f>
        <v>0</v>
      </c>
      <c r="AB19" s="677">
        <v>0</v>
      </c>
      <c r="AC19" s="677">
        <f>+C19+P19+AA19+AB19</f>
        <v>13646516.5</v>
      </c>
      <c r="AD19" s="678">
        <f>+N19+Y19</f>
        <v>7531</v>
      </c>
    </row>
    <row r="20" spans="1:30" ht="14.25" x14ac:dyDescent="0.45">
      <c r="A20" s="247" t="s">
        <v>32</v>
      </c>
      <c r="B20" s="676"/>
      <c r="C20" s="677">
        <v>13735692.20496499</v>
      </c>
      <c r="D20" s="677"/>
      <c r="E20" s="676"/>
      <c r="F20" s="677"/>
      <c r="G20" s="677">
        <v>2330953.7950350097</v>
      </c>
      <c r="H20" s="677">
        <v>126686</v>
      </c>
      <c r="I20" s="677">
        <f>+G20+H20</f>
        <v>2457639.7950350097</v>
      </c>
      <c r="J20" s="677"/>
      <c r="K20" s="677">
        <v>10154065</v>
      </c>
      <c r="L20" s="677">
        <v>23474.799999999999</v>
      </c>
      <c r="M20" s="677">
        <v>0</v>
      </c>
      <c r="N20" s="677">
        <f>+L20+M20</f>
        <v>23474.799999999999</v>
      </c>
      <c r="O20" s="677"/>
      <c r="P20" s="677">
        <f>+I20+K20</f>
        <v>12611704.79503501</v>
      </c>
      <c r="Q20" s="676"/>
      <c r="R20" s="676"/>
      <c r="S20" s="677">
        <v>0</v>
      </c>
      <c r="T20" s="676"/>
      <c r="U20" s="676"/>
      <c r="V20" s="677">
        <f>VLOOKUP($A20,'2019 FA Data'!$C$6:$K$21,8)</f>
        <v>0</v>
      </c>
      <c r="W20" s="677">
        <f>VLOOKUP($A20,'2019 FA Data'!$C$6:$K$21,9)</f>
        <v>0</v>
      </c>
      <c r="X20" s="677">
        <v>0</v>
      </c>
      <c r="Y20" s="677">
        <f>+W20+X20</f>
        <v>0</v>
      </c>
      <c r="Z20" s="677"/>
      <c r="AA20" s="677">
        <f>+S20+V20</f>
        <v>0</v>
      </c>
      <c r="AB20" s="677">
        <v>0</v>
      </c>
      <c r="AC20" s="677">
        <f>+C20+P20+AA20+AB20</f>
        <v>26347397</v>
      </c>
      <c r="AD20" s="678">
        <f>+N20+Y20</f>
        <v>23474.799999999999</v>
      </c>
    </row>
    <row r="21" spans="1:30" ht="14.25" x14ac:dyDescent="0.45">
      <c r="A21" s="247" t="s">
        <v>33</v>
      </c>
      <c r="B21" s="676"/>
      <c r="C21" s="677">
        <v>1528164540.9836066</v>
      </c>
      <c r="D21" s="677"/>
      <c r="E21" s="676"/>
      <c r="F21" s="677"/>
      <c r="G21" s="677">
        <v>192090567.9180328</v>
      </c>
      <c r="H21" s="677">
        <v>9592000</v>
      </c>
      <c r="I21" s="677">
        <f>+G21+H21</f>
        <v>201682567.9180328</v>
      </c>
      <c r="J21" s="677"/>
      <c r="K21" s="677">
        <v>1277876137</v>
      </c>
      <c r="L21" s="677">
        <v>4092514</v>
      </c>
      <c r="M21" s="677">
        <v>2353651</v>
      </c>
      <c r="N21" s="677">
        <f>+L21+M21</f>
        <v>6446165</v>
      </c>
      <c r="O21" s="677"/>
      <c r="P21" s="677">
        <f>+I21+K21</f>
        <v>1479558704.9180329</v>
      </c>
      <c r="Q21" s="676"/>
      <c r="R21" s="676"/>
      <c r="S21" s="677">
        <v>0</v>
      </c>
      <c r="T21" s="676"/>
      <c r="U21" s="676"/>
      <c r="V21" s="677">
        <v>587276733</v>
      </c>
      <c r="W21" s="677">
        <v>1433190</v>
      </c>
      <c r="X21" s="677">
        <v>1563793</v>
      </c>
      <c r="Y21" s="677">
        <f>+W21+X21</f>
        <v>2996983</v>
      </c>
      <c r="Z21" s="677"/>
      <c r="AA21" s="677">
        <f>+S21+V21</f>
        <v>587276733</v>
      </c>
      <c r="AB21" s="677">
        <v>0</v>
      </c>
      <c r="AC21" s="677">
        <f>+C21+P21+AA21+AB21</f>
        <v>3594999978.9016395</v>
      </c>
      <c r="AD21" s="678">
        <f>+N21+Y21</f>
        <v>9443148</v>
      </c>
    </row>
    <row r="22" spans="1:30" ht="14.25" x14ac:dyDescent="0.45">
      <c r="A22" s="35" t="s">
        <v>34</v>
      </c>
      <c r="B22" s="186"/>
      <c r="C22" s="128">
        <v>23596599.015276894</v>
      </c>
      <c r="D22" s="128"/>
      <c r="E22" s="186"/>
      <c r="F22" s="128"/>
      <c r="G22" s="128">
        <v>10343.984723106289</v>
      </c>
      <c r="H22" s="128">
        <v>104191.48000000001</v>
      </c>
      <c r="I22" s="128">
        <f t="shared" ref="I22:I34" si="1">+G22+H22</f>
        <v>114535.4647231063</v>
      </c>
      <c r="J22" s="128"/>
      <c r="K22" s="128">
        <f>VLOOKUP($A22,'2019 FA Data'!$C$6:$K$21,5)</f>
        <v>5355407</v>
      </c>
      <c r="L22" s="128">
        <f>VLOOKUP($A22,'2019 FA Data'!$C$6:$K$21,6)</f>
        <v>19825.963999999996</v>
      </c>
      <c r="M22" s="128">
        <v>0</v>
      </c>
      <c r="N22" s="128">
        <f t="shared" ref="N22:N35" si="2">+L22+M22</f>
        <v>19825.963999999996</v>
      </c>
      <c r="O22" s="128"/>
      <c r="P22" s="128">
        <f t="shared" ref="P22:P34" si="3">+I22+K22</f>
        <v>5469942.4647231065</v>
      </c>
      <c r="Q22" s="186"/>
      <c r="R22" s="186"/>
      <c r="S22" s="128">
        <f>VLOOKUP($A22,'2019 FA Data'!$C$6:$K$21,7)</f>
        <v>0</v>
      </c>
      <c r="T22" s="186"/>
      <c r="U22" s="186"/>
      <c r="V22" s="128">
        <f>VLOOKUP($A22,'2019 FA Data'!$C$6:$K$21,8)</f>
        <v>0</v>
      </c>
      <c r="W22" s="128">
        <f>VLOOKUP($A22,'2019 FA Data'!$C$6:$K$21,9)</f>
        <v>0</v>
      </c>
      <c r="X22" s="128">
        <v>0</v>
      </c>
      <c r="Y22" s="128">
        <f t="shared" ref="Y22:Y34" si="4">+W22+X22</f>
        <v>0</v>
      </c>
      <c r="Z22" s="128"/>
      <c r="AA22" s="128">
        <f t="shared" ref="AA22:AA34" si="5">+S22+V22</f>
        <v>0</v>
      </c>
      <c r="AB22" s="128">
        <v>0</v>
      </c>
      <c r="AC22" s="128">
        <f t="shared" ref="AC22:AC34" si="6">+C22+P22+AA22+AB22</f>
        <v>29066541.48</v>
      </c>
      <c r="AD22" s="144">
        <f t="shared" ref="AD22:AD34" si="7">+N22+Y22</f>
        <v>19825.963999999996</v>
      </c>
    </row>
    <row r="23" spans="1:30" ht="14.25" x14ac:dyDescent="0.45">
      <c r="A23" s="247" t="s">
        <v>35</v>
      </c>
      <c r="B23" s="676"/>
      <c r="C23" s="677">
        <v>7586337</v>
      </c>
      <c r="D23" s="677"/>
      <c r="E23" s="676"/>
      <c r="F23" s="677"/>
      <c r="G23" s="750">
        <v>2256753</v>
      </c>
      <c r="H23" s="677">
        <v>43984</v>
      </c>
      <c r="I23" s="677">
        <f t="shared" si="1"/>
        <v>2300737</v>
      </c>
      <c r="J23" s="677"/>
      <c r="K23" s="750">
        <f>3754074-G23</f>
        <v>1497321</v>
      </c>
      <c r="L23" s="750">
        <v>47639</v>
      </c>
      <c r="M23" s="128">
        <v>0</v>
      </c>
      <c r="N23" s="128">
        <f t="shared" si="2"/>
        <v>47639</v>
      </c>
      <c r="O23" s="128"/>
      <c r="P23" s="128">
        <f t="shared" si="3"/>
        <v>3798058</v>
      </c>
      <c r="Q23" s="186"/>
      <c r="R23" s="186"/>
      <c r="S23" s="128">
        <f>VLOOKUP($A23,'2019 FA Data'!$C$6:$K$21,7)</f>
        <v>0</v>
      </c>
      <c r="T23" s="186"/>
      <c r="U23" s="186"/>
      <c r="V23" s="128">
        <f>VLOOKUP($A23,'2019 FA Data'!$C$6:$K$21,8)</f>
        <v>0</v>
      </c>
      <c r="W23" s="128">
        <f>VLOOKUP($A23,'2019 FA Data'!$C$6:$K$21,9)</f>
        <v>0</v>
      </c>
      <c r="X23" s="128">
        <v>0</v>
      </c>
      <c r="Y23" s="128">
        <f t="shared" si="4"/>
        <v>0</v>
      </c>
      <c r="Z23" s="128"/>
      <c r="AA23" s="128">
        <f t="shared" si="5"/>
        <v>0</v>
      </c>
      <c r="AB23" s="128">
        <v>0</v>
      </c>
      <c r="AC23" s="128">
        <f t="shared" si="6"/>
        <v>11384395</v>
      </c>
      <c r="AD23" s="144">
        <f t="shared" si="7"/>
        <v>47639</v>
      </c>
    </row>
    <row r="24" spans="1:30" ht="14.25" x14ac:dyDescent="0.45">
      <c r="A24" s="247" t="s">
        <v>36</v>
      </c>
      <c r="B24" s="676"/>
      <c r="C24" s="677">
        <v>3494438.9847231065</v>
      </c>
      <c r="D24" s="677"/>
      <c r="E24" s="676"/>
      <c r="F24" s="677"/>
      <c r="G24" s="677">
        <v>556319.01527689374</v>
      </c>
      <c r="H24" s="750">
        <v>52164</v>
      </c>
      <c r="I24" s="128">
        <f t="shared" si="1"/>
        <v>608483.01527689374</v>
      </c>
      <c r="J24" s="677"/>
      <c r="K24" s="677">
        <v>865613</v>
      </c>
      <c r="L24" s="677">
        <v>4748</v>
      </c>
      <c r="M24" s="677">
        <v>0</v>
      </c>
      <c r="N24" s="677">
        <f t="shared" si="2"/>
        <v>4748</v>
      </c>
      <c r="O24" s="677"/>
      <c r="P24" s="677">
        <f t="shared" si="3"/>
        <v>1474096.0152768937</v>
      </c>
      <c r="Q24" s="676"/>
      <c r="R24" s="676"/>
      <c r="S24" s="677">
        <f>VLOOKUP($A24,'2019 FA Data'!$C$6:$K$21,7)</f>
        <v>0</v>
      </c>
      <c r="T24" s="676"/>
      <c r="U24" s="676"/>
      <c r="V24" s="677">
        <f>VLOOKUP($A24,'2019 FA Data'!$C$6:$K$21,8)</f>
        <v>0</v>
      </c>
      <c r="W24" s="677">
        <f>VLOOKUP($A24,'2019 FA Data'!$C$6:$K$21,9)</f>
        <v>0</v>
      </c>
      <c r="X24" s="677">
        <v>0</v>
      </c>
      <c r="Y24" s="677">
        <f t="shared" si="4"/>
        <v>0</v>
      </c>
      <c r="Z24" s="677"/>
      <c r="AA24" s="677">
        <f t="shared" si="5"/>
        <v>0</v>
      </c>
      <c r="AB24" s="677">
        <v>0</v>
      </c>
      <c r="AC24" s="677">
        <f t="shared" si="6"/>
        <v>4968535</v>
      </c>
      <c r="AD24" s="678">
        <f t="shared" si="7"/>
        <v>4748</v>
      </c>
    </row>
    <row r="25" spans="1:30" ht="14.25" x14ac:dyDescent="0.45">
      <c r="A25" s="247" t="s">
        <v>37</v>
      </c>
      <c r="B25" s="676"/>
      <c r="C25" s="677">
        <v>5088001.6479949076</v>
      </c>
      <c r="D25" s="677"/>
      <c r="E25" s="676"/>
      <c r="F25" s="677"/>
      <c r="G25" s="750">
        <v>1462518.3520050922</v>
      </c>
      <c r="H25" s="750">
        <v>62979</v>
      </c>
      <c r="I25" s="677">
        <f t="shared" si="1"/>
        <v>1525497.3520050922</v>
      </c>
      <c r="J25" s="677"/>
      <c r="K25" s="750">
        <v>1632596</v>
      </c>
      <c r="L25" s="750">
        <v>3996</v>
      </c>
      <c r="M25" s="677">
        <v>0</v>
      </c>
      <c r="N25" s="677">
        <f t="shared" si="2"/>
        <v>3996</v>
      </c>
      <c r="O25" s="677"/>
      <c r="P25" s="677">
        <f t="shared" si="3"/>
        <v>3158093.3520050924</v>
      </c>
      <c r="Q25" s="676"/>
      <c r="R25" s="676"/>
      <c r="S25" s="677">
        <f>VLOOKUP($A25,'2019 FA Data'!$C$6:$K$21,7)</f>
        <v>0</v>
      </c>
      <c r="T25" s="676"/>
      <c r="U25" s="676"/>
      <c r="V25" s="677">
        <f>VLOOKUP($A25,'2019 FA Data'!$C$6:$K$21,8)</f>
        <v>0</v>
      </c>
      <c r="W25" s="677">
        <f>VLOOKUP($A25,'2019 FA Data'!$C$6:$K$21,9)</f>
        <v>0</v>
      </c>
      <c r="X25" s="677">
        <v>0</v>
      </c>
      <c r="Y25" s="677">
        <f t="shared" si="4"/>
        <v>0</v>
      </c>
      <c r="Z25" s="677"/>
      <c r="AA25" s="677">
        <f t="shared" si="5"/>
        <v>0</v>
      </c>
      <c r="AB25" s="677">
        <v>0</v>
      </c>
      <c r="AC25" s="677">
        <f t="shared" si="6"/>
        <v>8246095</v>
      </c>
      <c r="AD25" s="678">
        <f t="shared" si="7"/>
        <v>3996</v>
      </c>
    </row>
    <row r="26" spans="1:30" ht="14.25" x14ac:dyDescent="0.45">
      <c r="A26" s="247" t="s">
        <v>38</v>
      </c>
      <c r="B26" s="676"/>
      <c r="C26" s="677">
        <v>16841095.299809039</v>
      </c>
      <c r="D26" s="677"/>
      <c r="E26" s="676"/>
      <c r="F26" s="677"/>
      <c r="G26" s="677">
        <v>5492248.2001909614</v>
      </c>
      <c r="H26" s="750">
        <v>347690</v>
      </c>
      <c r="I26" s="677">
        <f t="shared" si="1"/>
        <v>5839938.2001909614</v>
      </c>
      <c r="J26" s="677"/>
      <c r="K26" s="677">
        <v>11814012</v>
      </c>
      <c r="L26" s="750">
        <v>42958</v>
      </c>
      <c r="M26" s="677">
        <v>0</v>
      </c>
      <c r="N26" s="677">
        <f t="shared" si="2"/>
        <v>42958</v>
      </c>
      <c r="O26" s="677"/>
      <c r="P26" s="677">
        <f t="shared" si="3"/>
        <v>17653950.200190961</v>
      </c>
      <c r="Q26" s="676"/>
      <c r="R26" s="676"/>
      <c r="S26" s="677">
        <f>VLOOKUP($A26,'2019 FA Data'!$C$6:$K$21,7)</f>
        <v>0</v>
      </c>
      <c r="T26" s="676"/>
      <c r="U26" s="676"/>
      <c r="V26" s="677">
        <v>20863595</v>
      </c>
      <c r="W26" s="749">
        <v>76731</v>
      </c>
      <c r="X26" s="677">
        <v>0</v>
      </c>
      <c r="Y26" s="677">
        <f t="shared" si="4"/>
        <v>76731</v>
      </c>
      <c r="Z26" s="677"/>
      <c r="AA26" s="677">
        <f t="shared" si="5"/>
        <v>20863595</v>
      </c>
      <c r="AB26" s="677">
        <v>0</v>
      </c>
      <c r="AC26" s="677">
        <f t="shared" si="6"/>
        <v>55358640.5</v>
      </c>
      <c r="AD26" s="678">
        <f t="shared" si="7"/>
        <v>119689</v>
      </c>
    </row>
    <row r="27" spans="1:30" ht="14.25" x14ac:dyDescent="0.45">
      <c r="A27" s="35" t="s">
        <v>39</v>
      </c>
      <c r="B27" s="186"/>
      <c r="C27" s="128">
        <v>28570155.529789943</v>
      </c>
      <c r="D27" s="128"/>
      <c r="E27" s="186"/>
      <c r="F27" s="128"/>
      <c r="G27" s="128">
        <v>7953.2702100572933</v>
      </c>
      <c r="H27" s="128">
        <v>477435</v>
      </c>
      <c r="I27" s="128">
        <f t="shared" si="1"/>
        <v>485388.27021005726</v>
      </c>
      <c r="J27" s="128"/>
      <c r="K27" s="128">
        <f>VLOOKUP($A27,'2019 FA Data'!$C$6:$K$21,5)</f>
        <v>17726842.300000001</v>
      </c>
      <c r="L27" s="128">
        <f>VLOOKUP($A27,'2019 FA Data'!$C$6:$K$21,6)</f>
        <v>55604.28</v>
      </c>
      <c r="M27" s="128">
        <v>0</v>
      </c>
      <c r="N27" s="128">
        <f t="shared" si="2"/>
        <v>55604.28</v>
      </c>
      <c r="O27" s="128"/>
      <c r="P27" s="128">
        <f t="shared" si="3"/>
        <v>18212230.570210058</v>
      </c>
      <c r="Q27" s="186"/>
      <c r="R27" s="186"/>
      <c r="S27" s="128">
        <f>VLOOKUP($A27,'2019 FA Data'!$C$6:$K$21,7)</f>
        <v>0</v>
      </c>
      <c r="T27" s="186"/>
      <c r="U27" s="186"/>
      <c r="V27" s="128">
        <f>VLOOKUP($A27,'2019 FA Data'!$C$6:$K$21,8)</f>
        <v>0</v>
      </c>
      <c r="W27" s="128">
        <f>VLOOKUP($A27,'2019 FA Data'!$C$6:$K$21,9)</f>
        <v>0</v>
      </c>
      <c r="X27" s="128">
        <v>0</v>
      </c>
      <c r="Y27" s="128">
        <f t="shared" si="4"/>
        <v>0</v>
      </c>
      <c r="Z27" s="128"/>
      <c r="AA27" s="128">
        <f t="shared" si="5"/>
        <v>0</v>
      </c>
      <c r="AB27" s="128">
        <v>0</v>
      </c>
      <c r="AC27" s="128">
        <f t="shared" si="6"/>
        <v>46782386.100000001</v>
      </c>
      <c r="AD27" s="144">
        <f t="shared" si="7"/>
        <v>55604.28</v>
      </c>
    </row>
    <row r="28" spans="1:30" ht="14.25" x14ac:dyDescent="0.45">
      <c r="A28" s="247" t="s">
        <v>40</v>
      </c>
      <c r="B28" s="676"/>
      <c r="C28" s="677">
        <v>21688731.737110119</v>
      </c>
      <c r="D28" s="677"/>
      <c r="E28" s="676"/>
      <c r="F28" s="677"/>
      <c r="G28" s="677">
        <v>5449607.2628898788</v>
      </c>
      <c r="H28" s="677">
        <v>38145</v>
      </c>
      <c r="I28" s="677">
        <f t="shared" si="1"/>
        <v>5487752.2628898788</v>
      </c>
      <c r="J28" s="677"/>
      <c r="K28" s="677">
        <v>18243106</v>
      </c>
      <c r="L28" s="677">
        <v>52354</v>
      </c>
      <c r="M28" s="677">
        <v>0</v>
      </c>
      <c r="N28" s="677">
        <f t="shared" si="2"/>
        <v>52354</v>
      </c>
      <c r="O28" s="677"/>
      <c r="P28" s="677">
        <f t="shared" si="3"/>
        <v>23730858.262889877</v>
      </c>
      <c r="Q28" s="676"/>
      <c r="R28" s="676"/>
      <c r="S28" s="677">
        <f>VLOOKUP($A28,'2019 FA Data'!$C$6:$K$21,7)</f>
        <v>0</v>
      </c>
      <c r="T28" s="676"/>
      <c r="U28" s="676"/>
      <c r="V28" s="677">
        <f>VLOOKUP($A28,'2019 FA Data'!$C$6:$K$21,8)</f>
        <v>0</v>
      </c>
      <c r="W28" s="677">
        <f>VLOOKUP($A28,'2019 FA Data'!$C$6:$K$21,9)</f>
        <v>0</v>
      </c>
      <c r="X28" s="677">
        <v>0</v>
      </c>
      <c r="Y28" s="677">
        <f t="shared" si="4"/>
        <v>0</v>
      </c>
      <c r="Z28" s="677"/>
      <c r="AA28" s="677">
        <f t="shared" si="5"/>
        <v>0</v>
      </c>
      <c r="AB28" s="677">
        <v>0</v>
      </c>
      <c r="AC28" s="677">
        <f t="shared" si="6"/>
        <v>45419590</v>
      </c>
      <c r="AD28" s="678">
        <f t="shared" si="7"/>
        <v>52354</v>
      </c>
    </row>
    <row r="29" spans="1:30" ht="14.25" x14ac:dyDescent="0.45">
      <c r="A29" s="35" t="s">
        <v>41</v>
      </c>
      <c r="B29" s="186"/>
      <c r="C29" s="128">
        <v>10272090.253978359</v>
      </c>
      <c r="D29" s="128"/>
      <c r="E29" s="186"/>
      <c r="F29" s="128"/>
      <c r="G29" s="128">
        <v>3931.2460216422623</v>
      </c>
      <c r="H29" s="128">
        <v>89430</v>
      </c>
      <c r="I29" s="128">
        <f t="shared" si="1"/>
        <v>93361.246021642262</v>
      </c>
      <c r="J29" s="128"/>
      <c r="K29" s="128">
        <f>VLOOKUP($A29,'2019 FA Data'!$C$6:$K$21,5)</f>
        <v>7176697</v>
      </c>
      <c r="L29" s="128">
        <f>VLOOKUP($A29,'2019 FA Data'!$C$6:$K$21,6)</f>
        <v>19300.288</v>
      </c>
      <c r="M29" s="128">
        <v>0</v>
      </c>
      <c r="N29" s="128">
        <f t="shared" si="2"/>
        <v>19300.288</v>
      </c>
      <c r="O29" s="128"/>
      <c r="P29" s="128">
        <f t="shared" si="3"/>
        <v>7270058.2460216423</v>
      </c>
      <c r="Q29" s="186"/>
      <c r="R29" s="186"/>
      <c r="S29" s="128">
        <f>VLOOKUP($A29,'2019 FA Data'!$C$6:$K$21,7)</f>
        <v>0</v>
      </c>
      <c r="T29" s="186"/>
      <c r="U29" s="186"/>
      <c r="V29" s="128">
        <f>VLOOKUP($A29,'2019 FA Data'!$C$6:$K$21,8)</f>
        <v>8855839</v>
      </c>
      <c r="W29" s="128">
        <f>VLOOKUP($A29,'2019 FA Data'!$C$6:$K$21,9)</f>
        <v>18598.457999999999</v>
      </c>
      <c r="X29" s="128">
        <v>0</v>
      </c>
      <c r="Y29" s="128">
        <f t="shared" si="4"/>
        <v>18598.457999999999</v>
      </c>
      <c r="Z29" s="128"/>
      <c r="AA29" s="128">
        <f t="shared" si="5"/>
        <v>8855839</v>
      </c>
      <c r="AB29" s="128">
        <v>0</v>
      </c>
      <c r="AC29" s="128">
        <f t="shared" si="6"/>
        <v>26397987.5</v>
      </c>
      <c r="AD29" s="144">
        <f t="shared" si="7"/>
        <v>37898.745999999999</v>
      </c>
    </row>
    <row r="30" spans="1:30" ht="14.25" x14ac:dyDescent="0.45">
      <c r="A30" s="247" t="s">
        <v>42</v>
      </c>
      <c r="B30" s="676"/>
      <c r="C30" s="677">
        <v>3947026.8141311267</v>
      </c>
      <c r="D30" s="677"/>
      <c r="E30" s="676"/>
      <c r="F30" s="677"/>
      <c r="G30" s="677">
        <v>2001897.1858688733</v>
      </c>
      <c r="H30" s="677">
        <v>124446</v>
      </c>
      <c r="I30" s="677">
        <f t="shared" si="1"/>
        <v>2126343.1858688733</v>
      </c>
      <c r="J30" s="677"/>
      <c r="K30" s="677">
        <f>VLOOKUP($A30,'2019 FA Data'!$C$6:$K$21,5)</f>
        <v>0</v>
      </c>
      <c r="L30" s="677">
        <f>VLOOKUP($A30,'2019 FA Data'!$C$6:$K$21,6)</f>
        <v>0</v>
      </c>
      <c r="M30" s="677">
        <v>0</v>
      </c>
      <c r="N30" s="677">
        <f t="shared" si="2"/>
        <v>0</v>
      </c>
      <c r="O30" s="677"/>
      <c r="P30" s="677">
        <f t="shared" si="3"/>
        <v>2126343.1858688733</v>
      </c>
      <c r="Q30" s="676"/>
      <c r="R30" s="676"/>
      <c r="S30" s="677">
        <f>VLOOKUP($A30,'2019 FA Data'!$C$6:$K$21,7)</f>
        <v>0</v>
      </c>
      <c r="T30" s="676"/>
      <c r="U30" s="676"/>
      <c r="V30" s="677">
        <v>6624000</v>
      </c>
      <c r="W30" s="677">
        <f>VLOOKUP($A30,'2019 FA Data'!$C$6:$K$21,9)</f>
        <v>25547</v>
      </c>
      <c r="X30" s="677">
        <v>0</v>
      </c>
      <c r="Y30" s="677">
        <f t="shared" si="4"/>
        <v>25547</v>
      </c>
      <c r="Z30" s="677"/>
      <c r="AA30" s="677">
        <f t="shared" si="5"/>
        <v>6624000</v>
      </c>
      <c r="AB30" s="677">
        <v>0</v>
      </c>
      <c r="AC30" s="677">
        <f t="shared" si="6"/>
        <v>12697370</v>
      </c>
      <c r="AD30" s="678">
        <f t="shared" si="7"/>
        <v>25547</v>
      </c>
    </row>
    <row r="31" spans="1:30" ht="14.25" x14ac:dyDescent="0.45">
      <c r="A31" s="35" t="s">
        <v>173</v>
      </c>
      <c r="B31" s="186"/>
      <c r="C31" s="128">
        <v>24609955.614999998</v>
      </c>
      <c r="D31" s="128"/>
      <c r="E31" s="186"/>
      <c r="F31" s="128"/>
      <c r="G31" s="128">
        <v>7041489</v>
      </c>
      <c r="H31" s="128">
        <v>47599</v>
      </c>
      <c r="I31" s="128">
        <f t="shared" si="1"/>
        <v>7089088</v>
      </c>
      <c r="J31" s="128"/>
      <c r="K31" s="128">
        <f>VLOOKUP($A31,'2019 FA Data'!$C$6:$K$21,5)</f>
        <v>35790331</v>
      </c>
      <c r="L31" s="128">
        <f>VLOOKUP($A31,'2019 FA Data'!$C$6:$K$21,6)</f>
        <v>103570.73</v>
      </c>
      <c r="M31" s="128">
        <v>0</v>
      </c>
      <c r="N31" s="128">
        <f t="shared" si="2"/>
        <v>103570.73</v>
      </c>
      <c r="O31" s="128"/>
      <c r="P31" s="128">
        <f t="shared" si="3"/>
        <v>42879419</v>
      </c>
      <c r="Q31" s="186"/>
      <c r="R31" s="186"/>
      <c r="S31" s="128">
        <f>VLOOKUP($A31,'2019 FA Data'!$C$6:$K$21,7)</f>
        <v>0</v>
      </c>
      <c r="T31" s="186"/>
      <c r="U31" s="186"/>
      <c r="V31" s="128">
        <f>VLOOKUP($A31,'2019 FA Data'!$C$6:$K$21,8)</f>
        <v>7767120</v>
      </c>
      <c r="W31" s="128">
        <f>VLOOKUP($A31,'2019 FA Data'!$C$6:$K$21,9)</f>
        <v>32260</v>
      </c>
      <c r="X31" s="128">
        <v>0</v>
      </c>
      <c r="Y31" s="128">
        <f t="shared" si="4"/>
        <v>32260</v>
      </c>
      <c r="Z31" s="128"/>
      <c r="AA31" s="128">
        <f t="shared" si="5"/>
        <v>7767120</v>
      </c>
      <c r="AB31" s="128">
        <v>0</v>
      </c>
      <c r="AC31" s="128">
        <f t="shared" si="6"/>
        <v>75256494.614999995</v>
      </c>
      <c r="AD31" s="144">
        <f t="shared" si="7"/>
        <v>135830.72999999998</v>
      </c>
    </row>
    <row r="32" spans="1:30" ht="14.25" x14ac:dyDescent="0.45">
      <c r="A32" s="247" t="s">
        <v>44</v>
      </c>
      <c r="B32" s="676"/>
      <c r="C32" s="677">
        <v>26231934.815404203</v>
      </c>
      <c r="D32" s="677"/>
      <c r="E32" s="676"/>
      <c r="F32" s="677"/>
      <c r="G32" s="677">
        <v>3174334.6845957991</v>
      </c>
      <c r="H32" s="677">
        <v>126916</v>
      </c>
      <c r="I32" s="677">
        <f t="shared" si="1"/>
        <v>3301250.6845957991</v>
      </c>
      <c r="J32" s="677"/>
      <c r="K32" s="677">
        <v>23698018</v>
      </c>
      <c r="L32" s="677">
        <v>88468</v>
      </c>
      <c r="M32" s="677">
        <v>0</v>
      </c>
      <c r="N32" s="677">
        <f t="shared" si="2"/>
        <v>88468</v>
      </c>
      <c r="O32" s="677"/>
      <c r="P32" s="677">
        <f t="shared" si="3"/>
        <v>26999268.684595801</v>
      </c>
      <c r="Q32" s="676"/>
      <c r="R32" s="676"/>
      <c r="S32" s="677">
        <f>VLOOKUP($A32,'2019 FA Data'!$C$6:$K$21,7)</f>
        <v>0</v>
      </c>
      <c r="T32" s="676"/>
      <c r="U32" s="676"/>
      <c r="V32" s="677">
        <f>VLOOKUP($A32,'2019 FA Data'!$C$6:$K$21,8)</f>
        <v>0</v>
      </c>
      <c r="W32" s="677">
        <f>VLOOKUP($A32,'2019 FA Data'!$C$6:$K$21,9)</f>
        <v>0</v>
      </c>
      <c r="X32" s="677">
        <v>0</v>
      </c>
      <c r="Y32" s="677">
        <f t="shared" si="4"/>
        <v>0</v>
      </c>
      <c r="Z32" s="677"/>
      <c r="AA32" s="677">
        <f t="shared" si="5"/>
        <v>0</v>
      </c>
      <c r="AB32" s="677">
        <v>0</v>
      </c>
      <c r="AC32" s="677">
        <f t="shared" si="6"/>
        <v>53231203.5</v>
      </c>
      <c r="AD32" s="678">
        <f t="shared" si="7"/>
        <v>88468</v>
      </c>
    </row>
    <row r="33" spans="1:30" ht="14.25" x14ac:dyDescent="0.45">
      <c r="A33" s="247" t="s">
        <v>45</v>
      </c>
      <c r="B33" s="748"/>
      <c r="C33" s="677">
        <v>227416756.23475409</v>
      </c>
      <c r="D33" s="677"/>
      <c r="E33" s="676"/>
      <c r="F33" s="677"/>
      <c r="G33" s="677">
        <v>65097068.848360658</v>
      </c>
      <c r="H33" s="677">
        <v>1639471</v>
      </c>
      <c r="I33" s="677">
        <f t="shared" si="1"/>
        <v>66736539.848360658</v>
      </c>
      <c r="J33" s="677"/>
      <c r="K33" s="677">
        <v>71719171</v>
      </c>
      <c r="L33" s="677">
        <v>297499</v>
      </c>
      <c r="M33" s="677">
        <v>0</v>
      </c>
      <c r="N33" s="677">
        <f t="shared" si="2"/>
        <v>297499</v>
      </c>
      <c r="O33" s="677"/>
      <c r="P33" s="677">
        <f t="shared" si="3"/>
        <v>138455710.84836066</v>
      </c>
      <c r="Q33" s="676"/>
      <c r="R33" s="676"/>
      <c r="S33" s="677">
        <v>5578093</v>
      </c>
      <c r="T33" s="676"/>
      <c r="U33" s="676"/>
      <c r="V33" s="677">
        <v>93458257</v>
      </c>
      <c r="W33" s="677">
        <v>147739</v>
      </c>
      <c r="X33" s="677">
        <v>0</v>
      </c>
      <c r="Y33" s="677">
        <f t="shared" si="4"/>
        <v>147739</v>
      </c>
      <c r="Z33" s="677"/>
      <c r="AA33" s="677">
        <f t="shared" si="5"/>
        <v>99036350</v>
      </c>
      <c r="AB33" s="677">
        <v>0</v>
      </c>
      <c r="AC33" s="677">
        <f t="shared" si="6"/>
        <v>464908817.08311474</v>
      </c>
      <c r="AD33" s="678">
        <f t="shared" si="7"/>
        <v>445238</v>
      </c>
    </row>
    <row r="34" spans="1:30" ht="14.25" x14ac:dyDescent="0.45">
      <c r="A34" s="686" t="s">
        <v>46</v>
      </c>
      <c r="B34" s="685"/>
      <c r="C34" s="684">
        <v>57231915.5</v>
      </c>
      <c r="D34" s="684"/>
      <c r="E34" s="685"/>
      <c r="F34" s="684"/>
      <c r="G34" s="684">
        <v>5045134</v>
      </c>
      <c r="H34" s="684">
        <v>159479</v>
      </c>
      <c r="I34" s="684">
        <f t="shared" si="1"/>
        <v>5204613</v>
      </c>
      <c r="J34" s="684"/>
      <c r="K34" s="684">
        <v>0</v>
      </c>
      <c r="L34" s="684">
        <v>0</v>
      </c>
      <c r="M34" s="684">
        <v>0</v>
      </c>
      <c r="N34" s="684">
        <f t="shared" si="2"/>
        <v>0</v>
      </c>
      <c r="O34" s="684"/>
      <c r="P34" s="684">
        <f t="shared" si="3"/>
        <v>5204613</v>
      </c>
      <c r="Q34" s="685"/>
      <c r="R34" s="685"/>
      <c r="S34" s="684">
        <f>VLOOKUP($A34,'2019 FA Data'!$C$6:$K$21,7)</f>
        <v>0</v>
      </c>
      <c r="T34" s="685"/>
      <c r="U34" s="685"/>
      <c r="V34" s="684">
        <v>3641765</v>
      </c>
      <c r="W34" s="684">
        <v>11604.848</v>
      </c>
      <c r="X34" s="684">
        <v>0</v>
      </c>
      <c r="Y34" s="684">
        <f t="shared" si="4"/>
        <v>11604.848</v>
      </c>
      <c r="Z34" s="684"/>
      <c r="AA34" s="684">
        <f t="shared" si="5"/>
        <v>3641765</v>
      </c>
      <c r="AB34" s="684">
        <v>0</v>
      </c>
      <c r="AC34" s="684">
        <f t="shared" si="6"/>
        <v>66078293.5</v>
      </c>
      <c r="AD34" s="696">
        <f t="shared" si="7"/>
        <v>11604.848</v>
      </c>
    </row>
    <row r="35" spans="1:30" ht="14.25" x14ac:dyDescent="0.45">
      <c r="A35" s="137" t="s">
        <v>151</v>
      </c>
      <c r="B35" s="201"/>
      <c r="C35" s="202">
        <f>SUM(C19:C34)</f>
        <v>2008652175.2609861</v>
      </c>
      <c r="D35" s="202"/>
      <c r="E35" s="201"/>
      <c r="F35" s="202"/>
      <c r="G35" s="202">
        <f>SUM(G19:G34)</f>
        <v>293042087.63876772</v>
      </c>
      <c r="H35" s="202">
        <f>SUM(H19:H34)</f>
        <v>13148566.48</v>
      </c>
      <c r="I35" s="202">
        <f>G35+H35</f>
        <v>306190654.11876774</v>
      </c>
      <c r="J35" s="202"/>
      <c r="K35" s="202">
        <f>SUM(K19:K34)</f>
        <v>1485882010.3</v>
      </c>
      <c r="L35" s="202">
        <f>SUM(L19:L34)</f>
        <v>4859483.0620000008</v>
      </c>
      <c r="M35" s="202">
        <f>SUM(M19:M34)</f>
        <v>2353651</v>
      </c>
      <c r="N35" s="202">
        <f t="shared" si="2"/>
        <v>7213134.0620000008</v>
      </c>
      <c r="O35" s="202"/>
      <c r="P35" s="202">
        <f>SUM(P19:P34)</f>
        <v>1792072664.4187679</v>
      </c>
      <c r="Q35" s="202"/>
      <c r="R35" s="202"/>
      <c r="S35" s="202">
        <f>SUM(S19:S34)</f>
        <v>5578093</v>
      </c>
      <c r="T35" s="202"/>
      <c r="U35" s="202"/>
      <c r="V35" s="202">
        <f>SUM(V19:V34)</f>
        <v>728487309</v>
      </c>
      <c r="W35" s="202">
        <f>SUM(W19:W34)</f>
        <v>1745670.3060000001</v>
      </c>
      <c r="X35" s="202">
        <f>SUM(X19:X34)</f>
        <v>1563793</v>
      </c>
      <c r="Y35" s="202">
        <f>SUM(Y19:Y34)</f>
        <v>3309463.3060000003</v>
      </c>
      <c r="Z35" s="202"/>
      <c r="AA35" s="202">
        <f>SUM(AA19:AA34)</f>
        <v>734065402</v>
      </c>
      <c r="AB35" s="202">
        <f>SUM(AB19:AB34)</f>
        <v>0</v>
      </c>
      <c r="AC35" s="202">
        <f>SUM(AC19:AC34)</f>
        <v>4534790241.6797543</v>
      </c>
      <c r="AD35" s="203">
        <f>SUM(AD19:AD34)</f>
        <v>10522597.367999999</v>
      </c>
    </row>
    <row r="36" spans="1:30" ht="14.25" x14ac:dyDescent="0.45">
      <c r="A36" s="137"/>
      <c r="B36" s="186"/>
      <c r="C36" s="128"/>
      <c r="D36" s="186"/>
      <c r="E36" s="186"/>
      <c r="F36" s="186"/>
      <c r="G36" s="186"/>
      <c r="H36" s="128"/>
      <c r="I36" s="128"/>
      <c r="J36" s="186"/>
      <c r="K36" s="186"/>
      <c r="L36" s="186"/>
      <c r="M36" s="186"/>
      <c r="N36" s="186"/>
      <c r="O36" s="186"/>
      <c r="P36" s="186"/>
      <c r="Q36" s="186"/>
      <c r="R36" s="186"/>
      <c r="S36" s="186"/>
      <c r="T36" s="186"/>
      <c r="U36" s="186"/>
      <c r="V36" s="186"/>
      <c r="W36" s="186"/>
      <c r="X36" s="186"/>
      <c r="Y36" s="186"/>
      <c r="Z36" s="186"/>
      <c r="AA36" s="186"/>
      <c r="AB36" s="186"/>
      <c r="AC36" s="128"/>
      <c r="AD36" s="200"/>
    </row>
    <row r="37" spans="1:30" ht="14.25" x14ac:dyDescent="0.45">
      <c r="A37" s="137" t="s">
        <v>153</v>
      </c>
      <c r="B37" s="186"/>
      <c r="C37" s="128">
        <f>C16+C35</f>
        <v>2008652175.2609861</v>
      </c>
      <c r="D37" s="128"/>
      <c r="E37" s="128"/>
      <c r="F37" s="128"/>
      <c r="G37" s="128">
        <f>G16+G35</f>
        <v>293042087.63876772</v>
      </c>
      <c r="H37" s="128">
        <f>H16+H35</f>
        <v>13148566.48</v>
      </c>
      <c r="I37" s="128">
        <f>I16+I35</f>
        <v>306190654.11876774</v>
      </c>
      <c r="J37" s="128"/>
      <c r="K37" s="128">
        <f>K16+K35</f>
        <v>1485882010.3</v>
      </c>
      <c r="L37" s="128">
        <f>L16+L35</f>
        <v>4859483.0620000008</v>
      </c>
      <c r="M37" s="128">
        <f>M16+M35</f>
        <v>2353651</v>
      </c>
      <c r="N37" s="128">
        <f>N16+N35</f>
        <v>7213134.0620000008</v>
      </c>
      <c r="O37" s="128"/>
      <c r="P37" s="128">
        <f>P16+P35</f>
        <v>1792072664.4187679</v>
      </c>
      <c r="Q37" s="128"/>
      <c r="R37" s="128"/>
      <c r="S37" s="128">
        <f>S16+S35</f>
        <v>5578093</v>
      </c>
      <c r="T37" s="128"/>
      <c r="U37" s="128"/>
      <c r="V37" s="128">
        <f>V16+V35</f>
        <v>1319995789</v>
      </c>
      <c r="W37" s="128">
        <f>W16+W35</f>
        <v>2704302.3059999999</v>
      </c>
      <c r="X37" s="128">
        <f>X16+X35</f>
        <v>2481232</v>
      </c>
      <c r="Y37" s="128">
        <f>Y16+Y35</f>
        <v>5185534.3059999999</v>
      </c>
      <c r="Z37" s="128"/>
      <c r="AA37" s="128">
        <f>AA16+AA35</f>
        <v>1325573882</v>
      </c>
      <c r="AB37" s="128">
        <f>AB16+AB35</f>
        <v>0</v>
      </c>
      <c r="AC37" s="128">
        <f>AC16+AC35</f>
        <v>5126298721.6797543</v>
      </c>
      <c r="AD37" s="144">
        <f>AD16+AD35</f>
        <v>12398668.367999999</v>
      </c>
    </row>
    <row r="39" spans="1:30" ht="13.15" thickBot="1" x14ac:dyDescent="0.4"/>
    <row r="40" spans="1:30" ht="14.25" x14ac:dyDescent="0.45">
      <c r="A40" s="37"/>
      <c r="B40" s="1001" t="s">
        <v>3</v>
      </c>
      <c r="C40" s="1002"/>
      <c r="D40" s="1003"/>
      <c r="E40" s="38"/>
      <c r="F40" s="1001" t="s">
        <v>13</v>
      </c>
      <c r="G40" s="1002"/>
      <c r="H40" s="1002"/>
      <c r="I40" s="1002"/>
      <c r="J40" s="1002"/>
      <c r="K40" s="1002"/>
      <c r="L40" s="1002"/>
      <c r="M40" s="1002"/>
      <c r="N40" s="1002"/>
      <c r="O40" s="1002"/>
      <c r="P40" s="1003"/>
      <c r="Q40" s="692"/>
      <c r="R40" s="1001" t="s">
        <v>14</v>
      </c>
      <c r="S40" s="1002"/>
      <c r="T40" s="1002"/>
      <c r="U40" s="1002"/>
      <c r="V40" s="1002"/>
      <c r="W40" s="1002"/>
      <c r="X40" s="1002"/>
      <c r="Y40" s="1002"/>
      <c r="Z40" s="1002"/>
      <c r="AA40" s="1003"/>
      <c r="AB40" s="37"/>
      <c r="AC40" s="173"/>
      <c r="AD40" s="174"/>
    </row>
    <row r="41" spans="1:30" ht="14.25" x14ac:dyDescent="0.45">
      <c r="A41" s="751">
        <v>2018</v>
      </c>
      <c r="B41" s="175"/>
      <c r="C41" s="176"/>
      <c r="D41" s="177"/>
      <c r="E41" s="175"/>
      <c r="F41" s="175"/>
      <c r="G41" s="1004" t="s">
        <v>22</v>
      </c>
      <c r="H41" s="1005"/>
      <c r="I41" s="1005"/>
      <c r="J41" s="693"/>
      <c r="K41" s="1004" t="s">
        <v>12</v>
      </c>
      <c r="L41" s="1005"/>
      <c r="M41" s="1005"/>
      <c r="N41" s="1005"/>
      <c r="O41" s="1005"/>
      <c r="P41" s="178"/>
      <c r="Q41" s="38"/>
      <c r="R41" s="1006" t="s">
        <v>5</v>
      </c>
      <c r="S41" s="1007"/>
      <c r="T41" s="1008"/>
      <c r="U41" s="1006" t="s">
        <v>12</v>
      </c>
      <c r="V41" s="1007"/>
      <c r="W41" s="1007"/>
      <c r="X41" s="1007"/>
      <c r="Y41" s="1007"/>
      <c r="Z41" s="1008"/>
      <c r="AA41" s="175" t="s">
        <v>10</v>
      </c>
      <c r="AB41" s="175" t="s">
        <v>16</v>
      </c>
      <c r="AC41" s="175"/>
      <c r="AD41" s="179"/>
    </row>
    <row r="42" spans="1:30" ht="14.25" x14ac:dyDescent="0.45">
      <c r="A42" s="691"/>
      <c r="B42" s="691"/>
      <c r="C42" s="176" t="s">
        <v>26</v>
      </c>
      <c r="D42" s="181"/>
      <c r="E42" s="691"/>
      <c r="F42" s="691"/>
      <c r="G42" s="175" t="s">
        <v>29</v>
      </c>
      <c r="H42" s="691"/>
      <c r="I42" s="691"/>
      <c r="J42" s="691"/>
      <c r="K42" s="691"/>
      <c r="L42" s="1011" t="s">
        <v>133</v>
      </c>
      <c r="M42" s="1012"/>
      <c r="N42" s="1013"/>
      <c r="O42" s="182"/>
      <c r="P42" s="175" t="s">
        <v>10</v>
      </c>
      <c r="Q42" s="691"/>
      <c r="R42" s="691"/>
      <c r="S42" s="175" t="s">
        <v>29</v>
      </c>
      <c r="T42" s="691"/>
      <c r="U42" s="691"/>
      <c r="V42" s="182"/>
      <c r="W42" s="1011" t="s">
        <v>155</v>
      </c>
      <c r="X42" s="1012"/>
      <c r="Y42" s="1013"/>
      <c r="Z42" s="182"/>
      <c r="AA42" s="691" t="s">
        <v>15</v>
      </c>
      <c r="AB42" s="691" t="s">
        <v>0</v>
      </c>
      <c r="AC42" s="1009" t="s">
        <v>9</v>
      </c>
      <c r="AD42" s="1010"/>
    </row>
    <row r="43" spans="1:30" ht="14.25" x14ac:dyDescent="0.45">
      <c r="A43" s="691" t="s">
        <v>11</v>
      </c>
      <c r="B43" s="175"/>
      <c r="C43" s="183" t="s">
        <v>7</v>
      </c>
      <c r="D43" s="177"/>
      <c r="E43" s="175"/>
      <c r="F43" s="175"/>
      <c r="G43" s="691" t="s">
        <v>7</v>
      </c>
      <c r="H43" s="691" t="s">
        <v>23</v>
      </c>
      <c r="I43" s="691" t="s">
        <v>10</v>
      </c>
      <c r="J43" s="175"/>
      <c r="K43" s="691" t="s">
        <v>6</v>
      </c>
      <c r="L43" s="691" t="s">
        <v>135</v>
      </c>
      <c r="M43" s="691" t="s">
        <v>136</v>
      </c>
      <c r="N43" s="691" t="s">
        <v>10</v>
      </c>
      <c r="O43" s="175"/>
      <c r="P43" s="691" t="s">
        <v>4</v>
      </c>
      <c r="Q43" s="175"/>
      <c r="R43" s="175"/>
      <c r="S43" s="691" t="s">
        <v>7</v>
      </c>
      <c r="T43" s="175"/>
      <c r="U43" s="175"/>
      <c r="V43" s="691" t="s">
        <v>6</v>
      </c>
      <c r="W43" s="691" t="s">
        <v>135</v>
      </c>
      <c r="X43" s="691" t="s">
        <v>136</v>
      </c>
      <c r="Y43" s="691" t="s">
        <v>10</v>
      </c>
      <c r="Z43" s="175"/>
      <c r="AA43" s="175"/>
      <c r="AB43" s="175"/>
      <c r="AC43" s="175"/>
      <c r="AD43" s="177"/>
    </row>
    <row r="44" spans="1:30" ht="14.25" x14ac:dyDescent="0.45">
      <c r="A44" s="37" t="s">
        <v>138</v>
      </c>
      <c r="B44" s="37"/>
      <c r="C44" s="176" t="s">
        <v>18</v>
      </c>
      <c r="D44" s="40"/>
      <c r="E44" s="37"/>
      <c r="F44" s="37"/>
      <c r="G44" s="175" t="s">
        <v>1</v>
      </c>
      <c r="H44" s="175" t="s">
        <v>1</v>
      </c>
      <c r="I44" s="175" t="s">
        <v>1</v>
      </c>
      <c r="J44" s="37"/>
      <c r="K44" s="175" t="s">
        <v>18</v>
      </c>
      <c r="L44" s="175" t="s">
        <v>2</v>
      </c>
      <c r="M44" s="175" t="s">
        <v>2</v>
      </c>
      <c r="N44" s="175" t="s">
        <v>2</v>
      </c>
      <c r="O44" s="184"/>
      <c r="P44" s="175" t="s">
        <v>18</v>
      </c>
      <c r="Q44" s="37"/>
      <c r="R44" s="37"/>
      <c r="S44" s="175" t="s">
        <v>18</v>
      </c>
      <c r="T44" s="175"/>
      <c r="U44" s="175"/>
      <c r="V44" s="175" t="s">
        <v>18</v>
      </c>
      <c r="W44" s="175" t="s">
        <v>2</v>
      </c>
      <c r="X44" s="175" t="s">
        <v>2</v>
      </c>
      <c r="Y44" s="175" t="s">
        <v>2</v>
      </c>
      <c r="Z44" s="175"/>
      <c r="AA44" s="175" t="s">
        <v>1</v>
      </c>
      <c r="AB44" s="175" t="s">
        <v>18</v>
      </c>
      <c r="AC44" s="175" t="s">
        <v>1</v>
      </c>
      <c r="AD44" s="177" t="s">
        <v>2</v>
      </c>
    </row>
    <row r="45" spans="1:30" ht="14.25" x14ac:dyDescent="0.45">
      <c r="A45" s="37" t="s">
        <v>139</v>
      </c>
      <c r="B45" s="691"/>
      <c r="C45" s="183"/>
      <c r="D45" s="177"/>
      <c r="E45" s="37"/>
      <c r="F45" s="175"/>
      <c r="G45" s="175"/>
      <c r="H45" s="175"/>
      <c r="I45" s="175" t="s">
        <v>156</v>
      </c>
      <c r="J45" s="175"/>
      <c r="K45" s="175"/>
      <c r="L45" s="175"/>
      <c r="M45" s="175"/>
      <c r="N45" s="175" t="s">
        <v>142</v>
      </c>
      <c r="O45" s="175"/>
      <c r="P45" s="175" t="s">
        <v>175</v>
      </c>
      <c r="Q45" s="185"/>
      <c r="R45" s="175"/>
      <c r="S45" s="175"/>
      <c r="T45" s="175"/>
      <c r="U45" s="175"/>
      <c r="V45" s="175"/>
      <c r="W45" s="175"/>
      <c r="X45" s="175"/>
      <c r="Y45" s="175" t="s">
        <v>146</v>
      </c>
      <c r="Z45" s="175"/>
      <c r="AA45" s="175" t="s">
        <v>157</v>
      </c>
      <c r="AB45" s="175"/>
      <c r="AC45" s="175" t="s">
        <v>158</v>
      </c>
      <c r="AD45" s="177" t="s">
        <v>159</v>
      </c>
    </row>
    <row r="46" spans="1:30" ht="14.25" x14ac:dyDescent="0.45">
      <c r="A46" s="137" t="s">
        <v>30</v>
      </c>
      <c r="B46" s="37"/>
      <c r="C46" s="158"/>
      <c r="D46" s="37"/>
      <c r="E46" s="37"/>
      <c r="F46" s="37"/>
      <c r="G46" s="37"/>
      <c r="H46" s="37"/>
      <c r="I46" s="37"/>
      <c r="J46" s="37"/>
      <c r="K46" s="37"/>
      <c r="L46" s="37"/>
      <c r="M46" s="37"/>
      <c r="N46" s="37"/>
      <c r="O46" s="184"/>
      <c r="P46" s="37"/>
      <c r="Q46" s="37"/>
      <c r="R46" s="37"/>
      <c r="S46" s="185"/>
      <c r="T46" s="185"/>
      <c r="U46" s="185"/>
      <c r="V46" s="37"/>
      <c r="W46" s="37"/>
      <c r="X46" s="37"/>
      <c r="Y46" s="37"/>
      <c r="Z46" s="37"/>
      <c r="AA46" s="37"/>
      <c r="AB46" s="37"/>
      <c r="AC46" s="37"/>
      <c r="AD46" s="40"/>
    </row>
    <row r="47" spans="1:30" ht="14.25" x14ac:dyDescent="0.45">
      <c r="A47" s="137"/>
      <c r="B47" s="37"/>
      <c r="C47" s="186"/>
      <c r="D47" s="123"/>
      <c r="E47" s="123"/>
      <c r="F47" s="123"/>
      <c r="G47" s="186"/>
      <c r="H47" s="186"/>
      <c r="I47" s="186"/>
      <c r="J47" s="186"/>
      <c r="K47" s="186"/>
      <c r="L47" s="186"/>
      <c r="M47" s="186"/>
      <c r="N47" s="128"/>
      <c r="O47" s="158"/>
      <c r="P47" s="128"/>
      <c r="Q47" s="186"/>
      <c r="R47" s="128"/>
      <c r="S47" s="186"/>
      <c r="T47" s="128"/>
      <c r="U47" s="128"/>
      <c r="V47" s="186"/>
      <c r="W47" s="186"/>
      <c r="X47" s="186"/>
      <c r="Y47" s="186"/>
      <c r="Z47" s="186"/>
      <c r="AA47" s="128"/>
      <c r="AB47" s="186"/>
      <c r="AC47" s="128"/>
      <c r="AD47" s="144"/>
    </row>
    <row r="48" spans="1:30" ht="14.25" x14ac:dyDescent="0.45">
      <c r="A48" s="137" t="s">
        <v>217</v>
      </c>
      <c r="B48" s="37"/>
      <c r="C48" s="128">
        <v>0</v>
      </c>
      <c r="D48" s="128"/>
      <c r="E48" s="128"/>
      <c r="F48" s="128"/>
      <c r="G48" s="128">
        <v>0</v>
      </c>
      <c r="H48" s="128">
        <v>0</v>
      </c>
      <c r="I48" s="187">
        <f>+G48+H48</f>
        <v>0</v>
      </c>
      <c r="J48" s="128"/>
      <c r="K48" s="128">
        <v>0</v>
      </c>
      <c r="L48" s="128">
        <v>0</v>
      </c>
      <c r="M48" s="128">
        <v>0</v>
      </c>
      <c r="N48" s="187">
        <f>+L48+M48</f>
        <v>0</v>
      </c>
      <c r="O48" s="128">
        <v>0</v>
      </c>
      <c r="P48" s="187">
        <f>+I48+K48</f>
        <v>0</v>
      </c>
      <c r="Q48" s="128"/>
      <c r="R48" s="128"/>
      <c r="S48" s="128">
        <v>0</v>
      </c>
      <c r="T48" s="128"/>
      <c r="U48" s="128"/>
      <c r="V48" s="128">
        <v>404984526</v>
      </c>
      <c r="W48" s="128">
        <v>639781</v>
      </c>
      <c r="X48" s="128">
        <v>604649</v>
      </c>
      <c r="Y48" s="187">
        <f>+W48+X48</f>
        <v>1244430</v>
      </c>
      <c r="Z48" s="128"/>
      <c r="AA48" s="187">
        <f>+S48+V48</f>
        <v>404984526</v>
      </c>
      <c r="AB48" s="128">
        <v>0</v>
      </c>
      <c r="AC48" s="187">
        <f>+C48+P48+AA48+AB48</f>
        <v>404984526</v>
      </c>
      <c r="AD48" s="188">
        <f>+N48+Y48</f>
        <v>1244430</v>
      </c>
    </row>
    <row r="49" spans="1:30" ht="14.25" x14ac:dyDescent="0.45">
      <c r="A49" s="127"/>
      <c r="B49" s="123"/>
      <c r="C49" s="128"/>
      <c r="D49" s="123"/>
      <c r="E49" s="123"/>
      <c r="F49" s="123"/>
      <c r="G49" s="128"/>
      <c r="H49" s="128"/>
      <c r="I49" s="128"/>
      <c r="J49" s="186"/>
      <c r="K49" s="128"/>
      <c r="L49" s="128"/>
      <c r="M49" s="128"/>
      <c r="N49" s="128"/>
      <c r="O49" s="158"/>
      <c r="P49" s="128"/>
      <c r="Q49" s="186"/>
      <c r="R49" s="128"/>
      <c r="S49" s="128"/>
      <c r="T49" s="128"/>
      <c r="U49" s="128"/>
      <c r="V49" s="128">
        <v>186523954</v>
      </c>
      <c r="W49" s="128">
        <v>318851</v>
      </c>
      <c r="X49" s="128">
        <v>312790</v>
      </c>
      <c r="Y49" s="187">
        <f>+W49+X49</f>
        <v>631641</v>
      </c>
      <c r="Z49" s="128"/>
      <c r="AA49" s="187">
        <f>+S49+V49</f>
        <v>186523954</v>
      </c>
      <c r="AB49" s="128">
        <v>0</v>
      </c>
      <c r="AC49" s="187">
        <f>+C49+P49+AA49+AB49</f>
        <v>186523954</v>
      </c>
      <c r="AD49" s="188">
        <f>+N49+Y49</f>
        <v>631641</v>
      </c>
    </row>
    <row r="50" spans="1:30" ht="14.25" x14ac:dyDescent="0.45">
      <c r="A50" s="1"/>
      <c r="B50" s="189"/>
      <c r="C50" s="135"/>
      <c r="D50" s="190"/>
      <c r="E50" s="190"/>
      <c r="F50" s="190"/>
      <c r="G50" s="135"/>
      <c r="H50" s="135"/>
      <c r="I50" s="191"/>
      <c r="J50" s="190"/>
      <c r="K50" s="135"/>
      <c r="L50" s="135"/>
      <c r="M50" s="135"/>
      <c r="N50" s="191"/>
      <c r="O50" s="192"/>
      <c r="P50" s="191"/>
      <c r="Q50" s="190"/>
      <c r="R50" s="190"/>
      <c r="S50" s="193"/>
      <c r="T50" s="190"/>
      <c r="U50" s="190"/>
      <c r="V50" s="135"/>
      <c r="W50" s="135"/>
      <c r="X50" s="135"/>
      <c r="Y50" s="135"/>
      <c r="Z50" s="135"/>
      <c r="AA50" s="135"/>
      <c r="AB50" s="135"/>
      <c r="AC50" s="135"/>
      <c r="AD50" s="191"/>
    </row>
    <row r="51" spans="1:30" ht="14.25" x14ac:dyDescent="0.45">
      <c r="A51" s="137" t="s">
        <v>279</v>
      </c>
      <c r="B51" s="194"/>
      <c r="C51" s="139">
        <f>+C48</f>
        <v>0</v>
      </c>
      <c r="D51" s="195"/>
      <c r="E51" s="195"/>
      <c r="F51" s="195"/>
      <c r="G51" s="139"/>
      <c r="H51" s="139"/>
      <c r="I51" s="139">
        <f>+G51+H51</f>
        <v>0</v>
      </c>
      <c r="J51" s="195"/>
      <c r="K51" s="139"/>
      <c r="L51" s="139"/>
      <c r="M51" s="139"/>
      <c r="N51" s="139">
        <f>+L51+M51</f>
        <v>0</v>
      </c>
      <c r="O51" s="139"/>
      <c r="P51" s="139">
        <f>+I51+K51</f>
        <v>0</v>
      </c>
      <c r="Q51" s="195"/>
      <c r="R51" s="195"/>
      <c r="S51" s="139">
        <f>+S48</f>
        <v>0</v>
      </c>
      <c r="T51" s="195"/>
      <c r="U51" s="195"/>
      <c r="V51" s="139">
        <f>SUM(V48:V50)</f>
        <v>591508480</v>
      </c>
      <c r="W51" s="139">
        <f t="shared" ref="W51:AA51" si="8">SUM(W48:W50)</f>
        <v>958632</v>
      </c>
      <c r="X51" s="139">
        <f t="shared" si="8"/>
        <v>917439</v>
      </c>
      <c r="Y51" s="139">
        <f t="shared" si="8"/>
        <v>1876071</v>
      </c>
      <c r="Z51" s="139">
        <f t="shared" si="8"/>
        <v>0</v>
      </c>
      <c r="AA51" s="139">
        <f t="shared" si="8"/>
        <v>591508480</v>
      </c>
      <c r="AB51" s="139"/>
      <c r="AC51" s="139">
        <f>SUM(AC48:AC50)</f>
        <v>591508480</v>
      </c>
      <c r="AD51" s="196">
        <f>SUM(AD48:AD50)</f>
        <v>1876071</v>
      </c>
    </row>
    <row r="52" spans="1:30" ht="14.25" x14ac:dyDescent="0.45">
      <c r="A52" s="137"/>
      <c r="B52" s="197"/>
      <c r="C52" s="128"/>
      <c r="D52" s="186"/>
      <c r="E52" s="186"/>
      <c r="F52" s="186"/>
      <c r="G52" s="128"/>
      <c r="H52" s="128"/>
      <c r="I52" s="128"/>
      <c r="J52" s="186"/>
      <c r="K52" s="128"/>
      <c r="L52" s="128"/>
      <c r="M52" s="128"/>
      <c r="N52" s="128"/>
      <c r="O52" s="128"/>
      <c r="P52" s="128"/>
      <c r="Q52" s="186"/>
      <c r="R52" s="186"/>
      <c r="S52" s="198"/>
      <c r="T52" s="186"/>
      <c r="U52" s="186"/>
      <c r="V52" s="128"/>
      <c r="W52" s="128"/>
      <c r="X52" s="128"/>
      <c r="Y52" s="128"/>
      <c r="Z52" s="128"/>
      <c r="AA52" s="128"/>
      <c r="AB52" s="128"/>
      <c r="AC52" s="128"/>
      <c r="AD52" s="144"/>
    </row>
    <row r="53" spans="1:30" ht="14.25" x14ac:dyDescent="0.45">
      <c r="A53" s="199" t="s">
        <v>160</v>
      </c>
      <c r="B53" s="197"/>
      <c r="C53" s="128"/>
      <c r="D53" s="186"/>
      <c r="E53" s="186"/>
      <c r="F53" s="186"/>
      <c r="G53" s="128"/>
      <c r="H53" s="128"/>
      <c r="I53" s="128"/>
      <c r="J53" s="186"/>
      <c r="K53" s="128"/>
      <c r="L53" s="128"/>
      <c r="M53" s="128"/>
      <c r="N53" s="128"/>
      <c r="O53" s="128"/>
      <c r="P53" s="128"/>
      <c r="Q53" s="186"/>
      <c r="R53" s="186"/>
      <c r="S53" s="198"/>
      <c r="T53" s="186"/>
      <c r="U53" s="186"/>
      <c r="V53" s="128"/>
      <c r="W53" s="128"/>
      <c r="X53" s="128"/>
      <c r="Y53" s="128"/>
      <c r="Z53" s="128"/>
      <c r="AA53" s="128"/>
      <c r="AB53" s="128"/>
      <c r="AC53" s="128"/>
      <c r="AD53" s="144"/>
    </row>
    <row r="54" spans="1:30" s="752" customFormat="1" ht="14.25" x14ac:dyDescent="0.45">
      <c r="A54" s="35" t="s">
        <v>31</v>
      </c>
      <c r="B54" s="186"/>
      <c r="C54" s="128">
        <v>10185244</v>
      </c>
      <c r="D54" s="128"/>
      <c r="E54" s="186"/>
      <c r="F54" s="128"/>
      <c r="G54" s="128">
        <v>1018901</v>
      </c>
      <c r="H54" s="128">
        <v>127277</v>
      </c>
      <c r="I54" s="187">
        <f>+G54+H54</f>
        <v>1146178</v>
      </c>
      <c r="J54" s="128"/>
      <c r="K54" s="128">
        <v>2314700</v>
      </c>
      <c r="L54" s="128">
        <v>7914</v>
      </c>
      <c r="M54" s="128">
        <v>0</v>
      </c>
      <c r="N54" s="187">
        <f>+L54+M54</f>
        <v>7914</v>
      </c>
      <c r="O54" s="128"/>
      <c r="P54" s="187">
        <f>+I54+K54</f>
        <v>3460878</v>
      </c>
      <c r="Q54" s="186"/>
      <c r="R54" s="186"/>
      <c r="S54" s="128">
        <v>0</v>
      </c>
      <c r="T54" s="186"/>
      <c r="U54" s="186"/>
      <c r="V54" s="128">
        <f>VLOOKUP($A54,'2019 FA Data'!$C$6:$K$21,8)</f>
        <v>0</v>
      </c>
      <c r="W54" s="128">
        <f>VLOOKUP($A54,'2019 FA Data'!$C$6:$K$21,9)</f>
        <v>0</v>
      </c>
      <c r="X54" s="128">
        <v>0</v>
      </c>
      <c r="Y54" s="187">
        <f>+W54+X54</f>
        <v>0</v>
      </c>
      <c r="Z54" s="128"/>
      <c r="AA54" s="187">
        <f>+S54+V54</f>
        <v>0</v>
      </c>
      <c r="AB54" s="128">
        <v>0</v>
      </c>
      <c r="AC54" s="187">
        <f>+C54+P54+AA54+AB54</f>
        <v>13646122</v>
      </c>
      <c r="AD54" s="188">
        <f>+N54+Y54</f>
        <v>7914</v>
      </c>
    </row>
    <row r="55" spans="1:30" s="752" customFormat="1" ht="14.25" x14ac:dyDescent="0.45">
      <c r="A55" s="35" t="s">
        <v>32</v>
      </c>
      <c r="B55" s="186"/>
      <c r="C55" s="128">
        <v>14497055</v>
      </c>
      <c r="D55" s="128"/>
      <c r="E55" s="186"/>
      <c r="F55" s="128"/>
      <c r="G55" s="128">
        <v>2297852</v>
      </c>
      <c r="H55" s="128">
        <v>152603</v>
      </c>
      <c r="I55" s="187">
        <f>+G55+H55</f>
        <v>2450455</v>
      </c>
      <c r="J55" s="128"/>
      <c r="K55" s="128">
        <v>9900588</v>
      </c>
      <c r="L55" s="128">
        <v>23943.86</v>
      </c>
      <c r="M55" s="128">
        <v>0</v>
      </c>
      <c r="N55" s="187">
        <f>+L55+M55</f>
        <v>23943.86</v>
      </c>
      <c r="O55" s="128"/>
      <c r="P55" s="187">
        <f>+I55+K55</f>
        <v>12351043</v>
      </c>
      <c r="Q55" s="186"/>
      <c r="R55" s="186"/>
      <c r="S55" s="128">
        <v>0</v>
      </c>
      <c r="T55" s="186"/>
      <c r="U55" s="186"/>
      <c r="V55" s="128">
        <f>VLOOKUP($A55,'2019 FA Data'!$C$6:$K$21,8)</f>
        <v>0</v>
      </c>
      <c r="W55" s="128">
        <f>VLOOKUP($A55,'2019 FA Data'!$C$6:$K$21,9)</f>
        <v>0</v>
      </c>
      <c r="X55" s="128">
        <v>0</v>
      </c>
      <c r="Y55" s="187">
        <f>+W55+X55</f>
        <v>0</v>
      </c>
      <c r="Z55" s="128"/>
      <c r="AA55" s="187">
        <f>+S55+V55</f>
        <v>0</v>
      </c>
      <c r="AB55" s="128">
        <v>0</v>
      </c>
      <c r="AC55" s="187">
        <f>+C55+P55+AA55+AB55</f>
        <v>26848098</v>
      </c>
      <c r="AD55" s="188">
        <f>+N55+Y55</f>
        <v>23943.86</v>
      </c>
    </row>
    <row r="56" spans="1:30" s="752" customFormat="1" ht="14.25" x14ac:dyDescent="0.45">
      <c r="A56" s="35" t="s">
        <v>33</v>
      </c>
      <c r="B56" s="186"/>
      <c r="C56" s="128">
        <v>1530597000</v>
      </c>
      <c r="D56" s="128"/>
      <c r="E56" s="186"/>
      <c r="F56" s="128"/>
      <c r="G56" s="128">
        <v>183975374</v>
      </c>
      <c r="H56" s="128">
        <v>10167000</v>
      </c>
      <c r="I56" s="187">
        <f>+G56+H56</f>
        <v>194142374</v>
      </c>
      <c r="J56" s="128"/>
      <c r="K56" s="128">
        <v>1332729626</v>
      </c>
      <c r="L56" s="128">
        <v>4118304</v>
      </c>
      <c r="M56" s="128">
        <v>2368482</v>
      </c>
      <c r="N56" s="187">
        <f>+L56+M56</f>
        <v>6486786</v>
      </c>
      <c r="O56" s="128"/>
      <c r="P56" s="187">
        <f>+I56+K56</f>
        <v>1526872000</v>
      </c>
      <c r="Q56" s="186"/>
      <c r="R56" s="186"/>
      <c r="S56" s="128">
        <v>0</v>
      </c>
      <c r="T56" s="186"/>
      <c r="U56" s="186"/>
      <c r="V56" s="128">
        <v>573254520</v>
      </c>
      <c r="W56" s="128">
        <v>1100184</v>
      </c>
      <c r="X56" s="128">
        <v>1228682</v>
      </c>
      <c r="Y56" s="187">
        <f>+W56+X56</f>
        <v>2328866</v>
      </c>
      <c r="Z56" s="128"/>
      <c r="AA56" s="187">
        <f>+S56+V56</f>
        <v>573254520</v>
      </c>
      <c r="AB56" s="128">
        <v>0</v>
      </c>
      <c r="AC56" s="187">
        <f>+C56+P56+AA56+AB56</f>
        <v>3630723520</v>
      </c>
      <c r="AD56" s="188">
        <f>+N56+Y56</f>
        <v>8815652</v>
      </c>
    </row>
    <row r="57" spans="1:30" s="752" customFormat="1" ht="14.25" x14ac:dyDescent="0.45">
      <c r="A57" s="35" t="s">
        <v>34</v>
      </c>
      <c r="B57" s="186"/>
      <c r="C57" s="128">
        <v>23528620</v>
      </c>
      <c r="D57" s="128"/>
      <c r="E57" s="186"/>
      <c r="F57" s="128"/>
      <c r="G57" s="128">
        <v>4990052</v>
      </c>
      <c r="H57" s="128">
        <v>180956</v>
      </c>
      <c r="I57" s="187">
        <f t="shared" ref="I57:I69" si="9">+G57+H57</f>
        <v>5171008</v>
      </c>
      <c r="J57" s="128"/>
      <c r="K57" s="128">
        <v>4846138</v>
      </c>
      <c r="L57" s="128">
        <v>15842.11</v>
      </c>
      <c r="M57" s="128">
        <v>0</v>
      </c>
      <c r="N57" s="187">
        <f t="shared" ref="N57:N70" si="10">+L57+M57</f>
        <v>15842.11</v>
      </c>
      <c r="O57" s="128"/>
      <c r="P57" s="187">
        <f t="shared" ref="P57:P69" si="11">+I57+K57</f>
        <v>10017146</v>
      </c>
      <c r="Q57" s="186"/>
      <c r="R57" s="186"/>
      <c r="S57" s="128">
        <f>VLOOKUP($A57,'2019 FA Data'!$C$6:$K$21,7)</f>
        <v>0</v>
      </c>
      <c r="T57" s="186"/>
      <c r="U57" s="186"/>
      <c r="V57" s="128">
        <v>0</v>
      </c>
      <c r="W57" s="128">
        <v>0</v>
      </c>
      <c r="X57" s="128">
        <v>0</v>
      </c>
      <c r="Y57" s="187">
        <f t="shared" ref="Y57:Y69" si="12">+W57+X57</f>
        <v>0</v>
      </c>
      <c r="Z57" s="128"/>
      <c r="AA57" s="187">
        <f t="shared" ref="AA57:AA69" si="13">+S57+V57</f>
        <v>0</v>
      </c>
      <c r="AB57" s="128">
        <v>0</v>
      </c>
      <c r="AC57" s="187">
        <f t="shared" ref="AC57:AC69" si="14">+C57+P57+AA57+AB57</f>
        <v>33545766</v>
      </c>
      <c r="AD57" s="188">
        <f t="shared" ref="AD57:AD69" si="15">+N57+Y57</f>
        <v>15842.11</v>
      </c>
    </row>
    <row r="58" spans="1:30" s="752" customFormat="1" ht="14.25" x14ac:dyDescent="0.45">
      <c r="A58" s="35" t="s">
        <v>35</v>
      </c>
      <c r="B58" s="186"/>
      <c r="C58" s="128">
        <v>8181006</v>
      </c>
      <c r="D58" s="128"/>
      <c r="E58" s="186"/>
      <c r="F58" s="128"/>
      <c r="G58" s="128">
        <v>2179999.9639806049</v>
      </c>
      <c r="H58" s="128">
        <v>39718</v>
      </c>
      <c r="I58" s="187">
        <f t="shared" si="9"/>
        <v>2219717.9639806049</v>
      </c>
      <c r="J58" s="128"/>
      <c r="K58" s="128">
        <v>1372940.2055092426</v>
      </c>
      <c r="L58" s="128">
        <v>4668.2987075155588</v>
      </c>
      <c r="M58" s="128">
        <v>0</v>
      </c>
      <c r="N58" s="187">
        <f t="shared" si="10"/>
        <v>4668.2987075155588</v>
      </c>
      <c r="O58" s="128"/>
      <c r="P58" s="187">
        <f t="shared" si="11"/>
        <v>3592658.1694898475</v>
      </c>
      <c r="Q58" s="186"/>
      <c r="R58" s="186"/>
      <c r="S58" s="128">
        <f>VLOOKUP($A58,'2019 FA Data'!$C$6:$K$21,7)</f>
        <v>0</v>
      </c>
      <c r="T58" s="186"/>
      <c r="U58" s="186"/>
      <c r="V58" s="128">
        <v>0</v>
      </c>
      <c r="W58" s="128">
        <v>0</v>
      </c>
      <c r="X58" s="128">
        <v>0</v>
      </c>
      <c r="Y58" s="187">
        <f t="shared" si="12"/>
        <v>0</v>
      </c>
      <c r="Z58" s="128"/>
      <c r="AA58" s="187">
        <f t="shared" si="13"/>
        <v>0</v>
      </c>
      <c r="AB58" s="128">
        <v>0</v>
      </c>
      <c r="AC58" s="187">
        <f t="shared" si="14"/>
        <v>11773664.169489847</v>
      </c>
      <c r="AD58" s="188">
        <f t="shared" si="15"/>
        <v>4668.2987075155588</v>
      </c>
    </row>
    <row r="59" spans="1:30" s="752" customFormat="1" ht="14.25" x14ac:dyDescent="0.45">
      <c r="A59" s="35" t="s">
        <v>36</v>
      </c>
      <c r="B59" s="186"/>
      <c r="C59" s="128">
        <v>3502190</v>
      </c>
      <c r="D59" s="128"/>
      <c r="E59" s="186"/>
      <c r="F59" s="128"/>
      <c r="G59" s="128">
        <v>568351</v>
      </c>
      <c r="H59" s="128">
        <v>17043.150000000001</v>
      </c>
      <c r="I59" s="187">
        <f t="shared" si="9"/>
        <v>585394.15</v>
      </c>
      <c r="J59" s="128"/>
      <c r="K59" s="128">
        <v>899706</v>
      </c>
      <c r="L59" s="128">
        <v>5007</v>
      </c>
      <c r="M59" s="128">
        <v>0</v>
      </c>
      <c r="N59" s="187">
        <f t="shared" si="10"/>
        <v>5007</v>
      </c>
      <c r="O59" s="128"/>
      <c r="P59" s="187">
        <f t="shared" si="11"/>
        <v>1485100.15</v>
      </c>
      <c r="Q59" s="186"/>
      <c r="R59" s="186"/>
      <c r="S59" s="128">
        <f>VLOOKUP($A59,'2019 FA Data'!$C$6:$K$21,7)</f>
        <v>0</v>
      </c>
      <c r="T59" s="186"/>
      <c r="U59" s="186"/>
      <c r="V59" s="128">
        <v>0</v>
      </c>
      <c r="W59" s="128">
        <v>0</v>
      </c>
      <c r="X59" s="128">
        <v>0</v>
      </c>
      <c r="Y59" s="187">
        <f t="shared" si="12"/>
        <v>0</v>
      </c>
      <c r="Z59" s="128"/>
      <c r="AA59" s="187">
        <f t="shared" si="13"/>
        <v>0</v>
      </c>
      <c r="AB59" s="128">
        <v>0</v>
      </c>
      <c r="AC59" s="187">
        <f t="shared" si="14"/>
        <v>4987290.1500000004</v>
      </c>
      <c r="AD59" s="188">
        <f t="shared" si="15"/>
        <v>5007</v>
      </c>
    </row>
    <row r="60" spans="1:30" s="752" customFormat="1" ht="14.25" x14ac:dyDescent="0.45">
      <c r="A60" s="35" t="s">
        <v>37</v>
      </c>
      <c r="B60" s="186"/>
      <c r="C60" s="128">
        <v>5152903</v>
      </c>
      <c r="D60" s="128"/>
      <c r="E60" s="186"/>
      <c r="F60" s="128"/>
      <c r="G60" s="128">
        <v>1594005</v>
      </c>
      <c r="H60" s="128">
        <v>65597</v>
      </c>
      <c r="I60" s="187">
        <f t="shared" si="9"/>
        <v>1659602</v>
      </c>
      <c r="J60" s="128"/>
      <c r="K60" s="128">
        <v>5696986</v>
      </c>
      <c r="L60" s="128">
        <v>13336</v>
      </c>
      <c r="M60" s="128">
        <v>0</v>
      </c>
      <c r="N60" s="187">
        <f t="shared" si="10"/>
        <v>13336</v>
      </c>
      <c r="O60" s="128"/>
      <c r="P60" s="187">
        <f t="shared" si="11"/>
        <v>7356588</v>
      </c>
      <c r="Q60" s="186"/>
      <c r="R60" s="186"/>
      <c r="S60" s="128">
        <f>VLOOKUP($A60,'2019 FA Data'!$C$6:$K$21,7)</f>
        <v>0</v>
      </c>
      <c r="T60" s="186"/>
      <c r="U60" s="186"/>
      <c r="V60" s="128">
        <v>0</v>
      </c>
      <c r="W60" s="128">
        <v>0</v>
      </c>
      <c r="X60" s="128">
        <v>0</v>
      </c>
      <c r="Y60" s="187">
        <f t="shared" si="12"/>
        <v>0</v>
      </c>
      <c r="Z60" s="128"/>
      <c r="AA60" s="187">
        <f t="shared" si="13"/>
        <v>0</v>
      </c>
      <c r="AB60" s="128">
        <v>0</v>
      </c>
      <c r="AC60" s="187">
        <f t="shared" si="14"/>
        <v>12509491</v>
      </c>
      <c r="AD60" s="188">
        <f t="shared" si="15"/>
        <v>13336</v>
      </c>
    </row>
    <row r="61" spans="1:30" s="752" customFormat="1" ht="14.25" x14ac:dyDescent="0.45">
      <c r="A61" s="35" t="s">
        <v>38</v>
      </c>
      <c r="B61" s="186"/>
      <c r="C61" s="128">
        <v>17141759</v>
      </c>
      <c r="D61" s="128"/>
      <c r="E61" s="186"/>
      <c r="F61" s="128"/>
      <c r="G61" s="128">
        <v>5567395.0410899101</v>
      </c>
      <c r="H61" s="128">
        <v>347690</v>
      </c>
      <c r="I61" s="187">
        <f t="shared" si="9"/>
        <v>5915085.0410899101</v>
      </c>
      <c r="J61" s="128"/>
      <c r="K61" s="128">
        <v>11396429.958910089</v>
      </c>
      <c r="L61" s="128">
        <v>52666.319999999992</v>
      </c>
      <c r="M61" s="128">
        <v>0</v>
      </c>
      <c r="N61" s="187">
        <f t="shared" si="10"/>
        <v>52666.319999999992</v>
      </c>
      <c r="O61" s="128"/>
      <c r="P61" s="187">
        <f t="shared" si="11"/>
        <v>17311515</v>
      </c>
      <c r="Q61" s="186"/>
      <c r="R61" s="186"/>
      <c r="S61" s="128">
        <f>VLOOKUP($A61,'2019 FA Data'!$C$6:$K$21,7)</f>
        <v>0</v>
      </c>
      <c r="T61" s="186"/>
      <c r="U61" s="186"/>
      <c r="V61" s="128">
        <v>20126143</v>
      </c>
      <c r="W61" s="128">
        <v>58128.78</v>
      </c>
      <c r="X61" s="128">
        <v>0</v>
      </c>
      <c r="Y61" s="187">
        <f t="shared" si="12"/>
        <v>58128.78</v>
      </c>
      <c r="Z61" s="128"/>
      <c r="AA61" s="187">
        <f t="shared" si="13"/>
        <v>20126143</v>
      </c>
      <c r="AB61" s="128">
        <v>0</v>
      </c>
      <c r="AC61" s="187">
        <f t="shared" si="14"/>
        <v>54579417</v>
      </c>
      <c r="AD61" s="188">
        <f t="shared" si="15"/>
        <v>110795.09999999999</v>
      </c>
    </row>
    <row r="62" spans="1:30" s="752" customFormat="1" ht="14.25" x14ac:dyDescent="0.45">
      <c r="A62" s="35" t="s">
        <v>39</v>
      </c>
      <c r="B62" s="186"/>
      <c r="C62" s="128">
        <v>31156590</v>
      </c>
      <c r="D62" s="128"/>
      <c r="E62" s="186"/>
      <c r="F62" s="128"/>
      <c r="G62" s="128">
        <v>10936043</v>
      </c>
      <c r="H62" s="128">
        <v>477849</v>
      </c>
      <c r="I62" s="187">
        <f t="shared" si="9"/>
        <v>11413892</v>
      </c>
      <c r="J62" s="128"/>
      <c r="K62" s="128">
        <v>15962108</v>
      </c>
      <c r="L62" s="128">
        <v>56023.490000000013</v>
      </c>
      <c r="M62" s="128">
        <v>0</v>
      </c>
      <c r="N62" s="187">
        <f t="shared" si="10"/>
        <v>56023.490000000013</v>
      </c>
      <c r="O62" s="128"/>
      <c r="P62" s="187">
        <f t="shared" si="11"/>
        <v>27376000</v>
      </c>
      <c r="Q62" s="186"/>
      <c r="R62" s="186"/>
      <c r="S62" s="128">
        <f>VLOOKUP($A62,'2019 FA Data'!$C$6:$K$21,7)</f>
        <v>0</v>
      </c>
      <c r="T62" s="186"/>
      <c r="U62" s="186"/>
      <c r="V62" s="128">
        <v>0</v>
      </c>
      <c r="W62" s="128">
        <v>0</v>
      </c>
      <c r="X62" s="128">
        <v>0</v>
      </c>
      <c r="Y62" s="187">
        <f t="shared" si="12"/>
        <v>0</v>
      </c>
      <c r="Z62" s="128"/>
      <c r="AA62" s="187">
        <f t="shared" si="13"/>
        <v>0</v>
      </c>
      <c r="AB62" s="128">
        <v>0</v>
      </c>
      <c r="AC62" s="187">
        <f t="shared" si="14"/>
        <v>58532590</v>
      </c>
      <c r="AD62" s="188">
        <f t="shared" si="15"/>
        <v>56023.490000000013</v>
      </c>
    </row>
    <row r="63" spans="1:30" s="752" customFormat="1" ht="14.25" x14ac:dyDescent="0.45">
      <c r="A63" s="35" t="s">
        <v>40</v>
      </c>
      <c r="B63" s="186"/>
      <c r="C63" s="128">
        <v>21688925</v>
      </c>
      <c r="D63" s="128"/>
      <c r="E63" s="186"/>
      <c r="F63" s="128"/>
      <c r="G63" s="128">
        <v>5653721</v>
      </c>
      <c r="H63" s="128">
        <v>37441</v>
      </c>
      <c r="I63" s="187">
        <f t="shared" si="9"/>
        <v>5691162</v>
      </c>
      <c r="J63" s="128"/>
      <c r="K63" s="128">
        <v>18408785</v>
      </c>
      <c r="L63" s="128">
        <v>52606.400000000001</v>
      </c>
      <c r="M63" s="128"/>
      <c r="N63" s="187">
        <f t="shared" si="10"/>
        <v>52606.400000000001</v>
      </c>
      <c r="O63" s="128"/>
      <c r="P63" s="187">
        <f t="shared" si="11"/>
        <v>24099947</v>
      </c>
      <c r="Q63" s="186"/>
      <c r="R63" s="186"/>
      <c r="S63" s="128">
        <f>VLOOKUP($A63,'2019 FA Data'!$C$6:$K$21,7)</f>
        <v>0</v>
      </c>
      <c r="T63" s="186"/>
      <c r="U63" s="186"/>
      <c r="V63" s="128">
        <v>0</v>
      </c>
      <c r="W63" s="128">
        <v>0</v>
      </c>
      <c r="X63" s="128">
        <v>0</v>
      </c>
      <c r="Y63" s="187">
        <f t="shared" si="12"/>
        <v>0</v>
      </c>
      <c r="Z63" s="128"/>
      <c r="AA63" s="187">
        <f t="shared" si="13"/>
        <v>0</v>
      </c>
      <c r="AB63" s="128">
        <v>0</v>
      </c>
      <c r="AC63" s="187">
        <f t="shared" si="14"/>
        <v>45788872</v>
      </c>
      <c r="AD63" s="188">
        <f t="shared" si="15"/>
        <v>52606.400000000001</v>
      </c>
    </row>
    <row r="64" spans="1:30" s="752" customFormat="1" ht="14.25" x14ac:dyDescent="0.45">
      <c r="A64" s="35" t="s">
        <v>41</v>
      </c>
      <c r="B64" s="186"/>
      <c r="C64" s="128">
        <v>10189153</v>
      </c>
      <c r="D64" s="128"/>
      <c r="E64" s="186"/>
      <c r="F64" s="128"/>
      <c r="G64" s="128">
        <v>2420080</v>
      </c>
      <c r="H64" s="128">
        <v>89238</v>
      </c>
      <c r="I64" s="187">
        <f t="shared" si="9"/>
        <v>2509318</v>
      </c>
      <c r="J64" s="128"/>
      <c r="K64" s="128">
        <v>6992925</v>
      </c>
      <c r="L64" s="128">
        <v>19622.671999999999</v>
      </c>
      <c r="M64" s="128">
        <v>0</v>
      </c>
      <c r="N64" s="187">
        <f t="shared" si="10"/>
        <v>19622.671999999999</v>
      </c>
      <c r="O64" s="128"/>
      <c r="P64" s="187">
        <f t="shared" si="11"/>
        <v>9502243</v>
      </c>
      <c r="Q64" s="186"/>
      <c r="R64" s="186"/>
      <c r="S64" s="128">
        <f>VLOOKUP($A64,'2019 FA Data'!$C$6:$K$21,7)</f>
        <v>0</v>
      </c>
      <c r="T64" s="186"/>
      <c r="U64" s="186"/>
      <c r="V64" s="128">
        <v>8525879</v>
      </c>
      <c r="W64" s="128">
        <v>18126.646000000004</v>
      </c>
      <c r="X64" s="128">
        <v>0</v>
      </c>
      <c r="Y64" s="187">
        <f t="shared" si="12"/>
        <v>18126.646000000004</v>
      </c>
      <c r="Z64" s="128"/>
      <c r="AA64" s="187">
        <f t="shared" si="13"/>
        <v>8525879</v>
      </c>
      <c r="AB64" s="128">
        <v>0</v>
      </c>
      <c r="AC64" s="187">
        <f t="shared" si="14"/>
        <v>28217275</v>
      </c>
      <c r="AD64" s="188">
        <f t="shared" si="15"/>
        <v>37749.317999999999</v>
      </c>
    </row>
    <row r="65" spans="1:30" s="752" customFormat="1" ht="14.25" x14ac:dyDescent="0.45">
      <c r="A65" s="35" t="s">
        <v>42</v>
      </c>
      <c r="B65" s="186"/>
      <c r="C65" s="128">
        <v>4164360</v>
      </c>
      <c r="D65" s="128"/>
      <c r="E65" s="186"/>
      <c r="F65" s="128"/>
      <c r="G65" s="128">
        <v>2043329</v>
      </c>
      <c r="H65" s="128">
        <v>150368</v>
      </c>
      <c r="I65" s="187">
        <f t="shared" si="9"/>
        <v>2193697</v>
      </c>
      <c r="J65" s="128"/>
      <c r="K65" s="128"/>
      <c r="L65" s="128"/>
      <c r="M65" s="128"/>
      <c r="N65" s="187">
        <f t="shared" si="10"/>
        <v>0</v>
      </c>
      <c r="O65" s="128"/>
      <c r="P65" s="187">
        <f t="shared" si="11"/>
        <v>2193697</v>
      </c>
      <c r="Q65" s="186"/>
      <c r="R65" s="186"/>
      <c r="S65" s="128">
        <f>VLOOKUP($A65,'2019 FA Data'!$C$6:$K$21,7)</f>
        <v>0</v>
      </c>
      <c r="T65" s="186"/>
      <c r="U65" s="186"/>
      <c r="V65" s="128">
        <v>7332000</v>
      </c>
      <c r="W65" s="128">
        <v>25970</v>
      </c>
      <c r="X65" s="128">
        <v>0</v>
      </c>
      <c r="Y65" s="187">
        <f t="shared" si="12"/>
        <v>25970</v>
      </c>
      <c r="Z65" s="128"/>
      <c r="AA65" s="187">
        <f t="shared" si="13"/>
        <v>7332000</v>
      </c>
      <c r="AB65" s="128">
        <v>0</v>
      </c>
      <c r="AC65" s="187">
        <f t="shared" si="14"/>
        <v>13690057</v>
      </c>
      <c r="AD65" s="188">
        <f t="shared" si="15"/>
        <v>25970</v>
      </c>
    </row>
    <row r="66" spans="1:30" s="752" customFormat="1" ht="14.25" x14ac:dyDescent="0.45">
      <c r="A66" s="35" t="s">
        <v>173</v>
      </c>
      <c r="B66" s="186"/>
      <c r="C66" s="128">
        <v>23333051</v>
      </c>
      <c r="D66" s="128"/>
      <c r="E66" s="186"/>
      <c r="F66" s="128"/>
      <c r="G66" s="128">
        <v>7434709</v>
      </c>
      <c r="H66" s="128">
        <v>45839</v>
      </c>
      <c r="I66" s="187">
        <f t="shared" si="9"/>
        <v>7480548</v>
      </c>
      <c r="J66" s="128"/>
      <c r="K66" s="128">
        <v>36053655</v>
      </c>
      <c r="L66" s="128">
        <v>92031</v>
      </c>
      <c r="M66" s="128">
        <v>0</v>
      </c>
      <c r="N66" s="187">
        <f t="shared" si="10"/>
        <v>92031</v>
      </c>
      <c r="O66" s="128"/>
      <c r="P66" s="187">
        <f t="shared" si="11"/>
        <v>43534203</v>
      </c>
      <c r="Q66" s="186"/>
      <c r="R66" s="186"/>
      <c r="S66" s="128">
        <f>VLOOKUP($A66,'2019 FA Data'!$C$6:$K$21,7)</f>
        <v>0</v>
      </c>
      <c r="T66" s="186"/>
      <c r="U66" s="186"/>
      <c r="V66" s="128">
        <v>8297320</v>
      </c>
      <c r="W66" s="128">
        <v>31488</v>
      </c>
      <c r="X66" s="128">
        <v>0</v>
      </c>
      <c r="Y66" s="187">
        <f t="shared" si="12"/>
        <v>31488</v>
      </c>
      <c r="Z66" s="128"/>
      <c r="AA66" s="187">
        <f t="shared" si="13"/>
        <v>8297320</v>
      </c>
      <c r="AB66" s="128">
        <v>0</v>
      </c>
      <c r="AC66" s="187">
        <f t="shared" si="14"/>
        <v>75164574</v>
      </c>
      <c r="AD66" s="188">
        <f t="shared" si="15"/>
        <v>123519</v>
      </c>
    </row>
    <row r="67" spans="1:30" s="752" customFormat="1" ht="14.25" x14ac:dyDescent="0.45">
      <c r="A67" s="35" t="s">
        <v>44</v>
      </c>
      <c r="B67" s="186"/>
      <c r="C67" s="128">
        <v>26699555</v>
      </c>
      <c r="D67" s="128"/>
      <c r="E67" s="186"/>
      <c r="F67" s="128"/>
      <c r="G67" s="128">
        <v>4149076</v>
      </c>
      <c r="H67" s="128">
        <v>136025</v>
      </c>
      <c r="I67" s="187">
        <f t="shared" si="9"/>
        <v>4285101</v>
      </c>
      <c r="J67" s="128"/>
      <c r="K67" s="128">
        <v>23635134</v>
      </c>
      <c r="L67" s="128">
        <v>83990.61</v>
      </c>
      <c r="M67" s="128">
        <v>0</v>
      </c>
      <c r="N67" s="187">
        <f t="shared" si="10"/>
        <v>83990.61</v>
      </c>
      <c r="O67" s="128"/>
      <c r="P67" s="187">
        <f t="shared" si="11"/>
        <v>27920235</v>
      </c>
      <c r="Q67" s="186"/>
      <c r="R67" s="186"/>
      <c r="S67" s="128">
        <f>VLOOKUP($A67,'2019 FA Data'!$C$6:$K$21,7)</f>
        <v>0</v>
      </c>
      <c r="T67" s="186"/>
      <c r="U67" s="186"/>
      <c r="V67" s="128">
        <v>0</v>
      </c>
      <c r="W67" s="128">
        <v>0</v>
      </c>
      <c r="X67" s="128">
        <v>0</v>
      </c>
      <c r="Y67" s="187">
        <f t="shared" si="12"/>
        <v>0</v>
      </c>
      <c r="Z67" s="128"/>
      <c r="AA67" s="187">
        <f t="shared" si="13"/>
        <v>0</v>
      </c>
      <c r="AB67" s="128">
        <v>0</v>
      </c>
      <c r="AC67" s="187">
        <f t="shared" si="14"/>
        <v>54619790</v>
      </c>
      <c r="AD67" s="188">
        <f t="shared" si="15"/>
        <v>83990.61</v>
      </c>
    </row>
    <row r="68" spans="1:30" s="752" customFormat="1" ht="14.25" x14ac:dyDescent="0.45">
      <c r="A68" s="35" t="s">
        <v>45</v>
      </c>
      <c r="B68" s="200"/>
      <c r="C68" s="128">
        <v>225683948</v>
      </c>
      <c r="D68" s="128"/>
      <c r="E68" s="186"/>
      <c r="F68" s="128"/>
      <c r="G68" s="128">
        <v>67906555</v>
      </c>
      <c r="H68" s="128">
        <v>1618292</v>
      </c>
      <c r="I68" s="187">
        <f t="shared" si="9"/>
        <v>69524847</v>
      </c>
      <c r="J68" s="128"/>
      <c r="K68" s="128">
        <v>62921602</v>
      </c>
      <c r="L68" s="128">
        <v>325901</v>
      </c>
      <c r="M68" s="128">
        <v>0</v>
      </c>
      <c r="N68" s="187">
        <f t="shared" si="10"/>
        <v>325901</v>
      </c>
      <c r="O68" s="128"/>
      <c r="P68" s="187">
        <f t="shared" si="11"/>
        <v>132446449</v>
      </c>
      <c r="Q68" s="186"/>
      <c r="R68" s="186"/>
      <c r="S68" s="128">
        <v>8702978</v>
      </c>
      <c r="T68" s="186"/>
      <c r="U68" s="186"/>
      <c r="V68" s="128">
        <v>93161478</v>
      </c>
      <c r="W68" s="128">
        <v>145675</v>
      </c>
      <c r="X68" s="128">
        <v>0</v>
      </c>
      <c r="Y68" s="187">
        <f t="shared" si="12"/>
        <v>145675</v>
      </c>
      <c r="Z68" s="128"/>
      <c r="AA68" s="187">
        <f t="shared" si="13"/>
        <v>101864456</v>
      </c>
      <c r="AB68" s="128">
        <v>0</v>
      </c>
      <c r="AC68" s="187">
        <f t="shared" si="14"/>
        <v>459994853</v>
      </c>
      <c r="AD68" s="188">
        <f t="shared" si="15"/>
        <v>471576</v>
      </c>
    </row>
    <row r="69" spans="1:30" s="752" customFormat="1" ht="14.25" x14ac:dyDescent="0.45">
      <c r="A69" s="278" t="s">
        <v>46</v>
      </c>
      <c r="B69" s="753"/>
      <c r="C69" s="754">
        <v>61548462</v>
      </c>
      <c r="D69" s="754"/>
      <c r="E69" s="753"/>
      <c r="F69" s="754"/>
      <c r="G69" s="754">
        <v>5172772</v>
      </c>
      <c r="H69" s="754"/>
      <c r="I69" s="756">
        <f t="shared" si="9"/>
        <v>5172772</v>
      </c>
      <c r="J69" s="754"/>
      <c r="K69" s="754"/>
      <c r="L69" s="754"/>
      <c r="M69" s="754"/>
      <c r="N69" s="756">
        <f t="shared" si="10"/>
        <v>0</v>
      </c>
      <c r="O69" s="754"/>
      <c r="P69" s="756">
        <f t="shared" si="11"/>
        <v>5172772</v>
      </c>
      <c r="Q69" s="753"/>
      <c r="R69" s="753"/>
      <c r="S69" s="754">
        <f>VLOOKUP($A69,'2019 FA Data'!$C$6:$K$21,7)</f>
        <v>0</v>
      </c>
      <c r="T69" s="753"/>
      <c r="U69" s="753"/>
      <c r="V69" s="754">
        <v>3772650</v>
      </c>
      <c r="W69" s="754">
        <v>11273</v>
      </c>
      <c r="X69" s="754">
        <v>0</v>
      </c>
      <c r="Y69" s="756">
        <f t="shared" si="12"/>
        <v>11273</v>
      </c>
      <c r="Z69" s="754"/>
      <c r="AA69" s="756">
        <f t="shared" si="13"/>
        <v>3772650</v>
      </c>
      <c r="AB69" s="754">
        <v>0</v>
      </c>
      <c r="AC69" s="756">
        <f t="shared" si="14"/>
        <v>70493884</v>
      </c>
      <c r="AD69" s="757">
        <f t="shared" si="15"/>
        <v>11273</v>
      </c>
    </row>
    <row r="70" spans="1:30" ht="14.25" x14ac:dyDescent="0.45">
      <c r="A70" s="137" t="s">
        <v>151</v>
      </c>
      <c r="B70" s="201"/>
      <c r="C70" s="202">
        <f>SUM(C54:C69)</f>
        <v>2017249821</v>
      </c>
      <c r="D70" s="202"/>
      <c r="E70" s="201"/>
      <c r="F70" s="202"/>
      <c r="G70" s="202">
        <f>SUM(G54:G69)</f>
        <v>307908215.00507057</v>
      </c>
      <c r="H70" s="202">
        <f>SUM(H54:H69)</f>
        <v>13652936.15</v>
      </c>
      <c r="I70" s="202">
        <f>G70+H70</f>
        <v>321561151.15507054</v>
      </c>
      <c r="J70" s="202"/>
      <c r="K70" s="202">
        <f>SUM(K54:K69)</f>
        <v>1533131323.1644192</v>
      </c>
      <c r="L70" s="202">
        <f>SUM(L54:L69)</f>
        <v>4871856.7607075162</v>
      </c>
      <c r="M70" s="202">
        <f>SUM(M54:M69)</f>
        <v>2368482</v>
      </c>
      <c r="N70" s="202">
        <f t="shared" si="10"/>
        <v>7240338.7607075162</v>
      </c>
      <c r="O70" s="202"/>
      <c r="P70" s="202">
        <f>SUM(P54:P69)</f>
        <v>1854692474.31949</v>
      </c>
      <c r="Q70" s="202"/>
      <c r="R70" s="202"/>
      <c r="S70" s="202">
        <f>SUM(S54:S69)</f>
        <v>8702978</v>
      </c>
      <c r="T70" s="202"/>
      <c r="U70" s="202"/>
      <c r="V70" s="202">
        <f>SUM(V54:V69)</f>
        <v>714469990</v>
      </c>
      <c r="W70" s="202">
        <f>SUM(W54:W69)</f>
        <v>1390845.426</v>
      </c>
      <c r="X70" s="202">
        <f>SUM(X54:X69)</f>
        <v>1228682</v>
      </c>
      <c r="Y70" s="202">
        <f>SUM(Y54:Y69)</f>
        <v>2619527.426</v>
      </c>
      <c r="Z70" s="202"/>
      <c r="AA70" s="202">
        <f>SUM(AA54:AA69)</f>
        <v>723172968</v>
      </c>
      <c r="AB70" s="202">
        <f>SUM(AB54:AB69)</f>
        <v>0</v>
      </c>
      <c r="AC70" s="202">
        <f>SUM(AC54:AC69)</f>
        <v>4595115263.3194904</v>
      </c>
      <c r="AD70" s="203">
        <f>SUM(AD54:AD69)</f>
        <v>9859866.1867075134</v>
      </c>
    </row>
    <row r="71" spans="1:30" ht="14.25" x14ac:dyDescent="0.45">
      <c r="A71" s="137"/>
      <c r="B71" s="186"/>
      <c r="C71" s="128"/>
      <c r="D71" s="186"/>
      <c r="E71" s="186"/>
      <c r="F71" s="186"/>
      <c r="G71" s="186"/>
      <c r="H71" s="128"/>
      <c r="I71" s="128"/>
      <c r="J71" s="186"/>
      <c r="K71" s="186"/>
      <c r="L71" s="186"/>
      <c r="M71" s="186"/>
      <c r="N71" s="186"/>
      <c r="O71" s="186"/>
      <c r="P71" s="186"/>
      <c r="Q71" s="186"/>
      <c r="R71" s="186"/>
      <c r="S71" s="186"/>
      <c r="T71" s="186"/>
      <c r="U71" s="186"/>
      <c r="V71" s="186"/>
      <c r="W71" s="186"/>
      <c r="X71" s="186"/>
      <c r="Y71" s="186"/>
      <c r="Z71" s="186"/>
      <c r="AA71" s="186"/>
      <c r="AB71" s="186"/>
      <c r="AC71" s="128"/>
      <c r="AD71" s="200"/>
    </row>
    <row r="72" spans="1:30" ht="14.25" x14ac:dyDescent="0.45">
      <c r="A72" s="137" t="s">
        <v>153</v>
      </c>
      <c r="B72" s="186"/>
      <c r="C72" s="128">
        <f>C51+C70</f>
        <v>2017249821</v>
      </c>
      <c r="D72" s="128"/>
      <c r="E72" s="128"/>
      <c r="F72" s="128"/>
      <c r="G72" s="128">
        <f>G51+G70</f>
        <v>307908215.00507057</v>
      </c>
      <c r="H72" s="128">
        <f>H51+H70</f>
        <v>13652936.15</v>
      </c>
      <c r="I72" s="128">
        <f>I51+I70</f>
        <v>321561151.15507054</v>
      </c>
      <c r="J72" s="128"/>
      <c r="K72" s="128">
        <f>K51+K70</f>
        <v>1533131323.1644192</v>
      </c>
      <c r="L72" s="128">
        <f>L51+L70</f>
        <v>4871856.7607075162</v>
      </c>
      <c r="M72" s="128">
        <f>M51+M70</f>
        <v>2368482</v>
      </c>
      <c r="N72" s="128">
        <f>N51+N70</f>
        <v>7240338.7607075162</v>
      </c>
      <c r="O72" s="128"/>
      <c r="P72" s="128">
        <f>P51+P70</f>
        <v>1854692474.31949</v>
      </c>
      <c r="Q72" s="128"/>
      <c r="R72" s="128"/>
      <c r="S72" s="128">
        <f>S51+S70</f>
        <v>8702978</v>
      </c>
      <c r="T72" s="128"/>
      <c r="U72" s="128"/>
      <c r="V72" s="128">
        <f>V51+V70</f>
        <v>1305978470</v>
      </c>
      <c r="W72" s="128">
        <f>W51+W70</f>
        <v>2349477.426</v>
      </c>
      <c r="X72" s="128">
        <f>X51+X70</f>
        <v>2146121</v>
      </c>
      <c r="Y72" s="128">
        <f>Y51+Y70</f>
        <v>4495598.426</v>
      </c>
      <c r="Z72" s="128"/>
      <c r="AA72" s="128">
        <f>AA51+AA70</f>
        <v>1314681448</v>
      </c>
      <c r="AB72" s="128">
        <f>AB51+AB70</f>
        <v>0</v>
      </c>
      <c r="AC72" s="128">
        <f>AC51+AC70</f>
        <v>5186623743.3194904</v>
      </c>
      <c r="AD72" s="144">
        <f>AD51+AD70</f>
        <v>11735937.186707513</v>
      </c>
    </row>
    <row r="75" spans="1:30" ht="13.15" thickBot="1" x14ac:dyDescent="0.4"/>
    <row r="76" spans="1:30" ht="14.25" x14ac:dyDescent="0.45">
      <c r="A76" s="37"/>
      <c r="B76" s="1001" t="s">
        <v>3</v>
      </c>
      <c r="C76" s="1002"/>
      <c r="D76" s="1003"/>
      <c r="E76" s="38"/>
      <c r="F76" s="1001" t="s">
        <v>13</v>
      </c>
      <c r="G76" s="1002"/>
      <c r="H76" s="1002"/>
      <c r="I76" s="1002"/>
      <c r="J76" s="1002"/>
      <c r="K76" s="1002"/>
      <c r="L76" s="1002"/>
      <c r="M76" s="1002"/>
      <c r="N76" s="1002"/>
      <c r="O76" s="1002"/>
      <c r="P76" s="1003"/>
      <c r="Q76" s="692"/>
      <c r="R76" s="1001" t="s">
        <v>14</v>
      </c>
      <c r="S76" s="1002"/>
      <c r="T76" s="1002"/>
      <c r="U76" s="1002"/>
      <c r="V76" s="1002"/>
      <c r="W76" s="1002"/>
      <c r="X76" s="1002"/>
      <c r="Y76" s="1002"/>
      <c r="Z76" s="1002"/>
      <c r="AA76" s="1003"/>
      <c r="AB76" s="37"/>
      <c r="AC76" s="173"/>
      <c r="AD76" s="174"/>
    </row>
    <row r="77" spans="1:30" ht="14.25" x14ac:dyDescent="0.45">
      <c r="A77" s="751" t="s">
        <v>583</v>
      </c>
      <c r="B77" s="175"/>
      <c r="C77" s="176"/>
      <c r="D77" s="177"/>
      <c r="E77" s="175"/>
      <c r="F77" s="175"/>
      <c r="G77" s="1004" t="s">
        <v>22</v>
      </c>
      <c r="H77" s="1005"/>
      <c r="I77" s="1005"/>
      <c r="J77" s="693"/>
      <c r="K77" s="1004" t="s">
        <v>12</v>
      </c>
      <c r="L77" s="1005"/>
      <c r="M77" s="1005"/>
      <c r="N77" s="1005"/>
      <c r="O77" s="1005"/>
      <c r="P77" s="178"/>
      <c r="Q77" s="38"/>
      <c r="R77" s="1006" t="s">
        <v>5</v>
      </c>
      <c r="S77" s="1007"/>
      <c r="T77" s="1008"/>
      <c r="U77" s="1006" t="s">
        <v>12</v>
      </c>
      <c r="V77" s="1007"/>
      <c r="W77" s="1007"/>
      <c r="X77" s="1007"/>
      <c r="Y77" s="1007"/>
      <c r="Z77" s="1008"/>
      <c r="AA77" s="175" t="s">
        <v>10</v>
      </c>
      <c r="AB77" s="175" t="s">
        <v>16</v>
      </c>
      <c r="AC77" s="175"/>
      <c r="AD77" s="179"/>
    </row>
    <row r="78" spans="1:30" ht="14.25" x14ac:dyDescent="0.45">
      <c r="A78" s="691"/>
      <c r="B78" s="691"/>
      <c r="C78" s="176" t="s">
        <v>26</v>
      </c>
      <c r="D78" s="181"/>
      <c r="E78" s="691"/>
      <c r="F78" s="691"/>
      <c r="G78" s="175" t="s">
        <v>29</v>
      </c>
      <c r="H78" s="691"/>
      <c r="I78" s="691"/>
      <c r="J78" s="691"/>
      <c r="K78" s="691"/>
      <c r="L78" s="1011" t="s">
        <v>133</v>
      </c>
      <c r="M78" s="1012"/>
      <c r="N78" s="1013"/>
      <c r="O78" s="182"/>
      <c r="P78" s="175" t="s">
        <v>10</v>
      </c>
      <c r="Q78" s="691"/>
      <c r="R78" s="691"/>
      <c r="S78" s="175" t="s">
        <v>29</v>
      </c>
      <c r="T78" s="691"/>
      <c r="U78" s="691"/>
      <c r="V78" s="182"/>
      <c r="W78" s="1011" t="s">
        <v>155</v>
      </c>
      <c r="X78" s="1012"/>
      <c r="Y78" s="1013"/>
      <c r="Z78" s="182"/>
      <c r="AA78" s="691" t="s">
        <v>15</v>
      </c>
      <c r="AB78" s="691" t="s">
        <v>0</v>
      </c>
      <c r="AC78" s="1009" t="s">
        <v>9</v>
      </c>
      <c r="AD78" s="1010"/>
    </row>
    <row r="79" spans="1:30" ht="14.25" x14ac:dyDescent="0.45">
      <c r="A79" s="691" t="s">
        <v>11</v>
      </c>
      <c r="B79" s="175"/>
      <c r="C79" s="183" t="s">
        <v>7</v>
      </c>
      <c r="D79" s="177"/>
      <c r="E79" s="175"/>
      <c r="F79" s="175"/>
      <c r="G79" s="691" t="s">
        <v>7</v>
      </c>
      <c r="H79" s="691" t="s">
        <v>23</v>
      </c>
      <c r="I79" s="691" t="s">
        <v>10</v>
      </c>
      <c r="J79" s="175"/>
      <c r="K79" s="691" t="s">
        <v>6</v>
      </c>
      <c r="L79" s="691" t="s">
        <v>135</v>
      </c>
      <c r="M79" s="691" t="s">
        <v>136</v>
      </c>
      <c r="N79" s="691" t="s">
        <v>10</v>
      </c>
      <c r="O79" s="175"/>
      <c r="P79" s="691" t="s">
        <v>4</v>
      </c>
      <c r="Q79" s="175"/>
      <c r="R79" s="175"/>
      <c r="S79" s="691" t="s">
        <v>7</v>
      </c>
      <c r="T79" s="175"/>
      <c r="U79" s="175"/>
      <c r="V79" s="691" t="s">
        <v>6</v>
      </c>
      <c r="W79" s="691" t="s">
        <v>135</v>
      </c>
      <c r="X79" s="691" t="s">
        <v>136</v>
      </c>
      <c r="Y79" s="691" t="s">
        <v>10</v>
      </c>
      <c r="Z79" s="175"/>
      <c r="AA79" s="175"/>
      <c r="AB79" s="175"/>
      <c r="AC79" s="175"/>
      <c r="AD79" s="177"/>
    </row>
    <row r="80" spans="1:30" ht="14.25" x14ac:dyDescent="0.45">
      <c r="A80" s="37" t="s">
        <v>138</v>
      </c>
      <c r="B80" s="37"/>
      <c r="C80" s="176" t="s">
        <v>18</v>
      </c>
      <c r="D80" s="40"/>
      <c r="E80" s="37"/>
      <c r="F80" s="37"/>
      <c r="G80" s="175" t="s">
        <v>1</v>
      </c>
      <c r="H80" s="175" t="s">
        <v>1</v>
      </c>
      <c r="I80" s="175" t="s">
        <v>1</v>
      </c>
      <c r="J80" s="37"/>
      <c r="K80" s="175" t="s">
        <v>18</v>
      </c>
      <c r="L80" s="175" t="s">
        <v>2</v>
      </c>
      <c r="M80" s="175" t="s">
        <v>2</v>
      </c>
      <c r="N80" s="175" t="s">
        <v>2</v>
      </c>
      <c r="O80" s="184"/>
      <c r="P80" s="175" t="s">
        <v>18</v>
      </c>
      <c r="Q80" s="37"/>
      <c r="R80" s="37"/>
      <c r="S80" s="175" t="s">
        <v>18</v>
      </c>
      <c r="T80" s="175"/>
      <c r="U80" s="175"/>
      <c r="V80" s="175" t="s">
        <v>18</v>
      </c>
      <c r="W80" s="175" t="s">
        <v>2</v>
      </c>
      <c r="X80" s="175" t="s">
        <v>2</v>
      </c>
      <c r="Y80" s="175" t="s">
        <v>2</v>
      </c>
      <c r="Z80" s="175"/>
      <c r="AA80" s="175" t="s">
        <v>1</v>
      </c>
      <c r="AB80" s="175" t="s">
        <v>18</v>
      </c>
      <c r="AC80" s="175" t="s">
        <v>1</v>
      </c>
      <c r="AD80" s="177" t="s">
        <v>2</v>
      </c>
    </row>
    <row r="81" spans="1:30" ht="14.25" x14ac:dyDescent="0.45">
      <c r="A81" s="37" t="s">
        <v>139</v>
      </c>
      <c r="B81" s="691"/>
      <c r="C81" s="183"/>
      <c r="D81" s="177"/>
      <c r="E81" s="37"/>
      <c r="F81" s="175"/>
      <c r="G81" s="175"/>
      <c r="H81" s="175"/>
      <c r="I81" s="175" t="s">
        <v>156</v>
      </c>
      <c r="J81" s="175"/>
      <c r="K81" s="175"/>
      <c r="L81" s="175"/>
      <c r="M81" s="175"/>
      <c r="N81" s="175" t="s">
        <v>142</v>
      </c>
      <c r="O81" s="175"/>
      <c r="P81" s="175" t="s">
        <v>175</v>
      </c>
      <c r="Q81" s="185"/>
      <c r="R81" s="175"/>
      <c r="S81" s="175"/>
      <c r="T81" s="175"/>
      <c r="U81" s="175"/>
      <c r="V81" s="175"/>
      <c r="W81" s="175"/>
      <c r="X81" s="175"/>
      <c r="Y81" s="175" t="s">
        <v>146</v>
      </c>
      <c r="Z81" s="175"/>
      <c r="AA81" s="175" t="s">
        <v>157</v>
      </c>
      <c r="AB81" s="175"/>
      <c r="AC81" s="175" t="s">
        <v>158</v>
      </c>
      <c r="AD81" s="177" t="s">
        <v>159</v>
      </c>
    </row>
    <row r="82" spans="1:30" ht="14.25" x14ac:dyDescent="0.45">
      <c r="A82" s="137" t="s">
        <v>30</v>
      </c>
      <c r="B82" s="37"/>
      <c r="C82" s="158"/>
      <c r="D82" s="37"/>
      <c r="E82" s="37"/>
      <c r="F82" s="37"/>
      <c r="G82" s="37"/>
      <c r="H82" s="37"/>
      <c r="I82" s="37"/>
      <c r="J82" s="37"/>
      <c r="K82" s="37"/>
      <c r="L82" s="37"/>
      <c r="M82" s="37"/>
      <c r="N82" s="37"/>
      <c r="O82" s="184"/>
      <c r="P82" s="37"/>
      <c r="Q82" s="37"/>
      <c r="R82" s="37"/>
      <c r="S82" s="185"/>
      <c r="T82" s="185"/>
      <c r="U82" s="185"/>
      <c r="V82" s="37"/>
      <c r="W82" s="37"/>
      <c r="X82" s="37"/>
      <c r="Y82" s="37"/>
      <c r="Z82" s="37"/>
      <c r="AA82" s="37"/>
      <c r="AB82" s="37"/>
      <c r="AC82" s="37"/>
      <c r="AD82" s="40"/>
    </row>
    <row r="83" spans="1:30" ht="14.25" x14ac:dyDescent="0.45">
      <c r="A83" s="137"/>
      <c r="B83" s="37"/>
      <c r="C83" s="186"/>
      <c r="D83" s="123"/>
      <c r="E83" s="123"/>
      <c r="F83" s="123"/>
      <c r="G83" s="186"/>
      <c r="H83" s="186"/>
      <c r="I83" s="186"/>
      <c r="J83" s="186"/>
      <c r="K83" s="186"/>
      <c r="L83" s="186"/>
      <c r="M83" s="186"/>
      <c r="N83" s="128"/>
      <c r="O83" s="158"/>
      <c r="P83" s="128"/>
      <c r="Q83" s="186"/>
      <c r="R83" s="128"/>
      <c r="S83" s="186"/>
      <c r="T83" s="128"/>
      <c r="U83" s="128"/>
      <c r="V83" s="186"/>
      <c r="W83" s="186"/>
      <c r="X83" s="186"/>
      <c r="Y83" s="186"/>
      <c r="Z83" s="186"/>
      <c r="AA83" s="128"/>
      <c r="AB83" s="186"/>
      <c r="AC83" s="128"/>
      <c r="AD83" s="144"/>
    </row>
    <row r="84" spans="1:30" ht="14.25" x14ac:dyDescent="0.45">
      <c r="A84" s="137" t="s">
        <v>217</v>
      </c>
      <c r="B84" s="37"/>
      <c r="C84" s="128">
        <v>0</v>
      </c>
      <c r="D84" s="128"/>
      <c r="E84" s="128"/>
      <c r="F84" s="128"/>
      <c r="G84" s="128">
        <v>0</v>
      </c>
      <c r="H84" s="128">
        <v>0</v>
      </c>
      <c r="I84" s="187">
        <f>+G84+H84</f>
        <v>0</v>
      </c>
      <c r="J84" s="128"/>
      <c r="K84" s="128">
        <v>0</v>
      </c>
      <c r="L84" s="128">
        <v>0</v>
      </c>
      <c r="M84" s="128">
        <v>0</v>
      </c>
      <c r="N84" s="187">
        <f>+L84+M84</f>
        <v>0</v>
      </c>
      <c r="O84" s="128">
        <v>0</v>
      </c>
      <c r="P84" s="187">
        <f>+I84+K84</f>
        <v>0</v>
      </c>
      <c r="Q84" s="128"/>
      <c r="R84" s="128"/>
      <c r="S84" s="128">
        <v>0</v>
      </c>
      <c r="T84" s="128"/>
      <c r="U84" s="128"/>
      <c r="V84" s="128">
        <v>404984526</v>
      </c>
      <c r="W84" s="128">
        <v>639781</v>
      </c>
      <c r="X84" s="128">
        <v>604649</v>
      </c>
      <c r="Y84" s="187">
        <f>+W84+X84</f>
        <v>1244430</v>
      </c>
      <c r="Z84" s="128"/>
      <c r="AA84" s="187">
        <f>+S84+V84</f>
        <v>404984526</v>
      </c>
      <c r="AB84" s="128">
        <v>0</v>
      </c>
      <c r="AC84" s="187">
        <f>+C84+P84+AA84+AB84</f>
        <v>404984526</v>
      </c>
      <c r="AD84" s="188">
        <f>+N84+Y84</f>
        <v>1244430</v>
      </c>
    </row>
    <row r="85" spans="1:30" ht="14.25" x14ac:dyDescent="0.45">
      <c r="A85" s="127"/>
      <c r="B85" s="123"/>
      <c r="C85" s="128"/>
      <c r="D85" s="123"/>
      <c r="E85" s="123"/>
      <c r="F85" s="123"/>
      <c r="G85" s="128"/>
      <c r="H85" s="128"/>
      <c r="I85" s="128"/>
      <c r="J85" s="186"/>
      <c r="K85" s="128"/>
      <c r="L85" s="128"/>
      <c r="M85" s="128"/>
      <c r="N85" s="128"/>
      <c r="O85" s="158"/>
      <c r="P85" s="128"/>
      <c r="Q85" s="186"/>
      <c r="R85" s="128"/>
      <c r="S85" s="128"/>
      <c r="T85" s="128"/>
      <c r="U85" s="128"/>
      <c r="V85" s="128">
        <v>186523954</v>
      </c>
      <c r="W85" s="128">
        <v>318851</v>
      </c>
      <c r="X85" s="128">
        <v>312790</v>
      </c>
      <c r="Y85" s="187">
        <f>+W85+X85</f>
        <v>631641</v>
      </c>
      <c r="Z85" s="128"/>
      <c r="AA85" s="187">
        <f>+S85+V85</f>
        <v>186523954</v>
      </c>
      <c r="AB85" s="128">
        <v>0</v>
      </c>
      <c r="AC85" s="187">
        <f>+C85+P85+AA85+AB85</f>
        <v>186523954</v>
      </c>
      <c r="AD85" s="188">
        <f>+N85+Y85</f>
        <v>631641</v>
      </c>
    </row>
    <row r="86" spans="1:30" ht="14.25" x14ac:dyDescent="0.45">
      <c r="A86" s="1"/>
      <c r="B86" s="189"/>
      <c r="C86" s="135"/>
      <c r="D86" s="190"/>
      <c r="E86" s="190"/>
      <c r="F86" s="190"/>
      <c r="G86" s="135"/>
      <c r="H86" s="135"/>
      <c r="I86" s="191"/>
      <c r="J86" s="190"/>
      <c r="K86" s="135"/>
      <c r="L86" s="135"/>
      <c r="M86" s="135"/>
      <c r="N86" s="191"/>
      <c r="O86" s="192"/>
      <c r="P86" s="191"/>
      <c r="Q86" s="190"/>
      <c r="R86" s="190"/>
      <c r="S86" s="193"/>
      <c r="T86" s="190"/>
      <c r="U86" s="190"/>
      <c r="V86" s="135"/>
      <c r="W86" s="135"/>
      <c r="X86" s="135"/>
      <c r="Y86" s="135"/>
      <c r="Z86" s="135"/>
      <c r="AA86" s="135"/>
      <c r="AB86" s="135"/>
      <c r="AC86" s="135"/>
      <c r="AD86" s="191"/>
    </row>
    <row r="87" spans="1:30" ht="14.25" x14ac:dyDescent="0.45">
      <c r="A87" s="137" t="s">
        <v>279</v>
      </c>
      <c r="B87" s="194"/>
      <c r="C87" s="139">
        <f>+C84</f>
        <v>0</v>
      </c>
      <c r="D87" s="195"/>
      <c r="E87" s="195"/>
      <c r="F87" s="195"/>
      <c r="G87" s="139"/>
      <c r="H87" s="139"/>
      <c r="I87" s="139">
        <f>+G87+H87</f>
        <v>0</v>
      </c>
      <c r="J87" s="195"/>
      <c r="K87" s="139"/>
      <c r="L87" s="139"/>
      <c r="M87" s="139"/>
      <c r="N87" s="139">
        <f>+L87+M87</f>
        <v>0</v>
      </c>
      <c r="O87" s="139"/>
      <c r="P87" s="139">
        <f>+I87+K87</f>
        <v>0</v>
      </c>
      <c r="Q87" s="195"/>
      <c r="R87" s="195"/>
      <c r="S87" s="139">
        <f>+S84</f>
        <v>0</v>
      </c>
      <c r="T87" s="195"/>
      <c r="U87" s="195"/>
      <c r="V87" s="139">
        <f>SUM(V84:V86)</f>
        <v>591508480</v>
      </c>
      <c r="W87" s="139">
        <f t="shared" ref="W87:AA87" si="16">SUM(W84:W86)</f>
        <v>958632</v>
      </c>
      <c r="X87" s="139">
        <f t="shared" si="16"/>
        <v>917439</v>
      </c>
      <c r="Y87" s="139">
        <f t="shared" si="16"/>
        <v>1876071</v>
      </c>
      <c r="Z87" s="139">
        <f t="shared" si="16"/>
        <v>0</v>
      </c>
      <c r="AA87" s="139">
        <f t="shared" si="16"/>
        <v>591508480</v>
      </c>
      <c r="AB87" s="139"/>
      <c r="AC87" s="139">
        <f>SUM(AC84:AC86)</f>
        <v>591508480</v>
      </c>
      <c r="AD87" s="196">
        <f>SUM(AD84:AD86)</f>
        <v>1876071</v>
      </c>
    </row>
    <row r="88" spans="1:30" ht="14.25" x14ac:dyDescent="0.45">
      <c r="A88" s="137"/>
      <c r="B88" s="197"/>
      <c r="C88" s="128"/>
      <c r="D88" s="186"/>
      <c r="E88" s="186"/>
      <c r="F88" s="186"/>
      <c r="G88" s="128"/>
      <c r="H88" s="128"/>
      <c r="I88" s="128"/>
      <c r="J88" s="186"/>
      <c r="K88" s="128"/>
      <c r="L88" s="128"/>
      <c r="M88" s="128"/>
      <c r="N88" s="128"/>
      <c r="O88" s="128"/>
      <c r="P88" s="128"/>
      <c r="Q88" s="186"/>
      <c r="R88" s="186"/>
      <c r="S88" s="198"/>
      <c r="T88" s="186"/>
      <c r="U88" s="186"/>
      <c r="V88" s="128"/>
      <c r="W88" s="128"/>
      <c r="X88" s="128"/>
      <c r="Y88" s="128"/>
      <c r="Z88" s="128"/>
      <c r="AA88" s="128"/>
      <c r="AB88" s="128"/>
      <c r="AC88" s="128"/>
      <c r="AD88" s="144"/>
    </row>
    <row r="89" spans="1:30" ht="14.25" x14ac:dyDescent="0.45">
      <c r="A89" s="199" t="s">
        <v>160</v>
      </c>
      <c r="B89" s="197"/>
      <c r="C89" s="128"/>
      <c r="D89" s="186"/>
      <c r="E89" s="186"/>
      <c r="F89" s="186"/>
      <c r="G89" s="128"/>
      <c r="H89" s="128"/>
      <c r="I89" s="128"/>
      <c r="J89" s="186"/>
      <c r="K89" s="128"/>
      <c r="L89" s="128"/>
      <c r="M89" s="128"/>
      <c r="N89" s="128"/>
      <c r="O89" s="128"/>
      <c r="P89" s="128"/>
      <c r="Q89" s="186"/>
      <c r="R89" s="186"/>
      <c r="S89" s="198"/>
      <c r="T89" s="186"/>
      <c r="U89" s="186"/>
      <c r="V89" s="128"/>
      <c r="W89" s="128"/>
      <c r="X89" s="128"/>
      <c r="Y89" s="128"/>
      <c r="Z89" s="128"/>
      <c r="AA89" s="128"/>
      <c r="AB89" s="128"/>
      <c r="AC89" s="128"/>
      <c r="AD89" s="144"/>
    </row>
    <row r="90" spans="1:30" s="758" customFormat="1" ht="14.25" x14ac:dyDescent="0.45">
      <c r="A90" s="35" t="s">
        <v>31</v>
      </c>
      <c r="B90" s="186"/>
      <c r="C90" s="128">
        <f>C19-C54</f>
        <v>-8340.3755569700152</v>
      </c>
      <c r="D90" s="128"/>
      <c r="E90" s="186"/>
      <c r="F90" s="128"/>
      <c r="G90" s="128">
        <f t="shared" ref="G90:H90" si="17">G19-G54</f>
        <v>2066.8755569701316</v>
      </c>
      <c r="H90" s="128">
        <f t="shared" si="17"/>
        <v>-11326</v>
      </c>
      <c r="I90" s="128">
        <f>+G90+H90</f>
        <v>-9259.1244430298684</v>
      </c>
      <c r="J90" s="128"/>
      <c r="K90" s="128">
        <f t="shared" ref="K90:M90" si="18">K19-K54</f>
        <v>17994</v>
      </c>
      <c r="L90" s="128">
        <f t="shared" si="18"/>
        <v>-383</v>
      </c>
      <c r="M90" s="128">
        <f t="shared" si="18"/>
        <v>0</v>
      </c>
      <c r="N90" s="128">
        <f>+L90+M90</f>
        <v>-383</v>
      </c>
      <c r="O90" s="128"/>
      <c r="P90" s="128">
        <f>+I90+K90</f>
        <v>8734.8755569701316</v>
      </c>
      <c r="Q90" s="186"/>
      <c r="R90" s="186"/>
      <c r="S90" s="128">
        <f t="shared" ref="S90:S105" si="19">S19-S54</f>
        <v>0</v>
      </c>
      <c r="T90" s="186"/>
      <c r="U90" s="186"/>
      <c r="V90" s="128">
        <f t="shared" ref="V90:X90" si="20">V19-V54</f>
        <v>0</v>
      </c>
      <c r="W90" s="128">
        <f t="shared" si="20"/>
        <v>0</v>
      </c>
      <c r="X90" s="128">
        <f t="shared" si="20"/>
        <v>0</v>
      </c>
      <c r="Y90" s="128">
        <f>+W90+X90</f>
        <v>0</v>
      </c>
      <c r="Z90" s="128"/>
      <c r="AA90" s="128">
        <f>+S90+V90</f>
        <v>0</v>
      </c>
      <c r="AB90" s="128">
        <v>0</v>
      </c>
      <c r="AC90" s="128">
        <f>+C90+P90+AA90+AB90</f>
        <v>394.50000000011642</v>
      </c>
      <c r="AD90" s="144">
        <f>+N90+Y90</f>
        <v>-383</v>
      </c>
    </row>
    <row r="91" spans="1:30" s="758" customFormat="1" ht="14.25" x14ac:dyDescent="0.45">
      <c r="A91" s="35" t="s">
        <v>32</v>
      </c>
      <c r="B91" s="186"/>
      <c r="C91" s="128">
        <f t="shared" ref="C91:C105" si="21">C20-C55</f>
        <v>-761362.7950350102</v>
      </c>
      <c r="D91" s="128"/>
      <c r="E91" s="186"/>
      <c r="F91" s="128"/>
      <c r="G91" s="128">
        <f t="shared" ref="G91:H91" si="22">G20-G55</f>
        <v>33101.795035009738</v>
      </c>
      <c r="H91" s="128">
        <f t="shared" si="22"/>
        <v>-25917</v>
      </c>
      <c r="I91" s="128">
        <f>+G91+H91</f>
        <v>7184.7950350097381</v>
      </c>
      <c r="J91" s="128"/>
      <c r="K91" s="128">
        <f t="shared" ref="K91:M91" si="23">K20-K55</f>
        <v>253477</v>
      </c>
      <c r="L91" s="128">
        <f t="shared" si="23"/>
        <v>-469.06000000000131</v>
      </c>
      <c r="M91" s="128">
        <f t="shared" si="23"/>
        <v>0</v>
      </c>
      <c r="N91" s="128">
        <f>+L91+M91</f>
        <v>-469.06000000000131</v>
      </c>
      <c r="O91" s="128"/>
      <c r="P91" s="128">
        <f>+I91+K91</f>
        <v>260661.79503500974</v>
      </c>
      <c r="Q91" s="186"/>
      <c r="R91" s="186"/>
      <c r="S91" s="128">
        <f t="shared" si="19"/>
        <v>0</v>
      </c>
      <c r="T91" s="186"/>
      <c r="U91" s="186"/>
      <c r="V91" s="128">
        <f t="shared" ref="V91:X91" si="24">V20-V55</f>
        <v>0</v>
      </c>
      <c r="W91" s="128">
        <f t="shared" si="24"/>
        <v>0</v>
      </c>
      <c r="X91" s="128">
        <f t="shared" si="24"/>
        <v>0</v>
      </c>
      <c r="Y91" s="128">
        <f>+W91+X91</f>
        <v>0</v>
      </c>
      <c r="Z91" s="128"/>
      <c r="AA91" s="128">
        <f>+S91+V91</f>
        <v>0</v>
      </c>
      <c r="AB91" s="128">
        <v>0</v>
      </c>
      <c r="AC91" s="128">
        <f>+C91+P91+AA91+AB91</f>
        <v>-500701.00000000047</v>
      </c>
      <c r="AD91" s="144">
        <f>+N91+Y91</f>
        <v>-469.06000000000131</v>
      </c>
    </row>
    <row r="92" spans="1:30" s="758" customFormat="1" ht="14.25" x14ac:dyDescent="0.45">
      <c r="A92" s="35" t="s">
        <v>33</v>
      </c>
      <c r="B92" s="186"/>
      <c r="C92" s="128">
        <f t="shared" si="21"/>
        <v>-2432459.0163934231</v>
      </c>
      <c r="D92" s="128"/>
      <c r="E92" s="186"/>
      <c r="F92" s="128"/>
      <c r="G92" s="128">
        <f t="shared" ref="G92:H92" si="25">G21-G56</f>
        <v>8115193.9180327952</v>
      </c>
      <c r="H92" s="128">
        <f t="shared" si="25"/>
        <v>-575000</v>
      </c>
      <c r="I92" s="128">
        <f>+G92+H92</f>
        <v>7540193.9180327952</v>
      </c>
      <c r="J92" s="128"/>
      <c r="K92" s="128">
        <f t="shared" ref="K92:M92" si="26">K21-K56</f>
        <v>-54853489</v>
      </c>
      <c r="L92" s="128">
        <f t="shared" si="26"/>
        <v>-25790</v>
      </c>
      <c r="M92" s="128">
        <f t="shared" si="26"/>
        <v>-14831</v>
      </c>
      <c r="N92" s="128">
        <f>+L92+M92</f>
        <v>-40621</v>
      </c>
      <c r="O92" s="128"/>
      <c r="P92" s="128">
        <f>+I92+K92</f>
        <v>-47313295.081967205</v>
      </c>
      <c r="Q92" s="186"/>
      <c r="R92" s="186"/>
      <c r="S92" s="128">
        <f t="shared" si="19"/>
        <v>0</v>
      </c>
      <c r="T92" s="186"/>
      <c r="U92" s="186"/>
      <c r="V92" s="128">
        <f t="shared" ref="V92:X92" si="27">V21-V56</f>
        <v>14022213</v>
      </c>
      <c r="W92" s="128">
        <f t="shared" si="27"/>
        <v>333006</v>
      </c>
      <c r="X92" s="128">
        <f t="shared" si="27"/>
        <v>335111</v>
      </c>
      <c r="Y92" s="128">
        <f>+W92+X92</f>
        <v>668117</v>
      </c>
      <c r="Z92" s="128"/>
      <c r="AA92" s="128">
        <f>+S92+V92</f>
        <v>14022213</v>
      </c>
      <c r="AB92" s="128">
        <v>0</v>
      </c>
      <c r="AC92" s="128">
        <f>+C92+P92+AA92+AB92</f>
        <v>-35723541.098360628</v>
      </c>
      <c r="AD92" s="144">
        <f>+N92+Y92</f>
        <v>627496</v>
      </c>
    </row>
    <row r="93" spans="1:30" s="758" customFormat="1" ht="14.25" x14ac:dyDescent="0.45">
      <c r="A93" s="35" t="s">
        <v>34</v>
      </c>
      <c r="B93" s="186"/>
      <c r="C93" s="128">
        <f t="shared" si="21"/>
        <v>67979.015276893973</v>
      </c>
      <c r="D93" s="128"/>
      <c r="E93" s="186"/>
      <c r="F93" s="128"/>
      <c r="G93" s="128">
        <f t="shared" ref="G93:H93" si="28">G22-G57</f>
        <v>-4979708.015276894</v>
      </c>
      <c r="H93" s="128">
        <f t="shared" si="28"/>
        <v>-76764.51999999999</v>
      </c>
      <c r="I93" s="128">
        <f t="shared" ref="I93:I105" si="29">+G93+H93</f>
        <v>-5056472.5352768935</v>
      </c>
      <c r="J93" s="128"/>
      <c r="K93" s="128">
        <f t="shared" ref="K93:M93" si="30">K22-K57</f>
        <v>509269</v>
      </c>
      <c r="L93" s="128">
        <f t="shared" si="30"/>
        <v>3983.8539999999957</v>
      </c>
      <c r="M93" s="128">
        <f t="shared" si="30"/>
        <v>0</v>
      </c>
      <c r="N93" s="128">
        <f t="shared" ref="N93:N106" si="31">+L93+M93</f>
        <v>3983.8539999999957</v>
      </c>
      <c r="O93" s="128"/>
      <c r="P93" s="128">
        <f t="shared" ref="P93:P105" si="32">+I93+K93</f>
        <v>-4547203.5352768935</v>
      </c>
      <c r="Q93" s="186"/>
      <c r="R93" s="186"/>
      <c r="S93" s="128">
        <f t="shared" si="19"/>
        <v>0</v>
      </c>
      <c r="T93" s="186"/>
      <c r="U93" s="186"/>
      <c r="V93" s="128">
        <f t="shared" ref="V93:X93" si="33">V22-V57</f>
        <v>0</v>
      </c>
      <c r="W93" s="128">
        <f t="shared" si="33"/>
        <v>0</v>
      </c>
      <c r="X93" s="128">
        <f t="shared" si="33"/>
        <v>0</v>
      </c>
      <c r="Y93" s="128">
        <f t="shared" ref="Y93:Y105" si="34">+W93+X93</f>
        <v>0</v>
      </c>
      <c r="Z93" s="128"/>
      <c r="AA93" s="128">
        <f t="shared" ref="AA93:AA105" si="35">+S93+V93</f>
        <v>0</v>
      </c>
      <c r="AB93" s="128">
        <v>0</v>
      </c>
      <c r="AC93" s="128">
        <f t="shared" ref="AC93:AC105" si="36">+C93+P93+AA93+AB93</f>
        <v>-4479224.5199999996</v>
      </c>
      <c r="AD93" s="144">
        <f t="shared" ref="AD93:AD105" si="37">+N93+Y93</f>
        <v>3983.8539999999957</v>
      </c>
    </row>
    <row r="94" spans="1:30" s="758" customFormat="1" ht="14.25" x14ac:dyDescent="0.45">
      <c r="A94" s="35" t="s">
        <v>35</v>
      </c>
      <c r="B94" s="186"/>
      <c r="C94" s="128">
        <f t="shared" si="21"/>
        <v>-594669</v>
      </c>
      <c r="D94" s="128"/>
      <c r="E94" s="186"/>
      <c r="F94" s="128"/>
      <c r="G94" s="128">
        <f t="shared" ref="G94:H94" si="38">G23-G58</f>
        <v>76753.036019395106</v>
      </c>
      <c r="H94" s="128">
        <f t="shared" si="38"/>
        <v>4266</v>
      </c>
      <c r="I94" s="128">
        <f t="shared" si="29"/>
        <v>81019.036019395106</v>
      </c>
      <c r="J94" s="128"/>
      <c r="K94" s="128">
        <f t="shared" ref="K94:M94" si="39">K23-K58</f>
        <v>124380.7944907574</v>
      </c>
      <c r="L94" s="128">
        <f t="shared" si="39"/>
        <v>42970.701292484438</v>
      </c>
      <c r="M94" s="128">
        <f t="shared" si="39"/>
        <v>0</v>
      </c>
      <c r="N94" s="128">
        <f t="shared" si="31"/>
        <v>42970.701292484438</v>
      </c>
      <c r="O94" s="128"/>
      <c r="P94" s="128">
        <f t="shared" si="32"/>
        <v>205399.8305101525</v>
      </c>
      <c r="Q94" s="186"/>
      <c r="R94" s="186"/>
      <c r="S94" s="128">
        <f t="shared" si="19"/>
        <v>0</v>
      </c>
      <c r="T94" s="186"/>
      <c r="U94" s="186"/>
      <c r="V94" s="128">
        <f t="shared" ref="V94:X94" si="40">V23-V58</f>
        <v>0</v>
      </c>
      <c r="W94" s="128">
        <f t="shared" si="40"/>
        <v>0</v>
      </c>
      <c r="X94" s="128">
        <f t="shared" si="40"/>
        <v>0</v>
      </c>
      <c r="Y94" s="128">
        <f t="shared" si="34"/>
        <v>0</v>
      </c>
      <c r="Z94" s="128"/>
      <c r="AA94" s="128">
        <f t="shared" si="35"/>
        <v>0</v>
      </c>
      <c r="AB94" s="128">
        <v>0</v>
      </c>
      <c r="AC94" s="128">
        <f t="shared" si="36"/>
        <v>-389269.1694898475</v>
      </c>
      <c r="AD94" s="144">
        <f t="shared" si="37"/>
        <v>42970.701292484438</v>
      </c>
    </row>
    <row r="95" spans="1:30" s="758" customFormat="1" ht="14.25" x14ac:dyDescent="0.45">
      <c r="A95" s="35" t="s">
        <v>36</v>
      </c>
      <c r="B95" s="186"/>
      <c r="C95" s="128">
        <f t="shared" si="21"/>
        <v>-7751.0152768935077</v>
      </c>
      <c r="D95" s="128"/>
      <c r="E95" s="186"/>
      <c r="F95" s="128"/>
      <c r="G95" s="128">
        <f t="shared" ref="G95:H95" si="41">G24-G59</f>
        <v>-12031.984723106259</v>
      </c>
      <c r="H95" s="128">
        <f t="shared" si="41"/>
        <v>35120.85</v>
      </c>
      <c r="I95" s="128">
        <f t="shared" si="29"/>
        <v>23088.865276893739</v>
      </c>
      <c r="J95" s="128"/>
      <c r="K95" s="128">
        <f t="shared" ref="K95:M95" si="42">K24-K59</f>
        <v>-34093</v>
      </c>
      <c r="L95" s="128">
        <f t="shared" si="42"/>
        <v>-259</v>
      </c>
      <c r="M95" s="128">
        <f t="shared" si="42"/>
        <v>0</v>
      </c>
      <c r="N95" s="128">
        <f t="shared" si="31"/>
        <v>-259</v>
      </c>
      <c r="O95" s="128"/>
      <c r="P95" s="128">
        <f t="shared" si="32"/>
        <v>-11004.134723106261</v>
      </c>
      <c r="Q95" s="186"/>
      <c r="R95" s="186"/>
      <c r="S95" s="128">
        <f t="shared" si="19"/>
        <v>0</v>
      </c>
      <c r="T95" s="186"/>
      <c r="U95" s="186"/>
      <c r="V95" s="128">
        <f t="shared" ref="V95:X95" si="43">V24-V59</f>
        <v>0</v>
      </c>
      <c r="W95" s="128">
        <f t="shared" si="43"/>
        <v>0</v>
      </c>
      <c r="X95" s="128">
        <f t="shared" si="43"/>
        <v>0</v>
      </c>
      <c r="Y95" s="128">
        <f t="shared" si="34"/>
        <v>0</v>
      </c>
      <c r="Z95" s="128"/>
      <c r="AA95" s="128">
        <f t="shared" si="35"/>
        <v>0</v>
      </c>
      <c r="AB95" s="128">
        <v>0</v>
      </c>
      <c r="AC95" s="128">
        <f t="shared" si="36"/>
        <v>-18755.149999999769</v>
      </c>
      <c r="AD95" s="144">
        <f t="shared" si="37"/>
        <v>-259</v>
      </c>
    </row>
    <row r="96" spans="1:30" s="758" customFormat="1" ht="14.25" x14ac:dyDescent="0.45">
      <c r="A96" s="35" t="s">
        <v>37</v>
      </c>
      <c r="B96" s="186"/>
      <c r="C96" s="128">
        <f t="shared" si="21"/>
        <v>-64901.352005092427</v>
      </c>
      <c r="D96" s="128"/>
      <c r="E96" s="186"/>
      <c r="F96" s="128"/>
      <c r="G96" s="128">
        <f t="shared" ref="G96:H96" si="44">G25-G60</f>
        <v>-131486.64799490781</v>
      </c>
      <c r="H96" s="128">
        <f t="shared" si="44"/>
        <v>-2618</v>
      </c>
      <c r="I96" s="128">
        <f t="shared" si="29"/>
        <v>-134104.64799490781</v>
      </c>
      <c r="J96" s="128"/>
      <c r="K96" s="128">
        <f t="shared" ref="K96:M96" si="45">K25-K60</f>
        <v>-4064390</v>
      </c>
      <c r="L96" s="128">
        <f t="shared" si="45"/>
        <v>-9340</v>
      </c>
      <c r="M96" s="128">
        <f t="shared" si="45"/>
        <v>0</v>
      </c>
      <c r="N96" s="128">
        <f t="shared" si="31"/>
        <v>-9340</v>
      </c>
      <c r="O96" s="128"/>
      <c r="P96" s="128">
        <f t="shared" si="32"/>
        <v>-4198494.6479949076</v>
      </c>
      <c r="Q96" s="186"/>
      <c r="R96" s="186"/>
      <c r="S96" s="128">
        <f t="shared" si="19"/>
        <v>0</v>
      </c>
      <c r="T96" s="186"/>
      <c r="U96" s="186"/>
      <c r="V96" s="128">
        <f t="shared" ref="V96:X96" si="46">V25-V60</f>
        <v>0</v>
      </c>
      <c r="W96" s="128">
        <f t="shared" si="46"/>
        <v>0</v>
      </c>
      <c r="X96" s="128">
        <f t="shared" si="46"/>
        <v>0</v>
      </c>
      <c r="Y96" s="128">
        <f t="shared" si="34"/>
        <v>0</v>
      </c>
      <c r="Z96" s="128"/>
      <c r="AA96" s="128">
        <f t="shared" si="35"/>
        <v>0</v>
      </c>
      <c r="AB96" s="128">
        <v>0</v>
      </c>
      <c r="AC96" s="128">
        <f t="shared" si="36"/>
        <v>-4263396</v>
      </c>
      <c r="AD96" s="144">
        <f t="shared" si="37"/>
        <v>-9340</v>
      </c>
    </row>
    <row r="97" spans="1:30" s="758" customFormat="1" ht="14.25" x14ac:dyDescent="0.45">
      <c r="A97" s="35" t="s">
        <v>38</v>
      </c>
      <c r="B97" s="186"/>
      <c r="C97" s="128">
        <f t="shared" si="21"/>
        <v>-300663.70019096136</v>
      </c>
      <c r="D97" s="128"/>
      <c r="E97" s="186"/>
      <c r="F97" s="128"/>
      <c r="G97" s="128">
        <f t="shared" ref="G97:H97" si="47">G26-G61</f>
        <v>-75146.840898948722</v>
      </c>
      <c r="H97" s="128">
        <f t="shared" si="47"/>
        <v>0</v>
      </c>
      <c r="I97" s="128">
        <f t="shared" si="29"/>
        <v>-75146.840898948722</v>
      </c>
      <c r="J97" s="128"/>
      <c r="K97" s="128">
        <f t="shared" ref="K97:M97" si="48">K26-K61</f>
        <v>417582.04108991101</v>
      </c>
      <c r="L97" s="128">
        <f t="shared" si="48"/>
        <v>-9708.3199999999924</v>
      </c>
      <c r="M97" s="128">
        <f t="shared" si="48"/>
        <v>0</v>
      </c>
      <c r="N97" s="128">
        <f t="shared" si="31"/>
        <v>-9708.3199999999924</v>
      </c>
      <c r="O97" s="128"/>
      <c r="P97" s="128">
        <f t="shared" si="32"/>
        <v>342435.20019096229</v>
      </c>
      <c r="Q97" s="186"/>
      <c r="R97" s="186"/>
      <c r="S97" s="128">
        <f t="shared" si="19"/>
        <v>0</v>
      </c>
      <c r="T97" s="186"/>
      <c r="U97" s="186"/>
      <c r="V97" s="128">
        <f t="shared" ref="V97:X97" si="49">V26-V61</f>
        <v>737452</v>
      </c>
      <c r="W97" s="128">
        <f t="shared" si="49"/>
        <v>18602.22</v>
      </c>
      <c r="X97" s="128">
        <f t="shared" si="49"/>
        <v>0</v>
      </c>
      <c r="Y97" s="128">
        <f t="shared" si="34"/>
        <v>18602.22</v>
      </c>
      <c r="Z97" s="128"/>
      <c r="AA97" s="128">
        <f t="shared" si="35"/>
        <v>737452</v>
      </c>
      <c r="AB97" s="128">
        <v>0</v>
      </c>
      <c r="AC97" s="128">
        <f t="shared" si="36"/>
        <v>779223.50000000093</v>
      </c>
      <c r="AD97" s="144">
        <f t="shared" si="37"/>
        <v>8893.9000000000087</v>
      </c>
    </row>
    <row r="98" spans="1:30" s="758" customFormat="1" ht="14.25" x14ac:dyDescent="0.45">
      <c r="A98" s="35" t="s">
        <v>39</v>
      </c>
      <c r="B98" s="186"/>
      <c r="C98" s="128">
        <f t="shared" si="21"/>
        <v>-2586434.4702100568</v>
      </c>
      <c r="D98" s="128"/>
      <c r="E98" s="186"/>
      <c r="F98" s="128"/>
      <c r="G98" s="128">
        <f t="shared" ref="G98:H98" si="50">G27-G62</f>
        <v>-10928089.729789943</v>
      </c>
      <c r="H98" s="128">
        <f t="shared" si="50"/>
        <v>-414</v>
      </c>
      <c r="I98" s="128">
        <f t="shared" si="29"/>
        <v>-10928503.729789943</v>
      </c>
      <c r="J98" s="128"/>
      <c r="K98" s="128">
        <f t="shared" ref="K98:M98" si="51">K27-K62</f>
        <v>1764734.3000000007</v>
      </c>
      <c r="L98" s="128">
        <f t="shared" si="51"/>
        <v>-419.21000000001368</v>
      </c>
      <c r="M98" s="128">
        <f t="shared" si="51"/>
        <v>0</v>
      </c>
      <c r="N98" s="128">
        <f t="shared" si="31"/>
        <v>-419.21000000001368</v>
      </c>
      <c r="O98" s="128"/>
      <c r="P98" s="128">
        <f t="shared" si="32"/>
        <v>-9163769.4297899418</v>
      </c>
      <c r="Q98" s="186"/>
      <c r="R98" s="186"/>
      <c r="S98" s="128">
        <f t="shared" si="19"/>
        <v>0</v>
      </c>
      <c r="T98" s="186"/>
      <c r="U98" s="186"/>
      <c r="V98" s="128">
        <f t="shared" ref="V98:X98" si="52">V27-V62</f>
        <v>0</v>
      </c>
      <c r="W98" s="128">
        <f t="shared" si="52"/>
        <v>0</v>
      </c>
      <c r="X98" s="128">
        <f t="shared" si="52"/>
        <v>0</v>
      </c>
      <c r="Y98" s="128">
        <f t="shared" si="34"/>
        <v>0</v>
      </c>
      <c r="Z98" s="128"/>
      <c r="AA98" s="128">
        <f t="shared" si="35"/>
        <v>0</v>
      </c>
      <c r="AB98" s="128">
        <v>0</v>
      </c>
      <c r="AC98" s="128">
        <f t="shared" si="36"/>
        <v>-11750203.899999999</v>
      </c>
      <c r="AD98" s="144">
        <f t="shared" si="37"/>
        <v>-419.21000000001368</v>
      </c>
    </row>
    <row r="99" spans="1:30" s="758" customFormat="1" ht="14.25" x14ac:dyDescent="0.45">
      <c r="A99" s="35" t="s">
        <v>40</v>
      </c>
      <c r="B99" s="186"/>
      <c r="C99" s="128">
        <f t="shared" si="21"/>
        <v>-193.262889880687</v>
      </c>
      <c r="D99" s="128"/>
      <c r="E99" s="186"/>
      <c r="F99" s="128"/>
      <c r="G99" s="128">
        <f t="shared" ref="G99:H99" si="53">G28-G63</f>
        <v>-204113.73711012118</v>
      </c>
      <c r="H99" s="128">
        <f t="shared" si="53"/>
        <v>704</v>
      </c>
      <c r="I99" s="128">
        <f t="shared" si="29"/>
        <v>-203409.73711012118</v>
      </c>
      <c r="J99" s="128"/>
      <c r="K99" s="128">
        <f t="shared" ref="K99:M99" si="54">K28-K63</f>
        <v>-165679</v>
      </c>
      <c r="L99" s="128">
        <f t="shared" si="54"/>
        <v>-252.40000000000146</v>
      </c>
      <c r="M99" s="128">
        <f t="shared" si="54"/>
        <v>0</v>
      </c>
      <c r="N99" s="128">
        <f t="shared" si="31"/>
        <v>-252.40000000000146</v>
      </c>
      <c r="O99" s="128"/>
      <c r="P99" s="128">
        <f t="shared" si="32"/>
        <v>-369088.73711012118</v>
      </c>
      <c r="Q99" s="186"/>
      <c r="R99" s="186"/>
      <c r="S99" s="128">
        <f t="shared" si="19"/>
        <v>0</v>
      </c>
      <c r="T99" s="186"/>
      <c r="U99" s="186"/>
      <c r="V99" s="128">
        <f t="shared" ref="V99:X99" si="55">V28-V63</f>
        <v>0</v>
      </c>
      <c r="W99" s="128">
        <f t="shared" si="55"/>
        <v>0</v>
      </c>
      <c r="X99" s="128">
        <f t="shared" si="55"/>
        <v>0</v>
      </c>
      <c r="Y99" s="128">
        <f t="shared" si="34"/>
        <v>0</v>
      </c>
      <c r="Z99" s="128"/>
      <c r="AA99" s="128">
        <f t="shared" si="35"/>
        <v>0</v>
      </c>
      <c r="AB99" s="128">
        <v>0</v>
      </c>
      <c r="AC99" s="128">
        <f t="shared" si="36"/>
        <v>-369282.00000000186</v>
      </c>
      <c r="AD99" s="144">
        <f t="shared" si="37"/>
        <v>-252.40000000000146</v>
      </c>
    </row>
    <row r="100" spans="1:30" s="758" customFormat="1" ht="14.25" x14ac:dyDescent="0.45">
      <c r="A100" s="35" t="s">
        <v>41</v>
      </c>
      <c r="B100" s="186"/>
      <c r="C100" s="128">
        <f t="shared" si="21"/>
        <v>82937.253978358582</v>
      </c>
      <c r="D100" s="128"/>
      <c r="E100" s="186"/>
      <c r="F100" s="128"/>
      <c r="G100" s="128">
        <f t="shared" ref="G100:H100" si="56">G29-G64</f>
        <v>-2416148.7539783577</v>
      </c>
      <c r="H100" s="128">
        <f t="shared" si="56"/>
        <v>192</v>
      </c>
      <c r="I100" s="128">
        <f t="shared" si="29"/>
        <v>-2415956.7539783577</v>
      </c>
      <c r="J100" s="128"/>
      <c r="K100" s="128">
        <f t="shared" ref="K100:M100" si="57">K29-K64</f>
        <v>183772</v>
      </c>
      <c r="L100" s="128">
        <f t="shared" si="57"/>
        <v>-322.3839999999982</v>
      </c>
      <c r="M100" s="128">
        <f t="shared" si="57"/>
        <v>0</v>
      </c>
      <c r="N100" s="128">
        <f t="shared" si="31"/>
        <v>-322.3839999999982</v>
      </c>
      <c r="O100" s="128"/>
      <c r="P100" s="128">
        <f t="shared" si="32"/>
        <v>-2232184.7539783577</v>
      </c>
      <c r="Q100" s="186"/>
      <c r="R100" s="186"/>
      <c r="S100" s="128">
        <f t="shared" si="19"/>
        <v>0</v>
      </c>
      <c r="T100" s="186"/>
      <c r="U100" s="186"/>
      <c r="V100" s="128">
        <f t="shared" ref="V100:X100" si="58">V29-V64</f>
        <v>329960</v>
      </c>
      <c r="W100" s="128">
        <f t="shared" si="58"/>
        <v>471.81199999999444</v>
      </c>
      <c r="X100" s="128">
        <f t="shared" si="58"/>
        <v>0</v>
      </c>
      <c r="Y100" s="128">
        <f t="shared" si="34"/>
        <v>471.81199999999444</v>
      </c>
      <c r="Z100" s="128"/>
      <c r="AA100" s="128">
        <f t="shared" si="35"/>
        <v>329960</v>
      </c>
      <c r="AB100" s="128">
        <v>0</v>
      </c>
      <c r="AC100" s="128">
        <f t="shared" si="36"/>
        <v>-1819287.4999999991</v>
      </c>
      <c r="AD100" s="144">
        <f t="shared" si="37"/>
        <v>149.42799999999625</v>
      </c>
    </row>
    <row r="101" spans="1:30" s="758" customFormat="1" ht="14.25" x14ac:dyDescent="0.45">
      <c r="A101" s="35" t="s">
        <v>42</v>
      </c>
      <c r="B101" s="186"/>
      <c r="C101" s="128">
        <f t="shared" si="21"/>
        <v>-217333.18586887326</v>
      </c>
      <c r="D101" s="128"/>
      <c r="E101" s="186"/>
      <c r="F101" s="128"/>
      <c r="G101" s="128">
        <f t="shared" ref="G101:H101" si="59">G30-G65</f>
        <v>-41431.814131126739</v>
      </c>
      <c r="H101" s="128">
        <f t="shared" si="59"/>
        <v>-25922</v>
      </c>
      <c r="I101" s="128">
        <f t="shared" si="29"/>
        <v>-67353.814131126739</v>
      </c>
      <c r="J101" s="128"/>
      <c r="K101" s="128">
        <f t="shared" ref="K101:M101" si="60">K30-K65</f>
        <v>0</v>
      </c>
      <c r="L101" s="128">
        <f t="shared" si="60"/>
        <v>0</v>
      </c>
      <c r="M101" s="128">
        <f t="shared" si="60"/>
        <v>0</v>
      </c>
      <c r="N101" s="128">
        <f t="shared" si="31"/>
        <v>0</v>
      </c>
      <c r="O101" s="128"/>
      <c r="P101" s="128">
        <f t="shared" si="32"/>
        <v>-67353.814131126739</v>
      </c>
      <c r="Q101" s="186"/>
      <c r="R101" s="186"/>
      <c r="S101" s="128">
        <f t="shared" si="19"/>
        <v>0</v>
      </c>
      <c r="T101" s="186"/>
      <c r="U101" s="186"/>
      <c r="V101" s="128">
        <f t="shared" ref="V101:X101" si="61">V30-V65</f>
        <v>-708000</v>
      </c>
      <c r="W101" s="128">
        <f t="shared" si="61"/>
        <v>-423</v>
      </c>
      <c r="X101" s="128">
        <f t="shared" si="61"/>
        <v>0</v>
      </c>
      <c r="Y101" s="128">
        <f t="shared" si="34"/>
        <v>-423</v>
      </c>
      <c r="Z101" s="128"/>
      <c r="AA101" s="128">
        <f t="shared" si="35"/>
        <v>-708000</v>
      </c>
      <c r="AB101" s="128">
        <v>0</v>
      </c>
      <c r="AC101" s="128">
        <f t="shared" si="36"/>
        <v>-992687</v>
      </c>
      <c r="AD101" s="144">
        <f t="shared" si="37"/>
        <v>-423</v>
      </c>
    </row>
    <row r="102" spans="1:30" s="758" customFormat="1" ht="14.25" x14ac:dyDescent="0.45">
      <c r="A102" s="35" t="s">
        <v>173</v>
      </c>
      <c r="B102" s="186"/>
      <c r="C102" s="128">
        <f t="shared" si="21"/>
        <v>1276904.6149999984</v>
      </c>
      <c r="D102" s="128"/>
      <c r="E102" s="186"/>
      <c r="F102" s="128"/>
      <c r="G102" s="128">
        <f t="shared" ref="G102:H102" si="62">G31-G66</f>
        <v>-393220</v>
      </c>
      <c r="H102" s="128">
        <f t="shared" si="62"/>
        <v>1760</v>
      </c>
      <c r="I102" s="128">
        <f t="shared" si="29"/>
        <v>-391460</v>
      </c>
      <c r="J102" s="128"/>
      <c r="K102" s="128">
        <f t="shared" ref="K102:M102" si="63">K31-K66</f>
        <v>-263324</v>
      </c>
      <c r="L102" s="128">
        <f t="shared" si="63"/>
        <v>11539.729999999996</v>
      </c>
      <c r="M102" s="128">
        <f t="shared" si="63"/>
        <v>0</v>
      </c>
      <c r="N102" s="128">
        <f t="shared" si="31"/>
        <v>11539.729999999996</v>
      </c>
      <c r="O102" s="128"/>
      <c r="P102" s="128">
        <f t="shared" si="32"/>
        <v>-654784</v>
      </c>
      <c r="Q102" s="186"/>
      <c r="R102" s="186"/>
      <c r="S102" s="128">
        <f t="shared" si="19"/>
        <v>0</v>
      </c>
      <c r="T102" s="186"/>
      <c r="U102" s="186"/>
      <c r="V102" s="128">
        <f t="shared" ref="V102:X102" si="64">V31-V66</f>
        <v>-530200</v>
      </c>
      <c r="W102" s="128">
        <f t="shared" si="64"/>
        <v>772</v>
      </c>
      <c r="X102" s="128">
        <f t="shared" si="64"/>
        <v>0</v>
      </c>
      <c r="Y102" s="128">
        <f t="shared" si="34"/>
        <v>772</v>
      </c>
      <c r="Z102" s="128"/>
      <c r="AA102" s="128">
        <f t="shared" si="35"/>
        <v>-530200</v>
      </c>
      <c r="AB102" s="128">
        <v>0</v>
      </c>
      <c r="AC102" s="128">
        <f t="shared" si="36"/>
        <v>91920.614999998361</v>
      </c>
      <c r="AD102" s="144">
        <f t="shared" si="37"/>
        <v>12311.729999999996</v>
      </c>
    </row>
    <row r="103" spans="1:30" s="758" customFormat="1" ht="14.25" x14ac:dyDescent="0.45">
      <c r="A103" s="35" t="s">
        <v>44</v>
      </c>
      <c r="B103" s="186"/>
      <c r="C103" s="128">
        <f t="shared" si="21"/>
        <v>-467620.18459579721</v>
      </c>
      <c r="D103" s="128"/>
      <c r="E103" s="186"/>
      <c r="F103" s="128"/>
      <c r="G103" s="128">
        <f t="shared" ref="G103:H103" si="65">G32-G67</f>
        <v>-974741.31540420093</v>
      </c>
      <c r="H103" s="128">
        <f t="shared" si="65"/>
        <v>-9109</v>
      </c>
      <c r="I103" s="128">
        <f t="shared" si="29"/>
        <v>-983850.31540420093</v>
      </c>
      <c r="J103" s="128"/>
      <c r="K103" s="128">
        <f t="shared" ref="K103:M103" si="66">K32-K67</f>
        <v>62884</v>
      </c>
      <c r="L103" s="128">
        <f t="shared" si="66"/>
        <v>4477.3899999999994</v>
      </c>
      <c r="M103" s="128">
        <f t="shared" si="66"/>
        <v>0</v>
      </c>
      <c r="N103" s="128">
        <f t="shared" si="31"/>
        <v>4477.3899999999994</v>
      </c>
      <c r="O103" s="128"/>
      <c r="P103" s="128">
        <f t="shared" si="32"/>
        <v>-920966.31540420093</v>
      </c>
      <c r="Q103" s="186"/>
      <c r="R103" s="186"/>
      <c r="S103" s="128">
        <f t="shared" si="19"/>
        <v>0</v>
      </c>
      <c r="T103" s="186"/>
      <c r="U103" s="186"/>
      <c r="V103" s="128">
        <f t="shared" ref="V103:X103" si="67">V32-V67</f>
        <v>0</v>
      </c>
      <c r="W103" s="128">
        <f t="shared" si="67"/>
        <v>0</v>
      </c>
      <c r="X103" s="128">
        <f t="shared" si="67"/>
        <v>0</v>
      </c>
      <c r="Y103" s="128">
        <f t="shared" si="34"/>
        <v>0</v>
      </c>
      <c r="Z103" s="128"/>
      <c r="AA103" s="128">
        <f t="shared" si="35"/>
        <v>0</v>
      </c>
      <c r="AB103" s="128">
        <v>0</v>
      </c>
      <c r="AC103" s="128">
        <f t="shared" si="36"/>
        <v>-1388586.4999999981</v>
      </c>
      <c r="AD103" s="144">
        <f t="shared" si="37"/>
        <v>4477.3899999999994</v>
      </c>
    </row>
    <row r="104" spans="1:30" s="758" customFormat="1" ht="14.25" x14ac:dyDescent="0.45">
      <c r="A104" s="35" t="s">
        <v>45</v>
      </c>
      <c r="B104" s="200"/>
      <c r="C104" s="128">
        <f t="shared" si="21"/>
        <v>1732808.2347540855</v>
      </c>
      <c r="D104" s="128"/>
      <c r="E104" s="186"/>
      <c r="F104" s="128"/>
      <c r="G104" s="128">
        <f t="shared" ref="G104:H104" si="68">G33-G68</f>
        <v>-2809486.1516393423</v>
      </c>
      <c r="H104" s="128">
        <f t="shared" si="68"/>
        <v>21179</v>
      </c>
      <c r="I104" s="128">
        <f t="shared" si="29"/>
        <v>-2788307.1516393423</v>
      </c>
      <c r="J104" s="128"/>
      <c r="K104" s="128">
        <f t="shared" ref="K104:M104" si="69">K33-K68</f>
        <v>8797569</v>
      </c>
      <c r="L104" s="128">
        <f t="shared" si="69"/>
        <v>-28402</v>
      </c>
      <c r="M104" s="128">
        <f t="shared" si="69"/>
        <v>0</v>
      </c>
      <c r="N104" s="128">
        <f t="shared" si="31"/>
        <v>-28402</v>
      </c>
      <c r="O104" s="128"/>
      <c r="P104" s="128">
        <f t="shared" si="32"/>
        <v>6009261.8483606577</v>
      </c>
      <c r="Q104" s="186"/>
      <c r="R104" s="186"/>
      <c r="S104" s="128">
        <f t="shared" si="19"/>
        <v>-3124885</v>
      </c>
      <c r="T104" s="186"/>
      <c r="U104" s="186"/>
      <c r="V104" s="128">
        <f t="shared" ref="V104:X104" si="70">V33-V68</f>
        <v>296779</v>
      </c>
      <c r="W104" s="128">
        <f t="shared" si="70"/>
        <v>2064</v>
      </c>
      <c r="X104" s="128">
        <f t="shared" si="70"/>
        <v>0</v>
      </c>
      <c r="Y104" s="128">
        <f t="shared" si="34"/>
        <v>2064</v>
      </c>
      <c r="Z104" s="128"/>
      <c r="AA104" s="128">
        <f t="shared" si="35"/>
        <v>-2828106</v>
      </c>
      <c r="AB104" s="128">
        <v>0</v>
      </c>
      <c r="AC104" s="128">
        <f t="shared" si="36"/>
        <v>4913964.0831147432</v>
      </c>
      <c r="AD104" s="144">
        <f t="shared" si="37"/>
        <v>-26338</v>
      </c>
    </row>
    <row r="105" spans="1:30" s="758" customFormat="1" ht="14.25" x14ac:dyDescent="0.45">
      <c r="A105" s="278" t="s">
        <v>46</v>
      </c>
      <c r="B105" s="753"/>
      <c r="C105" s="754">
        <f t="shared" si="21"/>
        <v>-4316546.5</v>
      </c>
      <c r="D105" s="754"/>
      <c r="E105" s="753"/>
      <c r="F105" s="754"/>
      <c r="G105" s="754">
        <f t="shared" ref="G105:H105" si="71">G34-G69</f>
        <v>-127638</v>
      </c>
      <c r="H105" s="754">
        <f t="shared" si="71"/>
        <v>159479</v>
      </c>
      <c r="I105" s="754">
        <f t="shared" si="29"/>
        <v>31841</v>
      </c>
      <c r="J105" s="754"/>
      <c r="K105" s="754">
        <f t="shared" ref="K105:M105" si="72">K34-K69</f>
        <v>0</v>
      </c>
      <c r="L105" s="754">
        <f t="shared" si="72"/>
        <v>0</v>
      </c>
      <c r="M105" s="754">
        <f t="shared" si="72"/>
        <v>0</v>
      </c>
      <c r="N105" s="754">
        <f t="shared" si="31"/>
        <v>0</v>
      </c>
      <c r="O105" s="754"/>
      <c r="P105" s="754">
        <f t="shared" si="32"/>
        <v>31841</v>
      </c>
      <c r="Q105" s="753"/>
      <c r="R105" s="753"/>
      <c r="S105" s="754">
        <f t="shared" si="19"/>
        <v>0</v>
      </c>
      <c r="T105" s="753"/>
      <c r="U105" s="753"/>
      <c r="V105" s="754">
        <f t="shared" ref="V105:X105" si="73">V34-V69</f>
        <v>-130885</v>
      </c>
      <c r="W105" s="754">
        <f t="shared" si="73"/>
        <v>331.84799999999996</v>
      </c>
      <c r="X105" s="754">
        <f t="shared" si="73"/>
        <v>0</v>
      </c>
      <c r="Y105" s="754">
        <f t="shared" si="34"/>
        <v>331.84799999999996</v>
      </c>
      <c r="Z105" s="754"/>
      <c r="AA105" s="754">
        <f t="shared" si="35"/>
        <v>-130885</v>
      </c>
      <c r="AB105" s="754">
        <v>0</v>
      </c>
      <c r="AC105" s="754">
        <f t="shared" si="36"/>
        <v>-4415590.5</v>
      </c>
      <c r="AD105" s="755">
        <f t="shared" si="37"/>
        <v>331.84799999999996</v>
      </c>
    </row>
    <row r="106" spans="1:30" ht="14.25" x14ac:dyDescent="0.45">
      <c r="A106" s="137" t="s">
        <v>151</v>
      </c>
      <c r="B106" s="201"/>
      <c r="C106" s="202">
        <f>SUM(C90:C105)</f>
        <v>-8597645.7390136234</v>
      </c>
      <c r="D106" s="202"/>
      <c r="E106" s="201"/>
      <c r="F106" s="202"/>
      <c r="G106" s="202">
        <f>SUM(G90:G105)</f>
        <v>-14866127.366302775</v>
      </c>
      <c r="H106" s="202">
        <f>SUM(H90:H105)</f>
        <v>-504369.67000000004</v>
      </c>
      <c r="I106" s="202">
        <f>G106+H106</f>
        <v>-15370497.036302775</v>
      </c>
      <c r="J106" s="202"/>
      <c r="K106" s="202">
        <f>SUM(K90:K105)</f>
        <v>-47249312.864419341</v>
      </c>
      <c r="L106" s="202">
        <f>SUM(L90:L105)</f>
        <v>-12373.698707515578</v>
      </c>
      <c r="M106" s="202">
        <f>SUM(M90:M105)</f>
        <v>-14831</v>
      </c>
      <c r="N106" s="202">
        <f t="shared" si="31"/>
        <v>-27204.698707515578</v>
      </c>
      <c r="O106" s="202"/>
      <c r="P106" s="202">
        <f>SUM(P90:P105)</f>
        <v>-62619809.900722101</v>
      </c>
      <c r="Q106" s="202"/>
      <c r="R106" s="202"/>
      <c r="S106" s="202">
        <f>SUM(S90:S105)</f>
        <v>-3124885</v>
      </c>
      <c r="T106" s="202"/>
      <c r="U106" s="202"/>
      <c r="V106" s="202">
        <f>SUM(V90:V105)</f>
        <v>14017319</v>
      </c>
      <c r="W106" s="202">
        <f>SUM(W90:W105)</f>
        <v>354824.87999999995</v>
      </c>
      <c r="X106" s="202">
        <f>SUM(X90:X105)</f>
        <v>335111</v>
      </c>
      <c r="Y106" s="202">
        <f>SUM(Y90:Y105)</f>
        <v>689935.88</v>
      </c>
      <c r="Z106" s="202"/>
      <c r="AA106" s="202">
        <f>SUM(AA90:AA105)</f>
        <v>10892434</v>
      </c>
      <c r="AB106" s="202">
        <f>SUM(AB90:AB105)</f>
        <v>0</v>
      </c>
      <c r="AC106" s="202">
        <f>SUM(AC90:AC105)</f>
        <v>-60325021.639735729</v>
      </c>
      <c r="AD106" s="203">
        <f>SUM(AD90:AD105)</f>
        <v>662731.1812924844</v>
      </c>
    </row>
    <row r="107" spans="1:30" ht="14.25" x14ac:dyDescent="0.45">
      <c r="A107" s="137"/>
      <c r="B107" s="186"/>
      <c r="C107" s="128"/>
      <c r="D107" s="186"/>
      <c r="E107" s="186"/>
      <c r="F107" s="186"/>
      <c r="G107" s="186"/>
      <c r="H107" s="128"/>
      <c r="I107" s="128"/>
      <c r="J107" s="186"/>
      <c r="K107" s="186"/>
      <c r="L107" s="186"/>
      <c r="M107" s="186"/>
      <c r="N107" s="186"/>
      <c r="O107" s="186"/>
      <c r="P107" s="186"/>
      <c r="Q107" s="186"/>
      <c r="R107" s="186"/>
      <c r="S107" s="186"/>
      <c r="T107" s="186"/>
      <c r="U107" s="186"/>
      <c r="V107" s="186"/>
      <c r="W107" s="186"/>
      <c r="X107" s="186"/>
      <c r="Y107" s="186"/>
      <c r="Z107" s="186"/>
      <c r="AA107" s="186"/>
      <c r="AB107" s="186"/>
      <c r="AC107" s="128"/>
      <c r="AD107" s="200"/>
    </row>
    <row r="108" spans="1:30" ht="14.25" x14ac:dyDescent="0.45">
      <c r="A108" s="137" t="s">
        <v>153</v>
      </c>
      <c r="B108" s="186"/>
      <c r="C108" s="128">
        <f>C87+C106</f>
        <v>-8597645.7390136234</v>
      </c>
      <c r="D108" s="128"/>
      <c r="E108" s="128"/>
      <c r="F108" s="128"/>
      <c r="G108" s="128">
        <f>G87+G106</f>
        <v>-14866127.366302775</v>
      </c>
      <c r="H108" s="128">
        <f>H87+H106</f>
        <v>-504369.67000000004</v>
      </c>
      <c r="I108" s="128">
        <f>I87+I106</f>
        <v>-15370497.036302775</v>
      </c>
      <c r="J108" s="128"/>
      <c r="K108" s="128">
        <f>K87+K106</f>
        <v>-47249312.864419341</v>
      </c>
      <c r="L108" s="128">
        <f>L87+L106</f>
        <v>-12373.698707515578</v>
      </c>
      <c r="M108" s="128">
        <f>M87+M106</f>
        <v>-14831</v>
      </c>
      <c r="N108" s="128">
        <f>N87+N106</f>
        <v>-27204.698707515578</v>
      </c>
      <c r="O108" s="128"/>
      <c r="P108" s="128">
        <f>P87+P106</f>
        <v>-62619809.900722101</v>
      </c>
      <c r="Q108" s="128"/>
      <c r="R108" s="128"/>
      <c r="S108" s="128">
        <f>S87+S106</f>
        <v>-3124885</v>
      </c>
      <c r="T108" s="128"/>
      <c r="U108" s="128"/>
      <c r="V108" s="128">
        <f>V87+V106</f>
        <v>605525799</v>
      </c>
      <c r="W108" s="128">
        <f>W87+W106</f>
        <v>1313456.8799999999</v>
      </c>
      <c r="X108" s="128">
        <f>X87+X106</f>
        <v>1252550</v>
      </c>
      <c r="Y108" s="128">
        <f>Y87+Y106</f>
        <v>2566006.88</v>
      </c>
      <c r="Z108" s="128"/>
      <c r="AA108" s="128">
        <f>AA87+AA106</f>
        <v>602400914</v>
      </c>
      <c r="AB108" s="128">
        <f>AB87+AB106</f>
        <v>0</v>
      </c>
      <c r="AC108" s="128">
        <f>AC87+AC106</f>
        <v>531183458.3602643</v>
      </c>
      <c r="AD108" s="144">
        <f>AD87+AD106</f>
        <v>2538802.1812924845</v>
      </c>
    </row>
    <row r="110" spans="1:30" x14ac:dyDescent="0.35">
      <c r="C110" s="560"/>
    </row>
  </sheetData>
  <mergeCells count="30">
    <mergeCell ref="AC78:AD78"/>
    <mergeCell ref="G77:I77"/>
    <mergeCell ref="K77:O77"/>
    <mergeCell ref="R77:T77"/>
    <mergeCell ref="U77:Z77"/>
    <mergeCell ref="L78:N78"/>
    <mergeCell ref="W78:Y78"/>
    <mergeCell ref="L42:N42"/>
    <mergeCell ref="W42:Y42"/>
    <mergeCell ref="AC42:AD42"/>
    <mergeCell ref="B76:D76"/>
    <mergeCell ref="F76:P76"/>
    <mergeCell ref="R76:AA76"/>
    <mergeCell ref="AC7:AD7"/>
    <mergeCell ref="B40:D40"/>
    <mergeCell ref="F40:P40"/>
    <mergeCell ref="R40:AA40"/>
    <mergeCell ref="G41:I41"/>
    <mergeCell ref="K41:O41"/>
    <mergeCell ref="R41:T41"/>
    <mergeCell ref="U41:Z41"/>
    <mergeCell ref="L7:N7"/>
    <mergeCell ref="W7:Y7"/>
    <mergeCell ref="B5:D5"/>
    <mergeCell ref="F5:P5"/>
    <mergeCell ref="R5:AA5"/>
    <mergeCell ref="G6:I6"/>
    <mergeCell ref="K6:O6"/>
    <mergeCell ref="R6:T6"/>
    <mergeCell ref="U6:Z6"/>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Q127"/>
  <sheetViews>
    <sheetView topLeftCell="A3" workbookViewId="0">
      <pane xSplit="1" ySplit="19" topLeftCell="B80" activePane="bottomRight" state="frozen"/>
      <selection activeCell="A3" sqref="A3"/>
      <selection pane="topRight" activeCell="B3" sqref="B3"/>
      <selection pane="bottomLeft" activeCell="A22" sqref="A22"/>
      <selection pane="bottomRight" activeCell="C88" sqref="C88"/>
    </sheetView>
  </sheetViews>
  <sheetFormatPr defaultColWidth="13.1328125" defaultRowHeight="14.25" x14ac:dyDescent="0.45"/>
  <cols>
    <col min="1" max="1" width="32.86328125" style="1" customWidth="1"/>
    <col min="2" max="2" width="14" style="1" customWidth="1"/>
    <col min="3" max="3" width="14.1328125" style="28" customWidth="1"/>
    <col min="4" max="4" width="15.265625" style="1" customWidth="1"/>
    <col min="5" max="5" width="5" style="1" bestFit="1" customWidth="1"/>
    <col min="6" max="6" width="12" style="1" bestFit="1" customWidth="1"/>
    <col min="7" max="7" width="13" style="1" bestFit="1" customWidth="1"/>
    <col min="8" max="8" width="11.59765625" style="1" bestFit="1" customWidth="1"/>
    <col min="9" max="9" width="12.86328125" style="1" customWidth="1"/>
    <col min="10" max="10" width="13.3984375" style="1" customWidth="1"/>
    <col min="11" max="11" width="14.265625" style="1" bestFit="1" customWidth="1"/>
    <col min="12" max="12" width="12.86328125" style="1" customWidth="1"/>
    <col min="13" max="13" width="11.59765625" style="1" customWidth="1"/>
    <col min="14" max="14" width="14.3984375" style="1" customWidth="1"/>
    <col min="15" max="15" width="13.265625" style="41" customWidth="1"/>
    <col min="16" max="16" width="14.73046875" style="1" customWidth="1"/>
    <col min="17" max="17" width="3" style="1" customWidth="1"/>
    <col min="18" max="18" width="9.3984375" style="1" bestFit="1" customWidth="1"/>
    <col min="19" max="19" width="12.3984375" style="26" customWidth="1"/>
    <col min="20" max="20" width="11.59765625" style="26" customWidth="1"/>
    <col min="21" max="21" width="10.1328125" style="26" customWidth="1"/>
    <col min="22" max="22" width="15.1328125" style="1" bestFit="1" customWidth="1"/>
    <col min="23" max="23" width="12.59765625" style="1" bestFit="1" customWidth="1"/>
    <col min="24" max="24" width="13.73046875" style="1" customWidth="1"/>
    <col min="25" max="25" width="12.59765625" style="1" bestFit="1" customWidth="1"/>
    <col min="26" max="26" width="13.73046875" style="1" customWidth="1"/>
    <col min="27" max="27" width="14.3984375" style="1" customWidth="1"/>
    <col min="28" max="28" width="9.73046875" style="1" customWidth="1"/>
    <col min="29" max="29" width="14" style="1" customWidth="1"/>
    <col min="30" max="30" width="12.73046875" style="1" customWidth="1"/>
    <col min="31" max="31" width="15.59765625" style="1" customWidth="1"/>
    <col min="32" max="32" width="14.1328125" style="1" customWidth="1"/>
    <col min="33" max="33" width="15.265625" style="1" bestFit="1" customWidth="1"/>
    <col min="34" max="34" width="41.59765625" style="1" bestFit="1" customWidth="1"/>
    <col min="35" max="35" width="13.265625" style="1" bestFit="1" customWidth="1"/>
    <col min="36" max="16384" width="13.1328125" style="1"/>
  </cols>
  <sheetData>
    <row r="1" spans="1:30" ht="13.5" customHeight="1" x14ac:dyDescent="0.45">
      <c r="A1" s="10" t="s">
        <v>326</v>
      </c>
      <c r="C1" s="1"/>
      <c r="O1" s="1"/>
      <c r="S1" s="1"/>
      <c r="T1" s="1"/>
      <c r="U1" s="1"/>
    </row>
    <row r="2" spans="1:30" ht="13.5" customHeight="1" x14ac:dyDescent="0.45">
      <c r="A2" s="1" t="s">
        <v>20</v>
      </c>
      <c r="C2" s="1"/>
      <c r="O2" s="1"/>
      <c r="S2" s="1"/>
      <c r="T2" s="1"/>
      <c r="U2" s="1"/>
    </row>
    <row r="3" spans="1:30" ht="13.5" customHeight="1" x14ac:dyDescent="0.45">
      <c r="A3" s="1" t="s">
        <v>325</v>
      </c>
      <c r="C3" s="1"/>
      <c r="O3" s="1"/>
      <c r="S3" s="1"/>
      <c r="T3" s="1"/>
      <c r="U3" s="1"/>
    </row>
    <row r="4" spans="1:30" ht="13.5" customHeight="1" x14ac:dyDescent="0.45">
      <c r="A4" s="1" t="s">
        <v>387</v>
      </c>
      <c r="C4" s="1"/>
      <c r="O4" s="1"/>
      <c r="S4" s="1"/>
      <c r="T4" s="1"/>
      <c r="U4" s="1"/>
    </row>
    <row r="5" spans="1:30" ht="13.5" customHeight="1" x14ac:dyDescent="0.45">
      <c r="A5" s="1" t="s">
        <v>99</v>
      </c>
      <c r="C5" s="1"/>
      <c r="O5" s="1"/>
      <c r="S5" s="1"/>
      <c r="T5" s="1"/>
      <c r="U5" s="1"/>
    </row>
    <row r="6" spans="1:30" ht="13.5" customHeight="1" x14ac:dyDescent="0.45">
      <c r="A6" s="47" t="s">
        <v>277</v>
      </c>
      <c r="C6" s="1"/>
      <c r="O6" s="1"/>
      <c r="S6" s="1"/>
      <c r="T6" s="1"/>
      <c r="U6" s="1"/>
    </row>
    <row r="7" spans="1:30" ht="13.5" customHeight="1" x14ac:dyDescent="0.45">
      <c r="A7" s="321" t="s">
        <v>100</v>
      </c>
      <c r="C7" s="1"/>
      <c r="O7" s="1"/>
      <c r="S7" s="1"/>
      <c r="T7" s="1"/>
      <c r="U7" s="1"/>
    </row>
    <row r="8" spans="1:30" s="29" customFormat="1" ht="14.65" thickBot="1" x14ac:dyDescent="0.5">
      <c r="A8" s="29" t="s">
        <v>101</v>
      </c>
      <c r="B8" s="29" t="s">
        <v>102</v>
      </c>
      <c r="C8" s="106" t="s">
        <v>103</v>
      </c>
      <c r="D8" s="29" t="s">
        <v>104</v>
      </c>
      <c r="E8" s="29" t="s">
        <v>105</v>
      </c>
      <c r="F8" s="29" t="s">
        <v>106</v>
      </c>
      <c r="G8" s="29" t="s">
        <v>107</v>
      </c>
      <c r="H8" s="29" t="s">
        <v>108</v>
      </c>
      <c r="I8" s="29" t="s">
        <v>109</v>
      </c>
      <c r="J8" s="29" t="s">
        <v>110</v>
      </c>
      <c r="K8" s="29" t="s">
        <v>111</v>
      </c>
      <c r="L8" s="29" t="s">
        <v>112</v>
      </c>
      <c r="M8" s="29" t="s">
        <v>113</v>
      </c>
      <c r="N8" s="29" t="s">
        <v>114</v>
      </c>
      <c r="O8" s="107" t="s">
        <v>115</v>
      </c>
      <c r="P8" s="29" t="s">
        <v>116</v>
      </c>
      <c r="Q8" s="29" t="s">
        <v>117</v>
      </c>
      <c r="R8" s="29" t="s">
        <v>118</v>
      </c>
      <c r="S8" s="108" t="s">
        <v>119</v>
      </c>
      <c r="T8" s="108" t="s">
        <v>120</v>
      </c>
      <c r="U8" s="108" t="s">
        <v>121</v>
      </c>
      <c r="V8" s="108" t="s">
        <v>122</v>
      </c>
      <c r="W8" s="108" t="s">
        <v>123</v>
      </c>
      <c r="X8" s="108" t="s">
        <v>124</v>
      </c>
      <c r="Y8" s="108" t="s">
        <v>125</v>
      </c>
      <c r="Z8" s="108" t="s">
        <v>126</v>
      </c>
      <c r="AA8" s="108" t="s">
        <v>127</v>
      </c>
      <c r="AB8" s="108" t="s">
        <v>128</v>
      </c>
      <c r="AC8" s="108" t="s">
        <v>129</v>
      </c>
      <c r="AD8" s="108" t="s">
        <v>130</v>
      </c>
    </row>
    <row r="9" spans="1:30" ht="14.65" thickBot="1" x14ac:dyDescent="0.5">
      <c r="A9" s="1014" t="s">
        <v>388</v>
      </c>
      <c r="B9" s="1015"/>
      <c r="C9" s="1015"/>
      <c r="D9" s="1015"/>
      <c r="E9" s="1015"/>
      <c r="F9" s="1015"/>
      <c r="G9" s="1015"/>
      <c r="H9" s="1015"/>
      <c r="I9" s="1015"/>
      <c r="J9" s="1015"/>
      <c r="K9" s="1015"/>
      <c r="L9" s="1015"/>
      <c r="M9" s="1015"/>
      <c r="N9" s="1015"/>
      <c r="O9" s="1015"/>
      <c r="P9" s="1015"/>
      <c r="Q9" s="1015"/>
      <c r="R9" s="1015"/>
      <c r="S9" s="1015"/>
      <c r="T9" s="1015"/>
      <c r="U9" s="1015"/>
      <c r="V9" s="1015"/>
      <c r="W9" s="1015"/>
      <c r="X9" s="1015"/>
      <c r="Y9" s="1015"/>
      <c r="Z9" s="1015"/>
      <c r="AA9" s="1015"/>
      <c r="AB9" s="1015"/>
      <c r="AC9" s="1015"/>
      <c r="AD9" s="1016"/>
    </row>
    <row r="10" spans="1:30" s="29" customFormat="1" ht="12.75" customHeight="1" x14ac:dyDescent="0.45">
      <c r="A10" s="109"/>
      <c r="B10" s="1017" t="s">
        <v>3</v>
      </c>
      <c r="C10" s="1018"/>
      <c r="D10" s="1019"/>
      <c r="E10" s="30"/>
      <c r="F10" s="1017" t="s">
        <v>131</v>
      </c>
      <c r="G10" s="1018"/>
      <c r="H10" s="1018"/>
      <c r="I10" s="1018"/>
      <c r="J10" s="1018"/>
      <c r="K10" s="1018"/>
      <c r="L10" s="1018"/>
      <c r="M10" s="1018"/>
      <c r="N10" s="1018"/>
      <c r="O10" s="1018"/>
      <c r="P10" s="1019"/>
      <c r="Q10" s="110"/>
      <c r="R10" s="1017" t="s">
        <v>14</v>
      </c>
      <c r="S10" s="1018"/>
      <c r="T10" s="1018"/>
      <c r="U10" s="1018"/>
      <c r="V10" s="1018"/>
      <c r="W10" s="1018"/>
      <c r="X10" s="1018"/>
      <c r="Y10" s="1018"/>
      <c r="Z10" s="1018"/>
      <c r="AA10" s="1019"/>
      <c r="AB10" s="109"/>
      <c r="AC10" s="111"/>
      <c r="AD10" s="112"/>
    </row>
    <row r="11" spans="1:30" s="29" customFormat="1" ht="12.75" customHeight="1" x14ac:dyDescent="0.45">
      <c r="A11" s="109"/>
      <c r="B11" s="109"/>
      <c r="C11" s="113"/>
      <c r="D11" s="114"/>
      <c r="E11" s="109"/>
      <c r="F11" s="1020" t="s">
        <v>22</v>
      </c>
      <c r="G11" s="1021"/>
      <c r="H11" s="1021"/>
      <c r="I11" s="1023"/>
      <c r="J11" s="1020" t="s">
        <v>12</v>
      </c>
      <c r="K11" s="1021"/>
      <c r="L11" s="1021"/>
      <c r="M11" s="1021"/>
      <c r="N11" s="1021"/>
      <c r="O11" s="1023"/>
      <c r="P11" s="30"/>
      <c r="Q11" s="109"/>
      <c r="R11" s="1020" t="s">
        <v>22</v>
      </c>
      <c r="S11" s="1021"/>
      <c r="T11" s="1023"/>
      <c r="U11" s="1020" t="s">
        <v>12</v>
      </c>
      <c r="V11" s="1021"/>
      <c r="W11" s="1022"/>
      <c r="X11" s="1022"/>
      <c r="Y11" s="1022"/>
      <c r="Z11" s="1021"/>
      <c r="AA11" s="115"/>
      <c r="AB11" s="112"/>
      <c r="AC11" s="112"/>
      <c r="AD11" s="112" t="s">
        <v>132</v>
      </c>
    </row>
    <row r="12" spans="1:30" s="121" customFormat="1" x14ac:dyDescent="0.45">
      <c r="A12" s="116"/>
      <c r="B12" s="109" t="s">
        <v>24</v>
      </c>
      <c r="C12" s="117" t="s">
        <v>26</v>
      </c>
      <c r="D12" s="118"/>
      <c r="E12" s="116"/>
      <c r="F12" s="109" t="s">
        <v>28</v>
      </c>
      <c r="G12" s="109" t="s">
        <v>29</v>
      </c>
      <c r="H12" s="116"/>
      <c r="I12" s="116"/>
      <c r="J12" s="109" t="s">
        <v>28</v>
      </c>
      <c r="K12" s="119"/>
      <c r="L12" s="1024" t="s">
        <v>133</v>
      </c>
      <c r="M12" s="1025"/>
      <c r="N12" s="1026"/>
      <c r="O12" s="120"/>
      <c r="P12" s="109" t="s">
        <v>10</v>
      </c>
      <c r="Q12" s="116"/>
      <c r="R12" s="109" t="s">
        <v>28</v>
      </c>
      <c r="S12" s="109" t="s">
        <v>29</v>
      </c>
      <c r="T12" s="116"/>
      <c r="U12" s="109" t="s">
        <v>28</v>
      </c>
      <c r="V12" s="116"/>
      <c r="W12" s="1024" t="s">
        <v>133</v>
      </c>
      <c r="X12" s="1025"/>
      <c r="Y12" s="1026"/>
      <c r="Z12" s="31"/>
      <c r="AA12" s="112" t="s">
        <v>10</v>
      </c>
      <c r="AB12" s="109" t="s">
        <v>16</v>
      </c>
      <c r="AC12" s="112" t="s">
        <v>10</v>
      </c>
      <c r="AD12" s="112" t="s">
        <v>134</v>
      </c>
    </row>
    <row r="13" spans="1:30" s="121" customFormat="1" x14ac:dyDescent="0.45">
      <c r="A13" s="116" t="s">
        <v>11</v>
      </c>
      <c r="B13" s="116" t="s">
        <v>25</v>
      </c>
      <c r="C13" s="122" t="s">
        <v>7</v>
      </c>
      <c r="D13" s="118" t="s">
        <v>27</v>
      </c>
      <c r="E13" s="109"/>
      <c r="F13" s="116" t="s">
        <v>25</v>
      </c>
      <c r="G13" s="116" t="s">
        <v>7</v>
      </c>
      <c r="H13" s="116" t="s">
        <v>23</v>
      </c>
      <c r="I13" s="116" t="s">
        <v>10</v>
      </c>
      <c r="J13" s="116" t="s">
        <v>25</v>
      </c>
      <c r="K13" s="116" t="s">
        <v>6</v>
      </c>
      <c r="L13" s="116" t="s">
        <v>135</v>
      </c>
      <c r="M13" s="116" t="s">
        <v>136</v>
      </c>
      <c r="N13" s="116" t="s">
        <v>10</v>
      </c>
      <c r="O13" s="116" t="s">
        <v>8</v>
      </c>
      <c r="P13" s="116" t="s">
        <v>4</v>
      </c>
      <c r="Q13" s="109"/>
      <c r="R13" s="116" t="s">
        <v>25</v>
      </c>
      <c r="S13" s="116" t="s">
        <v>7</v>
      </c>
      <c r="T13" s="116" t="s">
        <v>10</v>
      </c>
      <c r="U13" s="116" t="s">
        <v>25</v>
      </c>
      <c r="V13" s="116" t="s">
        <v>6</v>
      </c>
      <c r="W13" s="116" t="s">
        <v>135</v>
      </c>
      <c r="X13" s="116" t="s">
        <v>136</v>
      </c>
      <c r="Y13" s="116" t="s">
        <v>10</v>
      </c>
      <c r="Z13" s="116" t="s">
        <v>8</v>
      </c>
      <c r="AA13" s="118" t="s">
        <v>15</v>
      </c>
      <c r="AB13" s="116" t="s">
        <v>0</v>
      </c>
      <c r="AC13" s="118" t="s">
        <v>11</v>
      </c>
      <c r="AD13" s="118" t="s">
        <v>137</v>
      </c>
    </row>
    <row r="14" spans="1:30" x14ac:dyDescent="0.45">
      <c r="A14" s="123" t="s">
        <v>138</v>
      </c>
      <c r="B14" s="116" t="s">
        <v>21</v>
      </c>
      <c r="C14" s="122" t="s">
        <v>21</v>
      </c>
      <c r="D14" s="112" t="s">
        <v>21</v>
      </c>
      <c r="E14" s="123"/>
      <c r="F14" s="109" t="s">
        <v>21</v>
      </c>
      <c r="G14" s="109" t="s">
        <v>21</v>
      </c>
      <c r="H14" s="109" t="s">
        <v>21</v>
      </c>
      <c r="I14" s="109" t="s">
        <v>21</v>
      </c>
      <c r="J14" s="109" t="s">
        <v>21</v>
      </c>
      <c r="K14" s="109" t="s">
        <v>21</v>
      </c>
      <c r="L14" s="109" t="s">
        <v>21</v>
      </c>
      <c r="M14" s="109" t="s">
        <v>21</v>
      </c>
      <c r="N14" s="109" t="s">
        <v>21</v>
      </c>
      <c r="O14" s="109" t="s">
        <v>21</v>
      </c>
      <c r="P14" s="109" t="s">
        <v>21</v>
      </c>
      <c r="Q14" s="124"/>
      <c r="R14" s="109" t="s">
        <v>21</v>
      </c>
      <c r="S14" s="109" t="s">
        <v>21</v>
      </c>
      <c r="T14" s="109" t="s">
        <v>21</v>
      </c>
      <c r="U14" s="109" t="s">
        <v>21</v>
      </c>
      <c r="V14" s="109" t="s">
        <v>21</v>
      </c>
      <c r="W14" s="109" t="s">
        <v>21</v>
      </c>
      <c r="X14" s="109" t="s">
        <v>21</v>
      </c>
      <c r="Y14" s="109" t="s">
        <v>21</v>
      </c>
      <c r="Z14" s="109" t="s">
        <v>21</v>
      </c>
      <c r="AA14" s="109" t="s">
        <v>21</v>
      </c>
      <c r="AB14" s="109" t="s">
        <v>21</v>
      </c>
      <c r="AC14" s="112" t="s">
        <v>21</v>
      </c>
      <c r="AD14" s="112" t="s">
        <v>21</v>
      </c>
    </row>
    <row r="15" spans="1:30" x14ac:dyDescent="0.45">
      <c r="A15" s="123" t="s">
        <v>139</v>
      </c>
      <c r="B15" s="116"/>
      <c r="C15" s="122"/>
      <c r="D15" s="112" t="s">
        <v>140</v>
      </c>
      <c r="E15" s="123"/>
      <c r="F15" s="109"/>
      <c r="G15" s="109"/>
      <c r="H15" s="109"/>
      <c r="I15" s="109" t="s">
        <v>141</v>
      </c>
      <c r="J15" s="109"/>
      <c r="K15" s="109"/>
      <c r="L15" s="109"/>
      <c r="M15" s="109"/>
      <c r="N15" s="109" t="s">
        <v>142</v>
      </c>
      <c r="O15" s="109" t="s">
        <v>143</v>
      </c>
      <c r="P15" s="109" t="s">
        <v>144</v>
      </c>
      <c r="Q15" s="124"/>
      <c r="R15" s="109"/>
      <c r="S15" s="109"/>
      <c r="T15" s="109" t="s">
        <v>145</v>
      </c>
      <c r="U15" s="109"/>
      <c r="V15" s="109"/>
      <c r="W15" s="109"/>
      <c r="X15" s="109"/>
      <c r="Y15" s="109" t="s">
        <v>146</v>
      </c>
      <c r="Z15" s="109" t="s">
        <v>147</v>
      </c>
      <c r="AA15" s="109" t="s">
        <v>148</v>
      </c>
      <c r="AB15" s="109"/>
      <c r="AC15" s="109" t="s">
        <v>149</v>
      </c>
      <c r="AD15" s="125"/>
    </row>
    <row r="16" spans="1:30" s="32" customFormat="1" x14ac:dyDescent="0.45">
      <c r="A16" s="126" t="s">
        <v>30</v>
      </c>
      <c r="B16" s="127"/>
      <c r="C16" s="128"/>
      <c r="D16" s="129"/>
      <c r="E16" s="127"/>
      <c r="F16" s="127"/>
      <c r="G16" s="127"/>
      <c r="H16" s="127"/>
      <c r="I16" s="127"/>
      <c r="J16" s="127"/>
      <c r="K16" s="127"/>
      <c r="L16" s="127"/>
      <c r="M16" s="127"/>
      <c r="N16" s="127"/>
      <c r="O16" s="130"/>
      <c r="P16" s="127"/>
      <c r="Q16" s="127"/>
      <c r="R16" s="127"/>
      <c r="S16" s="127"/>
      <c r="T16" s="127"/>
      <c r="U16" s="127"/>
      <c r="V16" s="127"/>
      <c r="W16" s="127"/>
      <c r="X16" s="127"/>
      <c r="Y16" s="127"/>
      <c r="Z16" s="127"/>
      <c r="AA16" s="127"/>
      <c r="AB16" s="127"/>
      <c r="AC16" s="127"/>
      <c r="AD16" s="129"/>
    </row>
    <row r="17" spans="1:251" s="32" customFormat="1" x14ac:dyDescent="0.45">
      <c r="A17" s="127"/>
      <c r="B17" s="127"/>
      <c r="C17" s="127"/>
      <c r="D17" s="129"/>
      <c r="E17" s="127"/>
      <c r="F17" s="127"/>
      <c r="G17" s="127"/>
      <c r="H17" s="127"/>
      <c r="I17" s="127"/>
      <c r="J17" s="127"/>
      <c r="K17" s="127"/>
      <c r="L17" s="127"/>
      <c r="M17" s="127"/>
      <c r="N17" s="127"/>
      <c r="O17" s="130"/>
      <c r="P17" s="127"/>
      <c r="Q17" s="127"/>
      <c r="R17" s="127"/>
      <c r="S17" s="127"/>
      <c r="T17" s="127"/>
      <c r="U17" s="127"/>
      <c r="V17" s="127"/>
      <c r="W17" s="127"/>
      <c r="X17" s="127"/>
      <c r="Y17" s="127"/>
      <c r="Z17" s="127"/>
      <c r="AA17" s="127"/>
      <c r="AB17" s="127"/>
      <c r="AC17" s="127"/>
      <c r="AD17" s="129"/>
    </row>
    <row r="18" spans="1:251" s="32" customFormat="1" x14ac:dyDescent="0.45">
      <c r="A18" s="127" t="s">
        <v>589</v>
      </c>
      <c r="B18" s="127">
        <v>0</v>
      </c>
      <c r="C18" s="127">
        <v>0</v>
      </c>
      <c r="D18" s="131">
        <f>+C18+B18</f>
        <v>0</v>
      </c>
      <c r="E18" s="127"/>
      <c r="F18" s="127">
        <v>0</v>
      </c>
      <c r="G18" s="127">
        <v>0</v>
      </c>
      <c r="H18" s="127">
        <v>0</v>
      </c>
      <c r="I18" s="131">
        <f>+F18+G18+H18</f>
        <v>0</v>
      </c>
      <c r="J18" s="127">
        <v>0</v>
      </c>
      <c r="K18" s="127">
        <v>0</v>
      </c>
      <c r="L18" s="127">
        <v>0</v>
      </c>
      <c r="M18" s="127">
        <v>0</v>
      </c>
      <c r="N18" s="131">
        <f>+L18+M18</f>
        <v>0</v>
      </c>
      <c r="O18" s="131">
        <f>+J18+K18+N18</f>
        <v>0</v>
      </c>
      <c r="P18" s="131">
        <f>+I18+O18</f>
        <v>0</v>
      </c>
      <c r="Q18" s="127"/>
      <c r="R18" s="127">
        <v>0</v>
      </c>
      <c r="S18" s="127">
        <v>0</v>
      </c>
      <c r="T18" s="131">
        <f>+S18+R18</f>
        <v>0</v>
      </c>
      <c r="U18" s="127">
        <v>64005</v>
      </c>
      <c r="V18" s="127">
        <v>42587678</v>
      </c>
      <c r="W18" s="127">
        <v>6408791</v>
      </c>
      <c r="X18" s="127">
        <v>2823956</v>
      </c>
      <c r="Y18" s="132">
        <f>+W18+X18</f>
        <v>9232747</v>
      </c>
      <c r="Z18" s="133">
        <f>+U18+V18+Y18</f>
        <v>51884430</v>
      </c>
      <c r="AA18" s="132">
        <f>+T18+Z18</f>
        <v>51884430</v>
      </c>
      <c r="AB18" s="127"/>
      <c r="AC18" s="132">
        <f>D18+P18+AA18+AB18</f>
        <v>51884430</v>
      </c>
      <c r="AD18" s="129"/>
    </row>
    <row r="19" spans="1:251" s="32" customFormat="1" x14ac:dyDescent="0.45">
      <c r="A19" s="127" t="s">
        <v>285</v>
      </c>
      <c r="B19" s="127">
        <v>0</v>
      </c>
      <c r="C19" s="127">
        <v>0</v>
      </c>
      <c r="D19" s="131">
        <f>+C19+B19</f>
        <v>0</v>
      </c>
      <c r="E19" s="127"/>
      <c r="F19" s="127">
        <v>0</v>
      </c>
      <c r="G19" s="127">
        <v>0</v>
      </c>
      <c r="H19" s="127">
        <v>0</v>
      </c>
      <c r="I19" s="131">
        <f>+F19+G19+H19</f>
        <v>0</v>
      </c>
      <c r="J19" s="127">
        <v>0</v>
      </c>
      <c r="K19" s="127">
        <v>0</v>
      </c>
      <c r="L19" s="127">
        <v>0</v>
      </c>
      <c r="M19" s="127">
        <v>0</v>
      </c>
      <c r="N19" s="131">
        <f>+L19+M19</f>
        <v>0</v>
      </c>
      <c r="O19" s="131">
        <f>+J19+K19+N19</f>
        <v>0</v>
      </c>
      <c r="P19" s="131">
        <f>+I19+O19</f>
        <v>0</v>
      </c>
      <c r="Q19" s="127"/>
      <c r="R19" s="127">
        <v>0</v>
      </c>
      <c r="S19" s="127">
        <v>0</v>
      </c>
      <c r="T19" s="131">
        <f>+S19+R19</f>
        <v>0</v>
      </c>
      <c r="U19" s="229"/>
      <c r="V19" s="229"/>
      <c r="W19" s="229"/>
      <c r="X19" s="229"/>
      <c r="Y19" s="231">
        <f>+W19+X19</f>
        <v>0</v>
      </c>
      <c r="Z19" s="230">
        <f>+U19+V19+Y19</f>
        <v>0</v>
      </c>
      <c r="AA19" s="231">
        <f>+T19+Z19</f>
        <v>0</v>
      </c>
      <c r="AB19" s="127"/>
      <c r="AC19" s="231">
        <f>D19+P19+AA19+AB19</f>
        <v>0</v>
      </c>
      <c r="AD19" s="129"/>
    </row>
    <row r="20" spans="1:251" s="32" customFormat="1" x14ac:dyDescent="0.45">
      <c r="A20" s="33"/>
      <c r="B20" s="134"/>
      <c r="C20" s="135"/>
      <c r="D20" s="126"/>
      <c r="E20" s="134"/>
      <c r="F20" s="134"/>
      <c r="G20" s="134"/>
      <c r="H20" s="134"/>
      <c r="I20" s="134"/>
      <c r="J20" s="134"/>
      <c r="K20" s="134"/>
      <c r="L20" s="134"/>
      <c r="M20" s="134"/>
      <c r="N20" s="134"/>
      <c r="O20" s="136"/>
      <c r="P20" s="134"/>
      <c r="Q20" s="134"/>
      <c r="R20" s="134"/>
      <c r="S20" s="134"/>
      <c r="T20" s="134"/>
      <c r="U20" s="134"/>
      <c r="V20" s="134"/>
      <c r="W20" s="134"/>
      <c r="X20" s="134"/>
      <c r="Y20" s="134"/>
      <c r="Z20" s="134"/>
      <c r="AA20" s="134"/>
      <c r="AB20" s="134"/>
      <c r="AC20" s="134"/>
      <c r="AD20" s="126"/>
    </row>
    <row r="21" spans="1:251" s="32" customFormat="1" x14ac:dyDescent="0.45">
      <c r="A21" s="137" t="s">
        <v>279</v>
      </c>
      <c r="B21" s="138"/>
      <c r="C21" s="139"/>
      <c r="D21" s="139">
        <f>+D18</f>
        <v>0</v>
      </c>
      <c r="E21" s="138"/>
      <c r="F21" s="138"/>
      <c r="G21" s="138"/>
      <c r="H21" s="138"/>
      <c r="I21" s="138">
        <f>+I18</f>
        <v>0</v>
      </c>
      <c r="J21" s="138"/>
      <c r="K21" s="138"/>
      <c r="L21" s="138"/>
      <c r="M21" s="138"/>
      <c r="N21" s="138">
        <f>+N18</f>
        <v>0</v>
      </c>
      <c r="O21" s="138">
        <f>+O18</f>
        <v>0</v>
      </c>
      <c r="P21" s="138">
        <f>+P18</f>
        <v>0</v>
      </c>
      <c r="Q21" s="138"/>
      <c r="R21" s="138"/>
      <c r="S21" s="138"/>
      <c r="T21" s="138">
        <f>+T18</f>
        <v>0</v>
      </c>
      <c r="U21" s="138"/>
      <c r="V21" s="138"/>
      <c r="W21" s="138"/>
      <c r="X21" s="138"/>
      <c r="Y21" s="138">
        <f>+Y19+Y18</f>
        <v>9232747</v>
      </c>
      <c r="Z21" s="138">
        <f>+Z19+Z18</f>
        <v>51884430</v>
      </c>
      <c r="AA21" s="138">
        <f>+AA19+AA18</f>
        <v>51884430</v>
      </c>
      <c r="AB21" s="138"/>
      <c r="AC21" s="138">
        <f>+AC19+AC18</f>
        <v>51884430</v>
      </c>
      <c r="AD21" s="140"/>
    </row>
    <row r="22" spans="1:251" s="32" customFormat="1" x14ac:dyDescent="0.45">
      <c r="A22" s="127"/>
      <c r="B22" s="127"/>
      <c r="C22" s="128"/>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9"/>
    </row>
    <row r="23" spans="1:251" s="32" customFormat="1" x14ac:dyDescent="0.45">
      <c r="A23" s="126" t="s">
        <v>150</v>
      </c>
      <c r="B23" s="141"/>
      <c r="C23" s="128"/>
      <c r="D23" s="127"/>
      <c r="E23" s="127"/>
      <c r="F23" s="127"/>
      <c r="G23" s="127"/>
      <c r="H23" s="127"/>
      <c r="I23" s="127"/>
      <c r="J23" s="127"/>
      <c r="K23" s="127"/>
      <c r="L23" s="127"/>
      <c r="M23" s="127"/>
      <c r="N23" s="127"/>
      <c r="O23" s="127"/>
      <c r="P23" s="127"/>
      <c r="Q23" s="127"/>
      <c r="R23" s="127"/>
      <c r="S23" s="127"/>
      <c r="T23" s="127"/>
      <c r="U23" s="127"/>
      <c r="V23" s="127"/>
      <c r="W23" s="127"/>
      <c r="X23" s="129"/>
      <c r="Y23" s="34"/>
      <c r="Z23" s="129"/>
      <c r="AA23" s="34"/>
      <c r="AB23" s="129"/>
      <c r="AC23" s="34"/>
      <c r="AD23" s="129"/>
    </row>
    <row r="24" spans="1:251" s="33" customFormat="1" x14ac:dyDescent="0.45">
      <c r="A24" s="247" t="s">
        <v>31</v>
      </c>
      <c r="B24" s="671">
        <v>246497.56</v>
      </c>
      <c r="C24" s="671">
        <v>1746784.4699999995</v>
      </c>
      <c r="D24" s="671">
        <f>+C24+B24</f>
        <v>1993282.0299999996</v>
      </c>
      <c r="E24" s="671"/>
      <c r="F24" s="671">
        <v>24398.399999999994</v>
      </c>
      <c r="G24" s="671">
        <v>194182.54342981864</v>
      </c>
      <c r="H24" s="671">
        <v>34252.94</v>
      </c>
      <c r="I24" s="671">
        <f>+F24+G24+H24</f>
        <v>252833.88342981864</v>
      </c>
      <c r="J24" s="671">
        <v>25816.320000000003</v>
      </c>
      <c r="K24" s="671">
        <v>349141.67657018139</v>
      </c>
      <c r="L24" s="671">
        <v>92480.679999999978</v>
      </c>
      <c r="M24" s="671">
        <v>0</v>
      </c>
      <c r="N24" s="671">
        <f>+L24+M24</f>
        <v>92480.679999999978</v>
      </c>
      <c r="O24" s="671">
        <f>+J24+K24+N24</f>
        <v>467438.67657018139</v>
      </c>
      <c r="P24" s="671">
        <f>+I24+O24</f>
        <v>720272.56</v>
      </c>
      <c r="Q24" s="671"/>
      <c r="R24" s="671">
        <v>0</v>
      </c>
      <c r="S24" s="671">
        <v>0</v>
      </c>
      <c r="T24" s="671">
        <f>+S24+R24</f>
        <v>0</v>
      </c>
      <c r="U24" s="671">
        <v>0</v>
      </c>
      <c r="V24" s="671">
        <v>0</v>
      </c>
      <c r="W24" s="671">
        <v>0</v>
      </c>
      <c r="X24" s="672">
        <v>0</v>
      </c>
      <c r="Y24" s="673">
        <f>+W24+X24</f>
        <v>0</v>
      </c>
      <c r="Z24" s="672">
        <f>+U24+V24+Y24</f>
        <v>0</v>
      </c>
      <c r="AA24" s="673">
        <f>+T24+Z24</f>
        <v>0</v>
      </c>
      <c r="AB24" s="672">
        <v>0</v>
      </c>
      <c r="AC24" s="673">
        <f>D24+P24+AA24+AB24</f>
        <v>2713554.59</v>
      </c>
      <c r="AD24" s="14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c r="BP24" s="32"/>
      <c r="BQ24" s="32"/>
      <c r="BR24" s="32"/>
      <c r="BS24" s="32"/>
      <c r="BT24" s="32"/>
      <c r="BU24" s="32"/>
      <c r="BV24" s="32"/>
      <c r="BW24" s="32"/>
      <c r="BX24" s="32"/>
      <c r="BY24" s="32"/>
      <c r="BZ24" s="32"/>
      <c r="CA24" s="32"/>
      <c r="CB24" s="32"/>
      <c r="CC24" s="32"/>
      <c r="CD24" s="32"/>
      <c r="CE24" s="32"/>
      <c r="CF24" s="32"/>
      <c r="CG24" s="32"/>
      <c r="CH24" s="32"/>
      <c r="CI24" s="32"/>
      <c r="CJ24" s="32"/>
      <c r="CK24" s="32"/>
      <c r="CL24" s="32"/>
      <c r="CM24" s="32"/>
      <c r="CN24" s="32"/>
      <c r="CO24" s="32"/>
      <c r="CP24" s="32"/>
      <c r="CQ24" s="32"/>
      <c r="CR24" s="32"/>
      <c r="CS24" s="32"/>
      <c r="CT24" s="32"/>
      <c r="CU24" s="32"/>
      <c r="CV24" s="32"/>
      <c r="CW24" s="32"/>
      <c r="CX24" s="32"/>
      <c r="CY24" s="32"/>
      <c r="CZ24" s="32"/>
      <c r="DA24" s="32"/>
      <c r="DB24" s="32"/>
      <c r="DC24" s="32"/>
      <c r="DD24" s="32"/>
      <c r="DE24" s="32"/>
      <c r="DF24" s="32"/>
      <c r="DG24" s="32"/>
      <c r="DH24" s="32"/>
      <c r="DI24" s="32"/>
      <c r="DJ24" s="32"/>
      <c r="DK24" s="32"/>
      <c r="DL24" s="32"/>
      <c r="DM24" s="32"/>
      <c r="DN24" s="32"/>
      <c r="DO24" s="32"/>
      <c r="DP24" s="32"/>
      <c r="DQ24" s="32"/>
      <c r="DR24" s="32"/>
      <c r="DS24" s="32"/>
      <c r="DT24" s="32"/>
      <c r="DU24" s="32"/>
      <c r="DV24" s="32"/>
      <c r="DW24" s="32"/>
      <c r="DX24" s="32"/>
      <c r="DY24" s="32"/>
      <c r="DZ24" s="32"/>
      <c r="EA24" s="32"/>
      <c r="EB24" s="32"/>
      <c r="EC24" s="32"/>
      <c r="ED24" s="32"/>
      <c r="EE24" s="32"/>
      <c r="EF24" s="32"/>
      <c r="EG24" s="32"/>
      <c r="EH24" s="32"/>
      <c r="EI24" s="32"/>
      <c r="EJ24" s="32"/>
      <c r="EK24" s="32"/>
      <c r="EL24" s="32"/>
      <c r="EM24" s="32"/>
      <c r="EN24" s="32"/>
      <c r="EO24" s="32"/>
      <c r="EP24" s="32"/>
      <c r="EQ24" s="32"/>
      <c r="ER24" s="32"/>
      <c r="ES24" s="32"/>
      <c r="ET24" s="32"/>
      <c r="EU24" s="32"/>
      <c r="EV24" s="32"/>
      <c r="EW24" s="32"/>
      <c r="EX24" s="32"/>
      <c r="EY24" s="32"/>
      <c r="EZ24" s="32"/>
      <c r="FA24" s="32"/>
      <c r="FB24" s="32"/>
      <c r="FC24" s="32"/>
      <c r="FD24" s="32"/>
      <c r="FE24" s="32"/>
      <c r="FF24" s="32"/>
      <c r="FG24" s="32"/>
      <c r="FH24" s="32"/>
      <c r="FI24" s="32"/>
      <c r="FJ24" s="32"/>
      <c r="FK24" s="32"/>
      <c r="FL24" s="32"/>
      <c r="FM24" s="32"/>
      <c r="FN24" s="32"/>
      <c r="FO24" s="32"/>
      <c r="FP24" s="32"/>
      <c r="FQ24" s="32"/>
      <c r="FR24" s="32"/>
      <c r="FS24" s="32"/>
      <c r="FT24" s="32"/>
      <c r="FU24" s="32"/>
      <c r="FV24" s="32"/>
      <c r="FW24" s="32"/>
      <c r="FX24" s="32"/>
      <c r="FY24" s="32"/>
      <c r="FZ24" s="32"/>
      <c r="GA24" s="32"/>
      <c r="GB24" s="32"/>
      <c r="GC24" s="32"/>
      <c r="GD24" s="32"/>
      <c r="GE24" s="32"/>
      <c r="GF24" s="32"/>
      <c r="GG24" s="32"/>
      <c r="GH24" s="32"/>
      <c r="GI24" s="32"/>
      <c r="GJ24" s="32"/>
      <c r="GK24" s="32"/>
      <c r="GL24" s="32"/>
      <c r="GM24" s="32"/>
      <c r="GN24" s="32"/>
      <c r="GO24" s="32"/>
      <c r="GP24" s="32"/>
      <c r="GQ24" s="32"/>
      <c r="GR24" s="32"/>
      <c r="GS24" s="32"/>
      <c r="GT24" s="32"/>
      <c r="GU24" s="32"/>
      <c r="GV24" s="32"/>
      <c r="GW24" s="32"/>
      <c r="GX24" s="32"/>
      <c r="GY24" s="32"/>
      <c r="GZ24" s="32"/>
      <c r="HA24" s="32"/>
      <c r="HB24" s="32"/>
      <c r="HC24" s="32"/>
      <c r="HD24" s="32"/>
      <c r="HE24" s="32"/>
      <c r="HF24" s="32"/>
      <c r="HG24" s="32"/>
      <c r="HH24" s="32"/>
      <c r="HI24" s="32"/>
      <c r="HJ24" s="32"/>
      <c r="HK24" s="32"/>
      <c r="HL24" s="32"/>
      <c r="HM24" s="32"/>
      <c r="HN24" s="32"/>
      <c r="HO24" s="32"/>
      <c r="HP24" s="32"/>
      <c r="HQ24" s="32"/>
      <c r="HR24" s="32"/>
      <c r="HS24" s="32"/>
      <c r="HT24" s="32"/>
      <c r="HU24" s="32"/>
      <c r="HV24" s="32"/>
      <c r="HW24" s="32"/>
      <c r="HX24" s="32"/>
      <c r="HY24" s="32"/>
      <c r="HZ24" s="32"/>
      <c r="IA24" s="32"/>
      <c r="IB24" s="32"/>
      <c r="IC24" s="32"/>
      <c r="ID24" s="32"/>
      <c r="IE24" s="32"/>
      <c r="IF24" s="32"/>
      <c r="IG24" s="32"/>
      <c r="IH24" s="32"/>
      <c r="II24" s="32"/>
      <c r="IJ24" s="32"/>
      <c r="IK24" s="32"/>
      <c r="IL24" s="32"/>
      <c r="IM24" s="32"/>
      <c r="IN24" s="32"/>
      <c r="IO24" s="32"/>
      <c r="IP24" s="32"/>
      <c r="IQ24" s="32"/>
    </row>
    <row r="25" spans="1:251" s="32" customFormat="1" x14ac:dyDescent="0.45">
      <c r="A25" s="247" t="s">
        <v>32</v>
      </c>
      <c r="B25" s="671">
        <v>171411.75</v>
      </c>
      <c r="C25" s="671">
        <v>2022161.0499999998</v>
      </c>
      <c r="D25" s="671">
        <f>+C25+B25</f>
        <v>2193572.7999999998</v>
      </c>
      <c r="E25" s="671"/>
      <c r="F25" s="671">
        <v>31972.980000000003</v>
      </c>
      <c r="G25" s="671">
        <v>348495.62</v>
      </c>
      <c r="H25" s="671">
        <v>26797.32</v>
      </c>
      <c r="I25" s="671">
        <f>+F25+G25+H25</f>
        <v>407265.92</v>
      </c>
      <c r="J25" s="671">
        <v>13207.68</v>
      </c>
      <c r="K25" s="671">
        <v>1072277.25</v>
      </c>
      <c r="L25" s="671">
        <v>297697.58999999997</v>
      </c>
      <c r="M25" s="671">
        <v>0</v>
      </c>
      <c r="N25" s="671">
        <f>+L25+M25</f>
        <v>297697.58999999997</v>
      </c>
      <c r="O25" s="671">
        <f>+J25+K25+N25</f>
        <v>1383182.52</v>
      </c>
      <c r="P25" s="671">
        <f>+I25+O25</f>
        <v>1790448.44</v>
      </c>
      <c r="Q25" s="671"/>
      <c r="R25" s="671">
        <v>0</v>
      </c>
      <c r="S25" s="671">
        <v>0</v>
      </c>
      <c r="T25" s="671">
        <f>+S25+R25</f>
        <v>0</v>
      </c>
      <c r="U25" s="671">
        <v>0</v>
      </c>
      <c r="V25" s="671">
        <v>0</v>
      </c>
      <c r="W25" s="671">
        <v>0</v>
      </c>
      <c r="X25" s="672">
        <v>0</v>
      </c>
      <c r="Y25" s="673">
        <f>+W25+X25</f>
        <v>0</v>
      </c>
      <c r="Z25" s="672">
        <f>+U25+V25+Y25</f>
        <v>0</v>
      </c>
      <c r="AA25" s="673">
        <f>+T25+Z25</f>
        <v>0</v>
      </c>
      <c r="AB25" s="672">
        <v>0</v>
      </c>
      <c r="AC25" s="673">
        <f>D25+P25+AA25+AB25</f>
        <v>3984021.2399999998</v>
      </c>
      <c r="AD25" s="129"/>
      <c r="AF25" s="1"/>
    </row>
    <row r="26" spans="1:251" s="33" customFormat="1" x14ac:dyDescent="0.45">
      <c r="A26" s="247" t="s">
        <v>33</v>
      </c>
      <c r="B26" s="671">
        <v>39709169</v>
      </c>
      <c r="C26" s="671">
        <v>246947115</v>
      </c>
      <c r="D26" s="671">
        <f>+C26+B26</f>
        <v>286656284</v>
      </c>
      <c r="E26" s="671"/>
      <c r="F26" s="671">
        <v>6055572</v>
      </c>
      <c r="G26" s="671">
        <v>34639961</v>
      </c>
      <c r="H26" s="671">
        <v>4506950</v>
      </c>
      <c r="I26" s="671">
        <f>+F26+G26+H26</f>
        <v>45202483</v>
      </c>
      <c r="J26" s="671">
        <v>7481796</v>
      </c>
      <c r="K26" s="671">
        <v>119141151</v>
      </c>
      <c r="L26" s="671">
        <v>61645883</v>
      </c>
      <c r="M26" s="671">
        <v>9056269</v>
      </c>
      <c r="N26" s="671">
        <f>+L26+M26</f>
        <v>70702152</v>
      </c>
      <c r="O26" s="671">
        <f>+J26+K26+N26</f>
        <v>197325099</v>
      </c>
      <c r="P26" s="671">
        <f>+I26+O26</f>
        <v>242527582</v>
      </c>
      <c r="Q26" s="671"/>
      <c r="R26" s="671">
        <v>0</v>
      </c>
      <c r="S26" s="671">
        <v>0</v>
      </c>
      <c r="T26" s="671">
        <f>+S26+R26</f>
        <v>0</v>
      </c>
      <c r="U26" s="671">
        <v>382773</v>
      </c>
      <c r="V26" s="671">
        <v>47424450</v>
      </c>
      <c r="W26" s="671">
        <v>19804569</v>
      </c>
      <c r="X26" s="672">
        <v>4337415</v>
      </c>
      <c r="Y26" s="673">
        <f>+W26+X26</f>
        <v>24141984</v>
      </c>
      <c r="Z26" s="672">
        <f>+U26+V26+Y26</f>
        <v>71949207</v>
      </c>
      <c r="AA26" s="673">
        <f>+T26+Z26</f>
        <v>71949207</v>
      </c>
      <c r="AB26" s="672">
        <v>0</v>
      </c>
      <c r="AC26" s="673">
        <f>D26+P26+AA26+AB26</f>
        <v>601133073</v>
      </c>
      <c r="AD26" s="129"/>
      <c r="AF26" s="34"/>
      <c r="AG26" s="34"/>
      <c r="AH26" s="34"/>
      <c r="AI26" s="34"/>
    </row>
    <row r="27" spans="1:251" s="33" customFormat="1" x14ac:dyDescent="0.45">
      <c r="A27" s="247" t="s">
        <v>34</v>
      </c>
      <c r="B27" s="671">
        <v>527932.35</v>
      </c>
      <c r="C27" s="671">
        <v>3702907.93</v>
      </c>
      <c r="D27" s="671">
        <f t="shared" ref="D27:D39" si="0">+C27+B27</f>
        <v>4230840.28</v>
      </c>
      <c r="E27" s="671"/>
      <c r="F27" s="671">
        <v>72025.850000000006</v>
      </c>
      <c r="G27" s="671">
        <v>847828.15</v>
      </c>
      <c r="H27" s="671">
        <v>44613</v>
      </c>
      <c r="I27" s="671">
        <f t="shared" ref="I27:I39" si="1">+F27+G27+H27</f>
        <v>964467</v>
      </c>
      <c r="J27" s="671">
        <v>48727.98</v>
      </c>
      <c r="K27" s="671">
        <v>516563.28</v>
      </c>
      <c r="L27" s="671">
        <v>346032.7</v>
      </c>
      <c r="M27" s="671">
        <v>0</v>
      </c>
      <c r="N27" s="671">
        <f t="shared" ref="N27:N39" si="2">+L27+M27</f>
        <v>346032.7</v>
      </c>
      <c r="O27" s="671">
        <f t="shared" ref="O27:O39" si="3">+J27+K27+N27</f>
        <v>911323.96</v>
      </c>
      <c r="P27" s="671">
        <f t="shared" ref="P27:P39" si="4">+I27+O27</f>
        <v>1875790.96</v>
      </c>
      <c r="Q27" s="671"/>
      <c r="R27" s="671">
        <v>0</v>
      </c>
      <c r="S27" s="671">
        <v>0</v>
      </c>
      <c r="T27" s="671">
        <f t="shared" ref="T27:T39" si="5">+S27+R27</f>
        <v>0</v>
      </c>
      <c r="U27" s="671">
        <v>0</v>
      </c>
      <c r="V27" s="671">
        <v>0</v>
      </c>
      <c r="W27" s="671">
        <v>0</v>
      </c>
      <c r="X27" s="672">
        <v>0</v>
      </c>
      <c r="Y27" s="673">
        <f t="shared" ref="Y27:Y39" si="6">+W27+X27</f>
        <v>0</v>
      </c>
      <c r="Z27" s="672">
        <f t="shared" ref="Z27:Z39" si="7">+U27+V27+Y27</f>
        <v>0</v>
      </c>
      <c r="AA27" s="673">
        <f t="shared" ref="AA27:AA39" si="8">+T27+Z27</f>
        <v>0</v>
      </c>
      <c r="AB27" s="672">
        <v>0</v>
      </c>
      <c r="AC27" s="673">
        <f t="shared" ref="AC27:AC39" si="9">D27+P27+AA27+AB27</f>
        <v>6106631.2400000002</v>
      </c>
      <c r="AD27" s="129"/>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c r="BI27" s="32"/>
      <c r="BJ27" s="32"/>
      <c r="BK27" s="32"/>
      <c r="BL27" s="32"/>
      <c r="BM27" s="32"/>
      <c r="BN27" s="32"/>
      <c r="BO27" s="32"/>
      <c r="BP27" s="32"/>
      <c r="BQ27" s="32"/>
      <c r="BR27" s="32"/>
      <c r="BS27" s="32"/>
      <c r="BT27" s="32"/>
      <c r="BU27" s="32"/>
      <c r="BV27" s="32"/>
      <c r="BW27" s="32"/>
      <c r="BX27" s="32"/>
      <c r="BY27" s="32"/>
      <c r="BZ27" s="32"/>
      <c r="CA27" s="32"/>
      <c r="CB27" s="32"/>
      <c r="CC27" s="32"/>
      <c r="CD27" s="32"/>
      <c r="CE27" s="32"/>
      <c r="CF27" s="32"/>
      <c r="CG27" s="32"/>
      <c r="CH27" s="32"/>
      <c r="CI27" s="32"/>
      <c r="CJ27" s="32"/>
      <c r="CK27" s="32"/>
      <c r="CL27" s="32"/>
      <c r="CM27" s="32"/>
      <c r="CN27" s="32"/>
      <c r="CO27" s="32"/>
      <c r="CP27" s="32"/>
      <c r="CQ27" s="32"/>
      <c r="CR27" s="32"/>
      <c r="CS27" s="32"/>
      <c r="CT27" s="32"/>
      <c r="CU27" s="32"/>
      <c r="CV27" s="32"/>
      <c r="CW27" s="32"/>
      <c r="CX27" s="32"/>
      <c r="CY27" s="32"/>
      <c r="CZ27" s="32"/>
      <c r="DA27" s="32"/>
      <c r="DB27" s="32"/>
      <c r="DC27" s="32"/>
      <c r="DD27" s="32"/>
      <c r="DE27" s="32"/>
      <c r="DF27" s="32"/>
      <c r="DG27" s="32"/>
      <c r="DH27" s="32"/>
      <c r="DI27" s="32"/>
      <c r="DJ27" s="32"/>
      <c r="DK27" s="32"/>
      <c r="DL27" s="32"/>
      <c r="DM27" s="32"/>
      <c r="DN27" s="32"/>
      <c r="DO27" s="32"/>
      <c r="DP27" s="32"/>
      <c r="DQ27" s="32"/>
      <c r="DR27" s="32"/>
      <c r="DS27" s="32"/>
      <c r="DT27" s="32"/>
      <c r="DU27" s="32"/>
      <c r="DV27" s="32"/>
      <c r="DW27" s="32"/>
      <c r="DX27" s="32"/>
      <c r="DY27" s="32"/>
      <c r="DZ27" s="32"/>
      <c r="EA27" s="32"/>
      <c r="EB27" s="32"/>
      <c r="EC27" s="32"/>
      <c r="ED27" s="32"/>
      <c r="EE27" s="32"/>
      <c r="EF27" s="32"/>
      <c r="EG27" s="32"/>
      <c r="EH27" s="32"/>
      <c r="EI27" s="32"/>
      <c r="EJ27" s="32"/>
      <c r="EK27" s="32"/>
      <c r="EL27" s="32"/>
      <c r="EM27" s="32"/>
      <c r="EN27" s="32"/>
      <c r="EO27" s="32"/>
      <c r="EP27" s="32"/>
      <c r="EQ27" s="32"/>
      <c r="ER27" s="32"/>
      <c r="ES27" s="32"/>
      <c r="ET27" s="32"/>
      <c r="EU27" s="32"/>
      <c r="EV27" s="32"/>
      <c r="EW27" s="32"/>
      <c r="EX27" s="32"/>
      <c r="EY27" s="32"/>
      <c r="EZ27" s="32"/>
      <c r="FA27" s="32"/>
      <c r="FB27" s="32"/>
      <c r="FC27" s="32"/>
      <c r="FD27" s="32"/>
      <c r="FE27" s="32"/>
      <c r="FF27" s="32"/>
      <c r="FG27" s="32"/>
      <c r="FH27" s="32"/>
      <c r="FI27" s="32"/>
      <c r="FJ27" s="32"/>
      <c r="FK27" s="32"/>
      <c r="FL27" s="32"/>
      <c r="FM27" s="32"/>
      <c r="FN27" s="32"/>
      <c r="FO27" s="32"/>
      <c r="FP27" s="32"/>
      <c r="FQ27" s="32"/>
      <c r="FR27" s="32"/>
      <c r="FS27" s="32"/>
      <c r="FT27" s="32"/>
      <c r="FU27" s="32"/>
      <c r="FV27" s="32"/>
      <c r="FW27" s="32"/>
      <c r="FX27" s="32"/>
      <c r="FY27" s="32"/>
      <c r="FZ27" s="32"/>
      <c r="GA27" s="32"/>
      <c r="GB27" s="32"/>
      <c r="GC27" s="32"/>
      <c r="GD27" s="32"/>
      <c r="GE27" s="32"/>
      <c r="GF27" s="32"/>
      <c r="GG27" s="32"/>
      <c r="GH27" s="32"/>
      <c r="GI27" s="32"/>
      <c r="GJ27" s="32"/>
      <c r="GK27" s="32"/>
      <c r="GL27" s="32"/>
      <c r="GM27" s="32"/>
      <c r="GN27" s="32"/>
      <c r="GO27" s="32"/>
      <c r="GP27" s="32"/>
      <c r="GQ27" s="32"/>
      <c r="GR27" s="32"/>
      <c r="GS27" s="32"/>
      <c r="GT27" s="32"/>
      <c r="GU27" s="32"/>
      <c r="GV27" s="32"/>
      <c r="GW27" s="32"/>
      <c r="GX27" s="32"/>
      <c r="GY27" s="32"/>
      <c r="GZ27" s="32"/>
      <c r="HA27" s="32"/>
      <c r="HB27" s="32"/>
      <c r="HC27" s="32"/>
      <c r="HD27" s="32"/>
      <c r="HE27" s="32"/>
      <c r="HF27" s="32"/>
      <c r="HG27" s="32"/>
      <c r="HH27" s="32"/>
      <c r="HI27" s="32"/>
      <c r="HJ27" s="32"/>
      <c r="HK27" s="32"/>
      <c r="HL27" s="32"/>
      <c r="HM27" s="32"/>
      <c r="HN27" s="32"/>
      <c r="HO27" s="32"/>
      <c r="HP27" s="32"/>
      <c r="HQ27" s="32"/>
      <c r="HR27" s="32"/>
      <c r="HS27" s="32"/>
      <c r="HT27" s="32"/>
      <c r="HU27" s="32"/>
      <c r="HV27" s="32"/>
      <c r="HW27" s="32"/>
      <c r="HX27" s="32"/>
      <c r="HY27" s="32"/>
      <c r="HZ27" s="32"/>
      <c r="IA27" s="32"/>
      <c r="IB27" s="32"/>
      <c r="IC27" s="32"/>
      <c r="ID27" s="32"/>
      <c r="IE27" s="32"/>
      <c r="IF27" s="32"/>
      <c r="IG27" s="32"/>
      <c r="IH27" s="32"/>
      <c r="II27" s="32"/>
      <c r="IJ27" s="32"/>
      <c r="IK27" s="32"/>
      <c r="IL27" s="32"/>
      <c r="IM27" s="32"/>
      <c r="IN27" s="32"/>
      <c r="IO27" s="32"/>
      <c r="IP27" s="32"/>
      <c r="IQ27" s="32"/>
    </row>
    <row r="28" spans="1:251" s="33" customFormat="1" x14ac:dyDescent="0.45">
      <c r="A28" s="247" t="s">
        <v>35</v>
      </c>
      <c r="B28" s="671">
        <v>216714.4</v>
      </c>
      <c r="C28" s="671">
        <v>1258567.07</v>
      </c>
      <c r="D28" s="671">
        <f t="shared" si="0"/>
        <v>1475281.47</v>
      </c>
      <c r="E28" s="671"/>
      <c r="F28" s="671">
        <v>34539.120000000003</v>
      </c>
      <c r="G28" s="671">
        <v>584675.63</v>
      </c>
      <c r="H28" s="671">
        <v>11456.41</v>
      </c>
      <c r="I28" s="671">
        <f t="shared" si="1"/>
        <v>630671.16</v>
      </c>
      <c r="J28" s="671">
        <v>9817.32</v>
      </c>
      <c r="K28" s="671">
        <v>97575.77</v>
      </c>
      <c r="L28" s="671">
        <v>0</v>
      </c>
      <c r="M28" s="671">
        <v>0</v>
      </c>
      <c r="N28" s="671">
        <f t="shared" si="2"/>
        <v>0</v>
      </c>
      <c r="O28" s="671">
        <f t="shared" si="3"/>
        <v>107393.09</v>
      </c>
      <c r="P28" s="671">
        <f t="shared" si="4"/>
        <v>738064.25</v>
      </c>
      <c r="Q28" s="671"/>
      <c r="R28" s="671">
        <v>0</v>
      </c>
      <c r="S28" s="671">
        <v>0</v>
      </c>
      <c r="T28" s="671">
        <f t="shared" si="5"/>
        <v>0</v>
      </c>
      <c r="U28" s="671">
        <v>0</v>
      </c>
      <c r="V28" s="671">
        <v>0</v>
      </c>
      <c r="W28" s="671">
        <v>0</v>
      </c>
      <c r="X28" s="672">
        <v>0</v>
      </c>
      <c r="Y28" s="673">
        <f t="shared" si="6"/>
        <v>0</v>
      </c>
      <c r="Z28" s="672">
        <f t="shared" si="7"/>
        <v>0</v>
      </c>
      <c r="AA28" s="673">
        <f t="shared" si="8"/>
        <v>0</v>
      </c>
      <c r="AB28" s="672">
        <v>0</v>
      </c>
      <c r="AC28" s="673">
        <f t="shared" si="9"/>
        <v>2213345.7199999997</v>
      </c>
      <c r="AD28" s="129"/>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c r="DM28" s="32"/>
      <c r="DN28" s="32"/>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c r="EU28" s="32"/>
      <c r="EV28" s="32"/>
      <c r="EW28" s="32"/>
      <c r="EX28" s="32"/>
      <c r="EY28" s="32"/>
      <c r="EZ28" s="32"/>
      <c r="FA28" s="32"/>
      <c r="FB28" s="32"/>
      <c r="FC28" s="32"/>
      <c r="FD28" s="32"/>
      <c r="FE28" s="32"/>
      <c r="FF28" s="32"/>
      <c r="FG28" s="32"/>
      <c r="FH28" s="32"/>
      <c r="FI28" s="32"/>
      <c r="FJ28" s="32"/>
      <c r="FK28" s="32"/>
      <c r="FL28" s="32"/>
      <c r="FM28" s="32"/>
      <c r="FN28" s="32"/>
      <c r="FO28" s="32"/>
      <c r="FP28" s="32"/>
      <c r="FQ28" s="32"/>
      <c r="FR28" s="32"/>
      <c r="FS28" s="32"/>
      <c r="FT28" s="32"/>
      <c r="FU28" s="32"/>
      <c r="FV28" s="32"/>
      <c r="FW28" s="32"/>
      <c r="FX28" s="32"/>
      <c r="FY28" s="32"/>
      <c r="FZ28" s="32"/>
      <c r="GA28" s="32"/>
      <c r="GB28" s="32"/>
      <c r="GC28" s="32"/>
      <c r="GD28" s="32"/>
      <c r="GE28" s="32"/>
      <c r="GF28" s="32"/>
      <c r="GG28" s="32"/>
      <c r="GH28" s="32"/>
      <c r="GI28" s="32"/>
      <c r="GJ28" s="32"/>
      <c r="GK28" s="32"/>
      <c r="GL28" s="32"/>
      <c r="GM28" s="32"/>
      <c r="GN28" s="32"/>
      <c r="GO28" s="32"/>
      <c r="GP28" s="32"/>
      <c r="GQ28" s="32"/>
      <c r="GR28" s="32"/>
      <c r="GS28" s="32"/>
      <c r="GT28" s="32"/>
      <c r="GU28" s="32"/>
      <c r="GV28" s="32"/>
      <c r="GW28" s="32"/>
      <c r="GX28" s="32"/>
      <c r="GY28" s="32"/>
      <c r="GZ28" s="32"/>
      <c r="HA28" s="32"/>
      <c r="HB28" s="32"/>
      <c r="HC28" s="32"/>
      <c r="HD28" s="32"/>
      <c r="HE28" s="32"/>
      <c r="HF28" s="32"/>
      <c r="HG28" s="32"/>
      <c r="HH28" s="32"/>
      <c r="HI28" s="32"/>
      <c r="HJ28" s="32"/>
      <c r="HK28" s="32"/>
      <c r="HL28" s="32"/>
      <c r="HM28" s="32"/>
      <c r="HN28" s="32"/>
      <c r="HO28" s="32"/>
      <c r="HP28" s="32"/>
      <c r="HQ28" s="32"/>
      <c r="HR28" s="32"/>
      <c r="HS28" s="32"/>
      <c r="HT28" s="32"/>
      <c r="HU28" s="32"/>
      <c r="HV28" s="32"/>
      <c r="HW28" s="32"/>
      <c r="HX28" s="32"/>
      <c r="HY28" s="32"/>
      <c r="HZ28" s="32"/>
      <c r="IA28" s="32"/>
      <c r="IB28" s="32"/>
      <c r="IC28" s="32"/>
      <c r="ID28" s="32"/>
      <c r="IE28" s="32"/>
      <c r="IF28" s="32"/>
      <c r="IG28" s="32"/>
      <c r="IH28" s="32"/>
      <c r="II28" s="32"/>
      <c r="IJ28" s="32"/>
      <c r="IK28" s="32"/>
      <c r="IL28" s="32"/>
      <c r="IM28" s="32"/>
      <c r="IN28" s="32"/>
      <c r="IO28" s="32"/>
      <c r="IP28" s="32"/>
      <c r="IQ28" s="32"/>
    </row>
    <row r="29" spans="1:251" s="32" customFormat="1" x14ac:dyDescent="0.45">
      <c r="A29" s="247" t="s">
        <v>36</v>
      </c>
      <c r="B29" s="671">
        <v>62779.689999999995</v>
      </c>
      <c r="C29" s="671">
        <v>527167.38999999978</v>
      </c>
      <c r="D29" s="671">
        <f t="shared" si="0"/>
        <v>589947.07999999973</v>
      </c>
      <c r="E29" s="671"/>
      <c r="F29" s="671">
        <v>4065.57</v>
      </c>
      <c r="G29" s="671">
        <v>97540.54</v>
      </c>
      <c r="H29" s="671">
        <v>3280.0800000000004</v>
      </c>
      <c r="I29" s="671">
        <f t="shared" si="1"/>
        <v>104886.19</v>
      </c>
      <c r="J29" s="671">
        <v>984.96000000000015</v>
      </c>
      <c r="K29" s="671">
        <v>79189.960000000021</v>
      </c>
      <c r="L29" s="671">
        <v>63908.080000000009</v>
      </c>
      <c r="M29" s="671">
        <v>0</v>
      </c>
      <c r="N29" s="671">
        <f t="shared" si="2"/>
        <v>63908.080000000009</v>
      </c>
      <c r="O29" s="671">
        <f t="shared" si="3"/>
        <v>144083.00000000003</v>
      </c>
      <c r="P29" s="671">
        <f t="shared" si="4"/>
        <v>248969.19000000003</v>
      </c>
      <c r="Q29" s="671"/>
      <c r="R29" s="671">
        <v>0</v>
      </c>
      <c r="S29" s="671">
        <v>0</v>
      </c>
      <c r="T29" s="671">
        <f t="shared" si="5"/>
        <v>0</v>
      </c>
      <c r="U29" s="671">
        <v>0</v>
      </c>
      <c r="V29" s="671">
        <v>0</v>
      </c>
      <c r="W29" s="671">
        <v>0</v>
      </c>
      <c r="X29" s="672">
        <v>0</v>
      </c>
      <c r="Y29" s="673">
        <f t="shared" si="6"/>
        <v>0</v>
      </c>
      <c r="Z29" s="672">
        <f t="shared" si="7"/>
        <v>0</v>
      </c>
      <c r="AA29" s="673">
        <f t="shared" si="8"/>
        <v>0</v>
      </c>
      <c r="AB29" s="672">
        <v>0</v>
      </c>
      <c r="AC29" s="673">
        <f t="shared" si="9"/>
        <v>838916.26999999979</v>
      </c>
      <c r="AD29" s="129"/>
    </row>
    <row r="30" spans="1:251" s="145" customFormat="1" x14ac:dyDescent="0.45">
      <c r="A30" s="247" t="s">
        <v>37</v>
      </c>
      <c r="B30" s="671">
        <v>117503</v>
      </c>
      <c r="C30" s="671">
        <v>775451</v>
      </c>
      <c r="D30" s="671">
        <f t="shared" si="0"/>
        <v>892954</v>
      </c>
      <c r="E30" s="671"/>
      <c r="F30" s="671">
        <v>32787</v>
      </c>
      <c r="G30" s="671">
        <v>276772</v>
      </c>
      <c r="H30" s="671">
        <v>15152</v>
      </c>
      <c r="I30" s="671">
        <f t="shared" si="1"/>
        <v>324711</v>
      </c>
      <c r="J30" s="671">
        <v>13487</v>
      </c>
      <c r="K30" s="671">
        <v>615115</v>
      </c>
      <c r="L30" s="671">
        <v>301663</v>
      </c>
      <c r="M30" s="671">
        <v>0</v>
      </c>
      <c r="N30" s="671">
        <f t="shared" si="2"/>
        <v>301663</v>
      </c>
      <c r="O30" s="671">
        <f t="shared" si="3"/>
        <v>930265</v>
      </c>
      <c r="P30" s="671">
        <f t="shared" si="4"/>
        <v>1254976</v>
      </c>
      <c r="Q30" s="671"/>
      <c r="R30" s="671">
        <v>0</v>
      </c>
      <c r="S30" s="671">
        <v>0</v>
      </c>
      <c r="T30" s="671">
        <f t="shared" si="5"/>
        <v>0</v>
      </c>
      <c r="U30" s="671">
        <v>0</v>
      </c>
      <c r="V30" s="671">
        <v>0</v>
      </c>
      <c r="W30" s="671">
        <v>0</v>
      </c>
      <c r="X30" s="672">
        <v>0</v>
      </c>
      <c r="Y30" s="673">
        <f t="shared" si="6"/>
        <v>0</v>
      </c>
      <c r="Z30" s="672">
        <f t="shared" si="7"/>
        <v>0</v>
      </c>
      <c r="AA30" s="673">
        <f t="shared" si="8"/>
        <v>0</v>
      </c>
      <c r="AB30" s="672">
        <v>0</v>
      </c>
      <c r="AC30" s="673">
        <f t="shared" si="9"/>
        <v>2147930</v>
      </c>
      <c r="AD30" s="144"/>
      <c r="AE30" s="33"/>
      <c r="AF30" s="33"/>
      <c r="AG30" s="33"/>
      <c r="AH30" s="33"/>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c r="DM30" s="32"/>
      <c r="DN30" s="32"/>
      <c r="DO30" s="32"/>
      <c r="DP30" s="32"/>
      <c r="DQ30" s="32"/>
      <c r="DR30" s="32"/>
      <c r="DS30" s="32"/>
      <c r="DT30" s="32"/>
      <c r="DU30" s="32"/>
      <c r="DV30" s="32"/>
      <c r="DW30" s="32"/>
      <c r="DX30" s="32"/>
      <c r="DY30" s="32"/>
      <c r="DZ30" s="32"/>
      <c r="EA30" s="32"/>
      <c r="EB30" s="32"/>
      <c r="EC30" s="32"/>
      <c r="ED30" s="32"/>
      <c r="EE30" s="32"/>
      <c r="EF30" s="32"/>
      <c r="EG30" s="32"/>
      <c r="EH30" s="32"/>
      <c r="EI30" s="32"/>
      <c r="EJ30" s="32"/>
      <c r="EK30" s="32"/>
      <c r="EL30" s="32"/>
      <c r="EM30" s="32"/>
      <c r="EN30" s="32"/>
      <c r="EO30" s="32"/>
      <c r="EP30" s="32"/>
      <c r="EQ30" s="32"/>
      <c r="ER30" s="32"/>
      <c r="ES30" s="32"/>
      <c r="ET30" s="32"/>
      <c r="EU30" s="32"/>
      <c r="EV30" s="32"/>
      <c r="EW30" s="32"/>
      <c r="EX30" s="32"/>
      <c r="EY30" s="32"/>
      <c r="EZ30" s="32"/>
      <c r="FA30" s="32"/>
      <c r="FB30" s="32"/>
      <c r="FC30" s="32"/>
      <c r="FD30" s="32"/>
      <c r="FE30" s="32"/>
      <c r="FF30" s="32"/>
      <c r="FG30" s="32"/>
      <c r="FH30" s="32"/>
      <c r="FI30" s="32"/>
      <c r="FJ30" s="32"/>
      <c r="FK30" s="32"/>
      <c r="FL30" s="32"/>
      <c r="FM30" s="32"/>
      <c r="FN30" s="32"/>
      <c r="FO30" s="32"/>
      <c r="FP30" s="32"/>
      <c r="FQ30" s="32"/>
      <c r="FR30" s="32"/>
      <c r="FS30" s="32"/>
      <c r="FT30" s="32"/>
      <c r="FU30" s="32"/>
      <c r="FV30" s="32"/>
      <c r="FW30" s="32"/>
      <c r="FX30" s="32"/>
      <c r="FY30" s="32"/>
      <c r="FZ30" s="32"/>
      <c r="GA30" s="32"/>
      <c r="GB30" s="32"/>
      <c r="GC30" s="32"/>
      <c r="GD30" s="32"/>
      <c r="GE30" s="32"/>
      <c r="GF30" s="32"/>
      <c r="GG30" s="32"/>
      <c r="GH30" s="32"/>
      <c r="GI30" s="32"/>
      <c r="GJ30" s="32"/>
      <c r="GK30" s="32"/>
      <c r="GL30" s="32"/>
      <c r="GM30" s="32"/>
      <c r="GN30" s="32"/>
      <c r="GO30" s="32"/>
      <c r="GP30" s="32"/>
      <c r="GQ30" s="32"/>
      <c r="GR30" s="32"/>
      <c r="GS30" s="32"/>
      <c r="GT30" s="32"/>
      <c r="GU30" s="32"/>
      <c r="GV30" s="32"/>
      <c r="GW30" s="32"/>
      <c r="GX30" s="32"/>
      <c r="GY30" s="32"/>
      <c r="GZ30" s="32"/>
      <c r="HA30" s="32"/>
      <c r="HB30" s="32"/>
      <c r="HC30" s="32"/>
      <c r="HD30" s="32"/>
      <c r="HE30" s="32"/>
      <c r="HF30" s="32"/>
      <c r="HG30" s="32"/>
      <c r="HH30" s="32"/>
      <c r="HI30" s="32"/>
      <c r="HJ30" s="32"/>
      <c r="HK30" s="32"/>
      <c r="HL30" s="32"/>
      <c r="HM30" s="32"/>
      <c r="HN30" s="32"/>
      <c r="HO30" s="32"/>
      <c r="HP30" s="32"/>
      <c r="HQ30" s="32"/>
      <c r="HR30" s="32"/>
      <c r="HS30" s="32"/>
      <c r="HT30" s="32"/>
      <c r="HU30" s="32"/>
      <c r="HV30" s="32"/>
      <c r="HW30" s="32"/>
      <c r="HX30" s="32"/>
      <c r="HY30" s="32"/>
      <c r="HZ30" s="32"/>
      <c r="IA30" s="32"/>
      <c r="IB30" s="32"/>
      <c r="IC30" s="32"/>
      <c r="ID30" s="32"/>
      <c r="IE30" s="32"/>
      <c r="IF30" s="32"/>
      <c r="IG30" s="32"/>
      <c r="IH30" s="32"/>
      <c r="II30" s="32"/>
      <c r="IJ30" s="32"/>
      <c r="IK30" s="32"/>
      <c r="IL30" s="32"/>
      <c r="IM30" s="32"/>
      <c r="IN30" s="32"/>
      <c r="IO30" s="32"/>
      <c r="IP30" s="32"/>
      <c r="IQ30" s="32"/>
    </row>
    <row r="31" spans="1:251" s="145" customFormat="1" x14ac:dyDescent="0.45">
      <c r="A31" s="247" t="s">
        <v>38</v>
      </c>
      <c r="B31" s="671">
        <v>350029</v>
      </c>
      <c r="C31" s="671">
        <v>1911281</v>
      </c>
      <c r="D31" s="671">
        <f t="shared" si="0"/>
        <v>2261310</v>
      </c>
      <c r="E31" s="671"/>
      <c r="F31" s="671">
        <v>198953</v>
      </c>
      <c r="G31" s="671">
        <v>829203</v>
      </c>
      <c r="H31" s="671">
        <v>126811</v>
      </c>
      <c r="I31" s="671">
        <f t="shared" si="1"/>
        <v>1154967</v>
      </c>
      <c r="J31" s="671">
        <v>86319</v>
      </c>
      <c r="K31" s="671">
        <v>889496</v>
      </c>
      <c r="L31" s="671">
        <v>933897</v>
      </c>
      <c r="M31" s="671">
        <v>0</v>
      </c>
      <c r="N31" s="671">
        <f t="shared" si="2"/>
        <v>933897</v>
      </c>
      <c r="O31" s="671">
        <f t="shared" si="3"/>
        <v>1909712</v>
      </c>
      <c r="P31" s="671">
        <f t="shared" si="4"/>
        <v>3064679</v>
      </c>
      <c r="Q31" s="671"/>
      <c r="R31" s="671">
        <v>0</v>
      </c>
      <c r="S31" s="671">
        <v>0</v>
      </c>
      <c r="T31" s="671">
        <f t="shared" si="5"/>
        <v>0</v>
      </c>
      <c r="U31" s="671">
        <v>122739</v>
      </c>
      <c r="V31" s="671">
        <v>1657280</v>
      </c>
      <c r="W31" s="671">
        <v>1142148</v>
      </c>
      <c r="X31" s="672">
        <v>0</v>
      </c>
      <c r="Y31" s="673">
        <f t="shared" si="6"/>
        <v>1142148</v>
      </c>
      <c r="Z31" s="672">
        <f t="shared" si="7"/>
        <v>2922167</v>
      </c>
      <c r="AA31" s="673">
        <f t="shared" si="8"/>
        <v>2922167</v>
      </c>
      <c r="AB31" s="672">
        <v>0</v>
      </c>
      <c r="AC31" s="673">
        <f t="shared" si="9"/>
        <v>8248156</v>
      </c>
      <c r="AD31" s="129"/>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c r="DM31" s="32"/>
      <c r="DN31" s="32"/>
      <c r="DO31" s="32"/>
      <c r="DP31" s="32"/>
      <c r="DQ31" s="32"/>
      <c r="DR31" s="32"/>
      <c r="DS31" s="32"/>
      <c r="DT31" s="32"/>
      <c r="DU31" s="32"/>
      <c r="DV31" s="32"/>
      <c r="DW31" s="32"/>
      <c r="DX31" s="32"/>
      <c r="DY31" s="32"/>
      <c r="DZ31" s="32"/>
      <c r="EA31" s="32"/>
      <c r="EB31" s="32"/>
      <c r="EC31" s="32"/>
      <c r="ED31" s="32"/>
      <c r="EE31" s="32"/>
      <c r="EF31" s="32"/>
      <c r="EG31" s="32"/>
      <c r="EH31" s="32"/>
      <c r="EI31" s="32"/>
      <c r="EJ31" s="32"/>
      <c r="EK31" s="32"/>
      <c r="EL31" s="32"/>
      <c r="EM31" s="32"/>
      <c r="EN31" s="32"/>
      <c r="EO31" s="32"/>
      <c r="EP31" s="32"/>
      <c r="EQ31" s="32"/>
      <c r="ER31" s="32"/>
      <c r="ES31" s="32"/>
      <c r="ET31" s="32"/>
      <c r="EU31" s="32"/>
      <c r="EV31" s="32"/>
      <c r="EW31" s="32"/>
      <c r="EX31" s="32"/>
      <c r="EY31" s="32"/>
      <c r="EZ31" s="32"/>
      <c r="FA31" s="32"/>
      <c r="FB31" s="32"/>
      <c r="FC31" s="32"/>
      <c r="FD31" s="32"/>
      <c r="FE31" s="32"/>
      <c r="FF31" s="32"/>
      <c r="FG31" s="32"/>
      <c r="FH31" s="32"/>
      <c r="FI31" s="32"/>
      <c r="FJ31" s="32"/>
      <c r="FK31" s="32"/>
      <c r="FL31" s="32"/>
      <c r="FM31" s="32"/>
      <c r="FN31" s="32"/>
      <c r="FO31" s="32"/>
      <c r="FP31" s="32"/>
      <c r="FQ31" s="32"/>
      <c r="FR31" s="32"/>
      <c r="FS31" s="32"/>
      <c r="FT31" s="32"/>
      <c r="FU31" s="32"/>
      <c r="FV31" s="32"/>
      <c r="FW31" s="32"/>
      <c r="FX31" s="32"/>
      <c r="FY31" s="32"/>
      <c r="FZ31" s="32"/>
      <c r="GA31" s="32"/>
      <c r="GB31" s="32"/>
      <c r="GC31" s="32"/>
      <c r="GD31" s="32"/>
      <c r="GE31" s="32"/>
      <c r="GF31" s="32"/>
      <c r="GG31" s="32"/>
      <c r="GH31" s="32"/>
      <c r="GI31" s="32"/>
      <c r="GJ31" s="32"/>
      <c r="GK31" s="32"/>
      <c r="GL31" s="32"/>
      <c r="GM31" s="32"/>
      <c r="GN31" s="32"/>
      <c r="GO31" s="32"/>
      <c r="GP31" s="32"/>
      <c r="GQ31" s="32"/>
      <c r="GR31" s="32"/>
      <c r="GS31" s="32"/>
      <c r="GT31" s="32"/>
      <c r="GU31" s="32"/>
      <c r="GV31" s="32"/>
      <c r="GW31" s="32"/>
      <c r="GX31" s="32"/>
      <c r="GY31" s="32"/>
      <c r="GZ31" s="32"/>
      <c r="HA31" s="32"/>
      <c r="HB31" s="32"/>
      <c r="HC31" s="32"/>
      <c r="HD31" s="32"/>
      <c r="HE31" s="32"/>
      <c r="HF31" s="32"/>
      <c r="HG31" s="32"/>
      <c r="HH31" s="32"/>
      <c r="HI31" s="32"/>
      <c r="HJ31" s="32"/>
      <c r="HK31" s="32"/>
      <c r="HL31" s="32"/>
      <c r="HM31" s="32"/>
      <c r="HN31" s="32"/>
      <c r="HO31" s="32"/>
      <c r="HP31" s="32"/>
      <c r="HQ31" s="32"/>
      <c r="HR31" s="32"/>
      <c r="HS31" s="32"/>
      <c r="HT31" s="32"/>
      <c r="HU31" s="32"/>
      <c r="HV31" s="32"/>
      <c r="HW31" s="32"/>
      <c r="HX31" s="32"/>
      <c r="HY31" s="32"/>
      <c r="HZ31" s="32"/>
      <c r="IA31" s="32"/>
      <c r="IB31" s="32"/>
      <c r="IC31" s="32"/>
      <c r="ID31" s="32"/>
      <c r="IE31" s="32"/>
      <c r="IF31" s="32"/>
      <c r="IG31" s="32"/>
      <c r="IH31" s="32"/>
      <c r="II31" s="32"/>
      <c r="IJ31" s="32"/>
      <c r="IK31" s="32"/>
      <c r="IL31" s="32"/>
      <c r="IM31" s="32"/>
      <c r="IN31" s="32"/>
      <c r="IO31" s="32"/>
      <c r="IP31" s="32"/>
      <c r="IQ31" s="32"/>
    </row>
    <row r="32" spans="1:251" s="32" customFormat="1" x14ac:dyDescent="0.45">
      <c r="A32" s="247" t="s">
        <v>39</v>
      </c>
      <c r="B32" s="671">
        <v>542698</v>
      </c>
      <c r="C32" s="671">
        <v>4271118</v>
      </c>
      <c r="D32" s="671">
        <f>+C32+B32</f>
        <v>4813816</v>
      </c>
      <c r="E32" s="671"/>
      <c r="F32" s="671">
        <v>163136.75</v>
      </c>
      <c r="G32" s="671">
        <v>1677267.236</v>
      </c>
      <c r="H32" s="671">
        <v>99757</v>
      </c>
      <c r="I32" s="671">
        <f>+F32+G32+H32</f>
        <v>1940160.986</v>
      </c>
      <c r="J32" s="671">
        <v>85142.709999999992</v>
      </c>
      <c r="K32" s="671">
        <v>1344767.7776000006</v>
      </c>
      <c r="L32" s="671">
        <v>928706.52639999997</v>
      </c>
      <c r="M32" s="671">
        <v>0</v>
      </c>
      <c r="N32" s="671">
        <f>+L32+M32</f>
        <v>928706.52639999997</v>
      </c>
      <c r="O32" s="671">
        <f>+J32+K32+N32</f>
        <v>2358617.0140000004</v>
      </c>
      <c r="P32" s="671">
        <f>+I32+O32</f>
        <v>4298778</v>
      </c>
      <c r="Q32" s="671"/>
      <c r="R32" s="671">
        <v>0</v>
      </c>
      <c r="S32" s="671">
        <v>0</v>
      </c>
      <c r="T32" s="671">
        <f>+S32+R32</f>
        <v>0</v>
      </c>
      <c r="U32" s="671">
        <v>0</v>
      </c>
      <c r="V32" s="671">
        <v>0</v>
      </c>
      <c r="W32" s="671">
        <v>0</v>
      </c>
      <c r="X32" s="672">
        <v>0</v>
      </c>
      <c r="Y32" s="673">
        <f>+W32+X32</f>
        <v>0</v>
      </c>
      <c r="Z32" s="672">
        <f>+U32+V32+Y32</f>
        <v>0</v>
      </c>
      <c r="AA32" s="673">
        <f>+T32+Z32</f>
        <v>0</v>
      </c>
      <c r="AB32" s="672">
        <v>0</v>
      </c>
      <c r="AC32" s="673">
        <f>D32+P32+AA32+AB32</f>
        <v>9112594</v>
      </c>
      <c r="AD32" s="129"/>
      <c r="AF32" s="25"/>
    </row>
    <row r="33" spans="1:251" s="32" customFormat="1" x14ac:dyDescent="0.45">
      <c r="A33" s="247" t="s">
        <v>40</v>
      </c>
      <c r="B33" s="671">
        <v>368857</v>
      </c>
      <c r="C33" s="671">
        <v>3005656</v>
      </c>
      <c r="D33" s="671">
        <f t="shared" si="0"/>
        <v>3374513</v>
      </c>
      <c r="E33" s="671"/>
      <c r="F33" s="671">
        <v>73904</v>
      </c>
      <c r="G33" s="671">
        <v>802995</v>
      </c>
      <c r="H33" s="671">
        <v>22597</v>
      </c>
      <c r="I33" s="671">
        <f t="shared" si="1"/>
        <v>899496</v>
      </c>
      <c r="J33" s="671">
        <v>62829</v>
      </c>
      <c r="K33" s="671">
        <v>2135603</v>
      </c>
      <c r="L33" s="671">
        <v>563428</v>
      </c>
      <c r="M33" s="671">
        <v>0</v>
      </c>
      <c r="N33" s="671">
        <f t="shared" si="2"/>
        <v>563428</v>
      </c>
      <c r="O33" s="671">
        <f t="shared" si="3"/>
        <v>2761860</v>
      </c>
      <c r="P33" s="671">
        <f t="shared" si="4"/>
        <v>3661356</v>
      </c>
      <c r="Q33" s="671"/>
      <c r="R33" s="671">
        <v>0</v>
      </c>
      <c r="S33" s="671">
        <v>0</v>
      </c>
      <c r="T33" s="671">
        <f t="shared" si="5"/>
        <v>0</v>
      </c>
      <c r="U33" s="671">
        <v>0</v>
      </c>
      <c r="V33" s="671">
        <v>0</v>
      </c>
      <c r="W33" s="671">
        <v>0</v>
      </c>
      <c r="X33" s="672">
        <v>0</v>
      </c>
      <c r="Y33" s="673">
        <f t="shared" si="6"/>
        <v>0</v>
      </c>
      <c r="Z33" s="672">
        <f t="shared" si="7"/>
        <v>0</v>
      </c>
      <c r="AA33" s="673">
        <f t="shared" si="8"/>
        <v>0</v>
      </c>
      <c r="AB33" s="672">
        <v>0</v>
      </c>
      <c r="AC33" s="673">
        <f t="shared" si="9"/>
        <v>7035869</v>
      </c>
      <c r="AD33" s="129"/>
    </row>
    <row r="34" spans="1:251" s="32" customFormat="1" x14ac:dyDescent="0.45">
      <c r="A34" s="247" t="s">
        <v>41</v>
      </c>
      <c r="B34" s="671">
        <v>155746.44</v>
      </c>
      <c r="C34" s="671">
        <v>1248827.5</v>
      </c>
      <c r="D34" s="671">
        <f>+C34+B34</f>
        <v>1404573.94</v>
      </c>
      <c r="E34" s="671"/>
      <c r="F34" s="671">
        <v>37280.53</v>
      </c>
      <c r="G34" s="671">
        <v>344172.76022000005</v>
      </c>
      <c r="H34" s="671">
        <v>25796.15</v>
      </c>
      <c r="I34" s="671">
        <f>+F34+G34+H34</f>
        <v>407249.44022000011</v>
      </c>
      <c r="J34" s="671">
        <v>5808.3600000000015</v>
      </c>
      <c r="K34" s="671">
        <v>663660.57258000015</v>
      </c>
      <c r="L34" s="671">
        <v>170860.84720000002</v>
      </c>
      <c r="M34" s="671">
        <v>0</v>
      </c>
      <c r="N34" s="671">
        <f>+L34+M34</f>
        <v>170860.84720000002</v>
      </c>
      <c r="O34" s="671">
        <f>+J34+K34+N34</f>
        <v>840329.77978000022</v>
      </c>
      <c r="P34" s="671">
        <f>+I34+O34</f>
        <v>1247579.2200000002</v>
      </c>
      <c r="Q34" s="671"/>
      <c r="R34" s="671">
        <v>0</v>
      </c>
      <c r="S34" s="671">
        <v>0</v>
      </c>
      <c r="T34" s="671">
        <f>+S34+R34</f>
        <v>0</v>
      </c>
      <c r="U34" s="671">
        <v>6088.68</v>
      </c>
      <c r="V34" s="671">
        <v>975963.65277999989</v>
      </c>
      <c r="W34" s="671">
        <v>123186.61722</v>
      </c>
      <c r="X34" s="672">
        <v>0</v>
      </c>
      <c r="Y34" s="673">
        <f>+W34+X34</f>
        <v>123186.61722</v>
      </c>
      <c r="Z34" s="672">
        <f>+U34+V34+Y34</f>
        <v>1105238.95</v>
      </c>
      <c r="AA34" s="673">
        <f>+T34+Z34</f>
        <v>1105238.95</v>
      </c>
      <c r="AB34" s="672">
        <v>0</v>
      </c>
      <c r="AC34" s="673">
        <f>D34+P34+AA34+AB34</f>
        <v>3757392.1100000003</v>
      </c>
      <c r="AD34" s="143"/>
    </row>
    <row r="35" spans="1:251" s="33" customFormat="1" x14ac:dyDescent="0.45">
      <c r="A35" s="247" t="s">
        <v>42</v>
      </c>
      <c r="B35" s="671">
        <v>68745</v>
      </c>
      <c r="C35" s="671">
        <v>442118</v>
      </c>
      <c r="D35" s="671">
        <f t="shared" si="0"/>
        <v>510863</v>
      </c>
      <c r="E35" s="671"/>
      <c r="F35" s="671">
        <v>25202</v>
      </c>
      <c r="G35" s="671">
        <v>258344</v>
      </c>
      <c r="H35" s="671">
        <v>20553</v>
      </c>
      <c r="I35" s="671">
        <f t="shared" si="1"/>
        <v>304099</v>
      </c>
      <c r="J35" s="671">
        <v>0</v>
      </c>
      <c r="K35" s="671">
        <v>0</v>
      </c>
      <c r="L35" s="671">
        <v>0</v>
      </c>
      <c r="M35" s="671">
        <v>0</v>
      </c>
      <c r="N35" s="671">
        <f t="shared" si="2"/>
        <v>0</v>
      </c>
      <c r="O35" s="671">
        <f t="shared" si="3"/>
        <v>0</v>
      </c>
      <c r="P35" s="671">
        <f t="shared" si="4"/>
        <v>304099</v>
      </c>
      <c r="Q35" s="671"/>
      <c r="R35" s="671">
        <v>0</v>
      </c>
      <c r="S35" s="671">
        <v>0</v>
      </c>
      <c r="T35" s="671">
        <f t="shared" si="5"/>
        <v>0</v>
      </c>
      <c r="U35" s="671">
        <v>15817</v>
      </c>
      <c r="V35" s="671">
        <v>667633</v>
      </c>
      <c r="W35" s="671">
        <v>326746</v>
      </c>
      <c r="X35" s="672">
        <v>0</v>
      </c>
      <c r="Y35" s="673">
        <f t="shared" si="6"/>
        <v>326746</v>
      </c>
      <c r="Z35" s="672">
        <f t="shared" si="7"/>
        <v>1010196</v>
      </c>
      <c r="AA35" s="673">
        <f t="shared" si="8"/>
        <v>1010196</v>
      </c>
      <c r="AB35" s="672">
        <v>0</v>
      </c>
      <c r="AC35" s="673">
        <f t="shared" si="9"/>
        <v>1825158</v>
      </c>
      <c r="AD35" s="129"/>
    </row>
    <row r="36" spans="1:251" s="32" customFormat="1" x14ac:dyDescent="0.45">
      <c r="A36" s="247" t="s">
        <v>43</v>
      </c>
      <c r="B36" s="671">
        <v>603181.48</v>
      </c>
      <c r="C36" s="671">
        <v>3768416.06</v>
      </c>
      <c r="D36" s="671">
        <f t="shared" si="0"/>
        <v>4371597.54</v>
      </c>
      <c r="E36" s="671"/>
      <c r="F36" s="671">
        <v>120774.91</v>
      </c>
      <c r="G36" s="671">
        <v>1093612.67</v>
      </c>
      <c r="H36" s="671">
        <v>8397.07</v>
      </c>
      <c r="I36" s="671">
        <f t="shared" si="1"/>
        <v>1222784.6499999999</v>
      </c>
      <c r="J36" s="671">
        <v>193116.75</v>
      </c>
      <c r="K36" s="671">
        <v>3094981.3</v>
      </c>
      <c r="L36" s="671">
        <v>1679255.3599999999</v>
      </c>
      <c r="M36" s="671">
        <v>0</v>
      </c>
      <c r="N36" s="671">
        <f t="shared" si="2"/>
        <v>1679255.3599999999</v>
      </c>
      <c r="O36" s="671">
        <f t="shared" si="3"/>
        <v>4967353.41</v>
      </c>
      <c r="P36" s="671">
        <f t="shared" si="4"/>
        <v>6190138.0600000005</v>
      </c>
      <c r="Q36" s="671"/>
      <c r="R36" s="671">
        <v>0</v>
      </c>
      <c r="S36" s="671">
        <v>0</v>
      </c>
      <c r="T36" s="671">
        <f t="shared" si="5"/>
        <v>0</v>
      </c>
      <c r="U36" s="671">
        <v>108608.74</v>
      </c>
      <c r="V36" s="671">
        <v>518113.4</v>
      </c>
      <c r="W36" s="671">
        <v>532834.13</v>
      </c>
      <c r="X36" s="672">
        <v>0</v>
      </c>
      <c r="Y36" s="673">
        <f t="shared" si="6"/>
        <v>532834.13</v>
      </c>
      <c r="Z36" s="672">
        <f t="shared" si="7"/>
        <v>1159556.27</v>
      </c>
      <c r="AA36" s="673">
        <f t="shared" si="8"/>
        <v>1159556.27</v>
      </c>
      <c r="AB36" s="672">
        <v>0</v>
      </c>
      <c r="AC36" s="673">
        <f t="shared" si="9"/>
        <v>11721291.870000001</v>
      </c>
      <c r="AD36" s="143"/>
      <c r="AE36" s="146"/>
      <c r="AF36" s="146"/>
      <c r="AG36" s="146"/>
      <c r="AH36" s="146"/>
      <c r="AI36" s="146"/>
      <c r="AJ36" s="146"/>
      <c r="AK36" s="146"/>
      <c r="AL36" s="146"/>
      <c r="AM36" s="146"/>
      <c r="AN36" s="146"/>
      <c r="AO36" s="146"/>
      <c r="AP36" s="146"/>
      <c r="AQ36" s="146"/>
      <c r="AR36" s="146"/>
      <c r="AS36" s="146"/>
      <c r="AT36" s="146"/>
      <c r="AU36" s="146"/>
      <c r="AV36" s="146"/>
      <c r="AW36" s="146"/>
      <c r="AX36" s="146"/>
      <c r="AY36" s="146"/>
      <c r="AZ36" s="146"/>
      <c r="BA36" s="146"/>
      <c r="BB36" s="146"/>
      <c r="BC36" s="146"/>
      <c r="BD36" s="146"/>
      <c r="BE36" s="146"/>
      <c r="BF36" s="146"/>
      <c r="BG36" s="146"/>
      <c r="BH36" s="146"/>
      <c r="BI36" s="146"/>
      <c r="BJ36" s="146"/>
      <c r="BK36" s="146"/>
      <c r="BL36" s="146"/>
      <c r="BM36" s="146"/>
      <c r="BN36" s="146"/>
      <c r="BO36" s="146"/>
      <c r="BP36" s="146"/>
      <c r="BQ36" s="146"/>
      <c r="BR36" s="146"/>
      <c r="BS36" s="146"/>
      <c r="BT36" s="146"/>
      <c r="BU36" s="146"/>
      <c r="BV36" s="146"/>
      <c r="BW36" s="146"/>
      <c r="BX36" s="146"/>
      <c r="BY36" s="146"/>
      <c r="BZ36" s="146"/>
      <c r="CA36" s="146"/>
      <c r="CB36" s="146"/>
      <c r="CC36" s="146"/>
      <c r="CD36" s="146"/>
      <c r="CE36" s="146"/>
      <c r="CF36" s="146"/>
      <c r="CG36" s="146"/>
      <c r="CH36" s="146"/>
      <c r="CI36" s="146"/>
      <c r="CJ36" s="146"/>
      <c r="CK36" s="146"/>
      <c r="CL36" s="146"/>
      <c r="CM36" s="146"/>
      <c r="CN36" s="146"/>
      <c r="CO36" s="146"/>
      <c r="CP36" s="146"/>
      <c r="CQ36" s="146"/>
      <c r="CR36" s="146"/>
      <c r="CS36" s="146"/>
      <c r="CT36" s="146"/>
      <c r="CU36" s="146"/>
      <c r="CV36" s="146"/>
      <c r="CW36" s="146"/>
      <c r="CX36" s="146"/>
      <c r="CY36" s="146"/>
      <c r="CZ36" s="146"/>
      <c r="DA36" s="146"/>
      <c r="DB36" s="146"/>
      <c r="DC36" s="146"/>
      <c r="DD36" s="146"/>
      <c r="DE36" s="146"/>
      <c r="DF36" s="146"/>
      <c r="DG36" s="146"/>
      <c r="DH36" s="146"/>
      <c r="DI36" s="146"/>
      <c r="DJ36" s="146"/>
      <c r="DK36" s="146"/>
      <c r="DL36" s="146"/>
      <c r="DM36" s="146"/>
      <c r="DN36" s="146"/>
      <c r="DO36" s="146"/>
      <c r="DP36" s="146"/>
      <c r="DQ36" s="146"/>
      <c r="DR36" s="146"/>
      <c r="DS36" s="146"/>
      <c r="DT36" s="146"/>
      <c r="DU36" s="146"/>
      <c r="DV36" s="146"/>
      <c r="DW36" s="146"/>
      <c r="DX36" s="146"/>
      <c r="DY36" s="146"/>
      <c r="DZ36" s="146"/>
      <c r="EA36" s="146"/>
      <c r="EB36" s="146"/>
      <c r="EC36" s="146"/>
      <c r="ED36" s="146"/>
      <c r="EE36" s="146"/>
      <c r="EF36" s="146"/>
      <c r="EG36" s="146"/>
      <c r="EH36" s="146"/>
      <c r="EI36" s="146"/>
      <c r="EJ36" s="146"/>
      <c r="EK36" s="146"/>
      <c r="EL36" s="146"/>
      <c r="EM36" s="146"/>
      <c r="EN36" s="146"/>
      <c r="EO36" s="146"/>
      <c r="EP36" s="146"/>
      <c r="EQ36" s="146"/>
      <c r="ER36" s="146"/>
      <c r="ES36" s="146"/>
      <c r="ET36" s="146"/>
      <c r="EU36" s="146"/>
      <c r="EV36" s="146"/>
      <c r="EW36" s="146"/>
      <c r="EX36" s="146"/>
      <c r="EY36" s="146"/>
      <c r="EZ36" s="146"/>
      <c r="FA36" s="146"/>
      <c r="FB36" s="146"/>
      <c r="FC36" s="146"/>
      <c r="FD36" s="146"/>
      <c r="FE36" s="146"/>
      <c r="FF36" s="146"/>
      <c r="FG36" s="146"/>
      <c r="FH36" s="146"/>
      <c r="FI36" s="146"/>
      <c r="FJ36" s="146"/>
      <c r="FK36" s="146"/>
      <c r="FL36" s="146"/>
      <c r="FM36" s="146"/>
      <c r="FN36" s="146"/>
      <c r="FO36" s="146"/>
      <c r="FP36" s="146"/>
      <c r="FQ36" s="146"/>
      <c r="FR36" s="146"/>
      <c r="FS36" s="146"/>
      <c r="FT36" s="146"/>
      <c r="FU36" s="146"/>
      <c r="FV36" s="146"/>
      <c r="FW36" s="146"/>
      <c r="FX36" s="146"/>
      <c r="FY36" s="146"/>
      <c r="FZ36" s="146"/>
      <c r="GA36" s="146"/>
      <c r="GB36" s="146"/>
      <c r="GC36" s="146"/>
      <c r="GD36" s="146"/>
      <c r="GE36" s="146"/>
      <c r="GF36" s="146"/>
      <c r="GG36" s="146"/>
      <c r="GH36" s="146"/>
      <c r="GI36" s="146"/>
      <c r="GJ36" s="146"/>
      <c r="GK36" s="146"/>
      <c r="GL36" s="146"/>
      <c r="GM36" s="146"/>
      <c r="GN36" s="146"/>
      <c r="GO36" s="146"/>
      <c r="GP36" s="146"/>
      <c r="GQ36" s="146"/>
      <c r="GR36" s="146"/>
      <c r="GS36" s="146"/>
      <c r="GT36" s="146"/>
      <c r="GU36" s="146"/>
      <c r="GV36" s="146"/>
      <c r="GW36" s="146"/>
      <c r="GX36" s="146"/>
      <c r="GY36" s="146"/>
      <c r="GZ36" s="146"/>
      <c r="HA36" s="146"/>
      <c r="HB36" s="146"/>
      <c r="HC36" s="146"/>
      <c r="HD36" s="146"/>
      <c r="HE36" s="146"/>
      <c r="HF36" s="146"/>
      <c r="HG36" s="146"/>
      <c r="HH36" s="146"/>
      <c r="HI36" s="146"/>
      <c r="HJ36" s="146"/>
      <c r="HK36" s="146"/>
      <c r="HL36" s="146"/>
      <c r="HM36" s="146"/>
      <c r="HN36" s="146"/>
      <c r="HO36" s="146"/>
      <c r="HP36" s="146"/>
      <c r="HQ36" s="146"/>
      <c r="HR36" s="146"/>
      <c r="HS36" s="146"/>
      <c r="HT36" s="146"/>
      <c r="HU36" s="146"/>
      <c r="HV36" s="146"/>
      <c r="HW36" s="146"/>
      <c r="HX36" s="146"/>
      <c r="HY36" s="146"/>
      <c r="HZ36" s="146"/>
      <c r="IA36" s="146"/>
      <c r="IB36" s="146"/>
      <c r="IC36" s="146"/>
      <c r="ID36" s="146"/>
      <c r="IE36" s="146"/>
      <c r="IF36" s="146"/>
      <c r="IG36" s="146"/>
      <c r="IH36" s="146"/>
      <c r="II36" s="146"/>
      <c r="IJ36" s="146"/>
      <c r="IK36" s="146"/>
      <c r="IL36" s="146"/>
      <c r="IM36" s="146"/>
      <c r="IN36" s="146"/>
      <c r="IO36" s="146"/>
      <c r="IP36" s="146"/>
      <c r="IQ36" s="146"/>
    </row>
    <row r="37" spans="1:251" s="32" customFormat="1" x14ac:dyDescent="0.45">
      <c r="A37" s="247" t="s">
        <v>44</v>
      </c>
      <c r="B37" s="671">
        <v>271822.13</v>
      </c>
      <c r="C37" s="671">
        <v>3130936.67</v>
      </c>
      <c r="D37" s="671">
        <f t="shared" si="0"/>
        <v>3402758.8</v>
      </c>
      <c r="E37" s="671"/>
      <c r="F37" s="671">
        <v>32741</v>
      </c>
      <c r="G37" s="671">
        <v>446313.57</v>
      </c>
      <c r="H37" s="671">
        <v>26683</v>
      </c>
      <c r="I37" s="671">
        <f t="shared" si="1"/>
        <v>505737.57</v>
      </c>
      <c r="J37" s="671">
        <v>31012.959999999999</v>
      </c>
      <c r="K37" s="671">
        <v>1534307.8900000001</v>
      </c>
      <c r="L37" s="671">
        <v>1314077.72</v>
      </c>
      <c r="M37" s="671">
        <v>0</v>
      </c>
      <c r="N37" s="671">
        <f t="shared" si="2"/>
        <v>1314077.72</v>
      </c>
      <c r="O37" s="671">
        <f t="shared" si="3"/>
        <v>2879398.5700000003</v>
      </c>
      <c r="P37" s="671">
        <f t="shared" si="4"/>
        <v>3385136.14</v>
      </c>
      <c r="Q37" s="671"/>
      <c r="R37" s="671">
        <v>0</v>
      </c>
      <c r="S37" s="671">
        <v>0</v>
      </c>
      <c r="T37" s="671">
        <f t="shared" si="5"/>
        <v>0</v>
      </c>
      <c r="U37" s="671">
        <v>0</v>
      </c>
      <c r="V37" s="671">
        <v>0</v>
      </c>
      <c r="W37" s="671">
        <v>0</v>
      </c>
      <c r="X37" s="672">
        <v>0</v>
      </c>
      <c r="Y37" s="673">
        <f t="shared" si="6"/>
        <v>0</v>
      </c>
      <c r="Z37" s="672">
        <f t="shared" si="7"/>
        <v>0</v>
      </c>
      <c r="AA37" s="673">
        <f t="shared" si="8"/>
        <v>0</v>
      </c>
      <c r="AB37" s="672">
        <v>0</v>
      </c>
      <c r="AC37" s="673">
        <f t="shared" si="9"/>
        <v>6787894.9399999995</v>
      </c>
      <c r="AD37" s="129"/>
      <c r="AE37" s="146"/>
      <c r="AF37" s="146"/>
      <c r="AG37" s="146"/>
      <c r="AH37" s="146"/>
      <c r="AI37" s="146"/>
      <c r="AJ37" s="146"/>
      <c r="AK37" s="146"/>
      <c r="AL37" s="146"/>
      <c r="AM37" s="146"/>
      <c r="AN37" s="146"/>
      <c r="AO37" s="146"/>
      <c r="AP37" s="146"/>
      <c r="AQ37" s="146"/>
      <c r="AR37" s="146"/>
      <c r="AS37" s="146"/>
      <c r="AT37" s="146"/>
      <c r="AU37" s="146"/>
      <c r="AV37" s="146"/>
      <c r="AW37" s="146"/>
      <c r="AX37" s="146"/>
      <c r="AY37" s="146"/>
      <c r="AZ37" s="146"/>
      <c r="BA37" s="146"/>
      <c r="BB37" s="146"/>
      <c r="BC37" s="146"/>
      <c r="BD37" s="146"/>
      <c r="BE37" s="146"/>
      <c r="BF37" s="146"/>
      <c r="BG37" s="146"/>
      <c r="BH37" s="146"/>
      <c r="BI37" s="146"/>
      <c r="BJ37" s="146"/>
      <c r="BK37" s="146"/>
      <c r="BL37" s="146"/>
      <c r="BM37" s="146"/>
      <c r="BN37" s="146"/>
      <c r="BO37" s="146"/>
      <c r="BP37" s="146"/>
      <c r="BQ37" s="146"/>
      <c r="BR37" s="146"/>
      <c r="BS37" s="146"/>
      <c r="BT37" s="146"/>
      <c r="BU37" s="146"/>
      <c r="BV37" s="146"/>
      <c r="BW37" s="146"/>
      <c r="BX37" s="146"/>
      <c r="BY37" s="146"/>
      <c r="BZ37" s="146"/>
      <c r="CA37" s="146"/>
      <c r="CB37" s="146"/>
      <c r="CC37" s="146"/>
      <c r="CD37" s="146"/>
      <c r="CE37" s="146"/>
      <c r="CF37" s="146"/>
      <c r="CG37" s="146"/>
      <c r="CH37" s="146"/>
      <c r="CI37" s="146"/>
      <c r="CJ37" s="146"/>
      <c r="CK37" s="146"/>
      <c r="CL37" s="146"/>
      <c r="CM37" s="146"/>
      <c r="CN37" s="146"/>
      <c r="CO37" s="146"/>
      <c r="CP37" s="146"/>
      <c r="CQ37" s="146"/>
      <c r="CR37" s="146"/>
      <c r="CS37" s="146"/>
      <c r="CT37" s="146"/>
      <c r="CU37" s="146"/>
      <c r="CV37" s="146"/>
      <c r="CW37" s="146"/>
      <c r="CX37" s="146"/>
      <c r="CY37" s="146"/>
      <c r="CZ37" s="146"/>
      <c r="DA37" s="146"/>
      <c r="DB37" s="146"/>
      <c r="DC37" s="146"/>
      <c r="DD37" s="146"/>
      <c r="DE37" s="146"/>
      <c r="DF37" s="146"/>
      <c r="DG37" s="146"/>
      <c r="DH37" s="146"/>
      <c r="DI37" s="146"/>
      <c r="DJ37" s="146"/>
      <c r="DK37" s="146"/>
      <c r="DL37" s="146"/>
      <c r="DM37" s="146"/>
      <c r="DN37" s="146"/>
      <c r="DO37" s="146"/>
      <c r="DP37" s="146"/>
      <c r="DQ37" s="146"/>
      <c r="DR37" s="146"/>
      <c r="DS37" s="146"/>
      <c r="DT37" s="146"/>
      <c r="DU37" s="146"/>
      <c r="DV37" s="146"/>
      <c r="DW37" s="146"/>
      <c r="DX37" s="146"/>
      <c r="DY37" s="146"/>
      <c r="DZ37" s="146"/>
      <c r="EA37" s="146"/>
      <c r="EB37" s="146"/>
      <c r="EC37" s="146"/>
      <c r="ED37" s="146"/>
      <c r="EE37" s="146"/>
      <c r="EF37" s="146"/>
      <c r="EG37" s="146"/>
      <c r="EH37" s="146"/>
      <c r="EI37" s="146"/>
      <c r="EJ37" s="146"/>
      <c r="EK37" s="146"/>
      <c r="EL37" s="146"/>
      <c r="EM37" s="146"/>
      <c r="EN37" s="146"/>
      <c r="EO37" s="146"/>
      <c r="EP37" s="146"/>
      <c r="EQ37" s="146"/>
      <c r="ER37" s="146"/>
      <c r="ES37" s="146"/>
      <c r="ET37" s="146"/>
      <c r="EU37" s="146"/>
      <c r="EV37" s="146"/>
      <c r="EW37" s="146"/>
      <c r="EX37" s="146"/>
      <c r="EY37" s="146"/>
      <c r="EZ37" s="146"/>
      <c r="FA37" s="146"/>
      <c r="FB37" s="146"/>
      <c r="FC37" s="146"/>
      <c r="FD37" s="146"/>
      <c r="FE37" s="146"/>
      <c r="FF37" s="146"/>
      <c r="FG37" s="146"/>
      <c r="FH37" s="146"/>
      <c r="FI37" s="146"/>
      <c r="FJ37" s="146"/>
      <c r="FK37" s="146"/>
      <c r="FL37" s="146"/>
      <c r="FM37" s="146"/>
      <c r="FN37" s="146"/>
      <c r="FO37" s="146"/>
      <c r="FP37" s="146"/>
      <c r="FQ37" s="146"/>
      <c r="FR37" s="146"/>
      <c r="FS37" s="146"/>
      <c r="FT37" s="146"/>
      <c r="FU37" s="146"/>
      <c r="FV37" s="146"/>
      <c r="FW37" s="146"/>
      <c r="FX37" s="146"/>
      <c r="FY37" s="146"/>
      <c r="FZ37" s="146"/>
      <c r="GA37" s="146"/>
      <c r="GB37" s="146"/>
      <c r="GC37" s="146"/>
      <c r="GD37" s="146"/>
      <c r="GE37" s="146"/>
      <c r="GF37" s="146"/>
      <c r="GG37" s="146"/>
      <c r="GH37" s="146"/>
      <c r="GI37" s="146"/>
      <c r="GJ37" s="146"/>
      <c r="GK37" s="146"/>
      <c r="GL37" s="146"/>
      <c r="GM37" s="146"/>
      <c r="GN37" s="146"/>
      <c r="GO37" s="146"/>
      <c r="GP37" s="146"/>
      <c r="GQ37" s="146"/>
      <c r="GR37" s="146"/>
      <c r="GS37" s="146"/>
      <c r="GT37" s="146"/>
      <c r="GU37" s="146"/>
      <c r="GV37" s="146"/>
      <c r="GW37" s="146"/>
      <c r="GX37" s="146"/>
      <c r="GY37" s="146"/>
      <c r="GZ37" s="146"/>
      <c r="HA37" s="146"/>
      <c r="HB37" s="146"/>
      <c r="HC37" s="146"/>
      <c r="HD37" s="146"/>
      <c r="HE37" s="146"/>
      <c r="HF37" s="146"/>
      <c r="HG37" s="146"/>
      <c r="HH37" s="146"/>
      <c r="HI37" s="146"/>
      <c r="HJ37" s="146"/>
      <c r="HK37" s="146"/>
      <c r="HL37" s="146"/>
      <c r="HM37" s="146"/>
      <c r="HN37" s="146"/>
      <c r="HO37" s="146"/>
      <c r="HP37" s="146"/>
      <c r="HQ37" s="146"/>
      <c r="HR37" s="146"/>
      <c r="HS37" s="146"/>
      <c r="HT37" s="146"/>
      <c r="HU37" s="146"/>
      <c r="HV37" s="146"/>
      <c r="HW37" s="146"/>
      <c r="HX37" s="146"/>
      <c r="HY37" s="146"/>
      <c r="HZ37" s="146"/>
      <c r="IA37" s="146"/>
      <c r="IB37" s="146"/>
      <c r="IC37" s="146"/>
      <c r="ID37" s="146"/>
      <c r="IE37" s="146"/>
      <c r="IF37" s="146"/>
      <c r="IG37" s="146"/>
      <c r="IH37" s="146"/>
      <c r="II37" s="146"/>
      <c r="IJ37" s="146"/>
      <c r="IK37" s="146"/>
      <c r="IL37" s="146"/>
      <c r="IM37" s="146"/>
      <c r="IN37" s="146"/>
      <c r="IO37" s="146"/>
      <c r="IP37" s="146"/>
      <c r="IQ37" s="146"/>
    </row>
    <row r="38" spans="1:251" s="32" customFormat="1" x14ac:dyDescent="0.45">
      <c r="A38" s="247" t="s">
        <v>45</v>
      </c>
      <c r="B38" s="671">
        <v>7266685</v>
      </c>
      <c r="C38" s="671">
        <v>35091471</v>
      </c>
      <c r="D38" s="671">
        <f t="shared" si="0"/>
        <v>42358156</v>
      </c>
      <c r="E38" s="671"/>
      <c r="F38" s="671">
        <v>966470</v>
      </c>
      <c r="G38" s="671">
        <v>9777162</v>
      </c>
      <c r="H38" s="671">
        <v>671587</v>
      </c>
      <c r="I38" s="671">
        <f t="shared" si="1"/>
        <v>11415219</v>
      </c>
      <c r="J38" s="671">
        <v>53774</v>
      </c>
      <c r="K38" s="671">
        <v>7609909</v>
      </c>
      <c r="L38" s="671">
        <v>1511400</v>
      </c>
      <c r="M38" s="671">
        <v>0</v>
      </c>
      <c r="N38" s="671">
        <f t="shared" si="2"/>
        <v>1511400</v>
      </c>
      <c r="O38" s="671">
        <f t="shared" si="3"/>
        <v>9175083</v>
      </c>
      <c r="P38" s="671">
        <f t="shared" si="4"/>
        <v>20590302</v>
      </c>
      <c r="Q38" s="671"/>
      <c r="R38" s="671">
        <v>16471</v>
      </c>
      <c r="S38" s="671">
        <v>1216637</v>
      </c>
      <c r="T38" s="671">
        <f t="shared" si="5"/>
        <v>1233108</v>
      </c>
      <c r="U38" s="671">
        <v>25111</v>
      </c>
      <c r="V38" s="671">
        <v>6717824</v>
      </c>
      <c r="W38" s="671">
        <v>2000095</v>
      </c>
      <c r="X38" s="672">
        <v>0</v>
      </c>
      <c r="Y38" s="673">
        <f t="shared" si="6"/>
        <v>2000095</v>
      </c>
      <c r="Z38" s="672">
        <f t="shared" si="7"/>
        <v>8743030</v>
      </c>
      <c r="AA38" s="673">
        <f t="shared" si="8"/>
        <v>9976138</v>
      </c>
      <c r="AB38" s="672">
        <v>0</v>
      </c>
      <c r="AC38" s="673">
        <f t="shared" si="9"/>
        <v>72924596</v>
      </c>
      <c r="AD38" s="143"/>
      <c r="AE38" s="146"/>
      <c r="AF38" s="146"/>
      <c r="AG38" s="146"/>
      <c r="AH38" s="146"/>
      <c r="AI38" s="146"/>
      <c r="AJ38" s="146"/>
      <c r="AK38" s="146"/>
      <c r="AL38" s="146"/>
      <c r="AM38" s="146"/>
      <c r="AN38" s="146"/>
      <c r="AO38" s="146"/>
      <c r="AP38" s="146"/>
      <c r="AQ38" s="146"/>
      <c r="AR38" s="146"/>
      <c r="AS38" s="146"/>
      <c r="AT38" s="146"/>
      <c r="AU38" s="146"/>
      <c r="AV38" s="146"/>
      <c r="AW38" s="146"/>
      <c r="AX38" s="146"/>
      <c r="AY38" s="146"/>
      <c r="AZ38" s="146"/>
      <c r="BA38" s="146"/>
      <c r="BB38" s="146"/>
      <c r="BC38" s="146"/>
      <c r="BD38" s="146"/>
      <c r="BE38" s="146"/>
      <c r="BF38" s="146"/>
      <c r="BG38" s="146"/>
      <c r="BH38" s="146"/>
      <c r="BI38" s="146"/>
      <c r="BJ38" s="146"/>
      <c r="BK38" s="146"/>
      <c r="BL38" s="146"/>
      <c r="BM38" s="146"/>
      <c r="BN38" s="146"/>
      <c r="BO38" s="146"/>
      <c r="BP38" s="146"/>
      <c r="BQ38" s="146"/>
      <c r="BR38" s="146"/>
      <c r="BS38" s="146"/>
      <c r="BT38" s="146"/>
      <c r="BU38" s="146"/>
      <c r="BV38" s="146"/>
      <c r="BW38" s="146"/>
      <c r="BX38" s="146"/>
      <c r="BY38" s="146"/>
      <c r="BZ38" s="146"/>
      <c r="CA38" s="146"/>
      <c r="CB38" s="146"/>
      <c r="CC38" s="146"/>
      <c r="CD38" s="146"/>
      <c r="CE38" s="146"/>
      <c r="CF38" s="146"/>
      <c r="CG38" s="146"/>
      <c r="CH38" s="146"/>
      <c r="CI38" s="146"/>
      <c r="CJ38" s="146"/>
      <c r="CK38" s="146"/>
      <c r="CL38" s="146"/>
      <c r="CM38" s="146"/>
      <c r="CN38" s="146"/>
      <c r="CO38" s="146"/>
      <c r="CP38" s="146"/>
      <c r="CQ38" s="146"/>
      <c r="CR38" s="146"/>
      <c r="CS38" s="146"/>
      <c r="CT38" s="146"/>
      <c r="CU38" s="146"/>
      <c r="CV38" s="146"/>
      <c r="CW38" s="146"/>
      <c r="CX38" s="146"/>
      <c r="CY38" s="146"/>
      <c r="CZ38" s="146"/>
      <c r="DA38" s="146"/>
      <c r="DB38" s="146"/>
      <c r="DC38" s="146"/>
      <c r="DD38" s="146"/>
      <c r="DE38" s="146"/>
      <c r="DF38" s="146"/>
      <c r="DG38" s="146"/>
      <c r="DH38" s="146"/>
      <c r="DI38" s="146"/>
      <c r="DJ38" s="146"/>
      <c r="DK38" s="146"/>
      <c r="DL38" s="146"/>
      <c r="DM38" s="146"/>
      <c r="DN38" s="146"/>
      <c r="DO38" s="146"/>
      <c r="DP38" s="146"/>
      <c r="DQ38" s="146"/>
      <c r="DR38" s="146"/>
      <c r="DS38" s="146"/>
      <c r="DT38" s="146"/>
      <c r="DU38" s="146"/>
      <c r="DV38" s="146"/>
      <c r="DW38" s="146"/>
      <c r="DX38" s="146"/>
      <c r="DY38" s="146"/>
      <c r="DZ38" s="146"/>
      <c r="EA38" s="146"/>
      <c r="EB38" s="146"/>
      <c r="EC38" s="146"/>
      <c r="ED38" s="146"/>
      <c r="EE38" s="146"/>
      <c r="EF38" s="146"/>
      <c r="EG38" s="146"/>
      <c r="EH38" s="146"/>
      <c r="EI38" s="146"/>
      <c r="EJ38" s="146"/>
      <c r="EK38" s="146"/>
      <c r="EL38" s="146"/>
      <c r="EM38" s="146"/>
      <c r="EN38" s="146"/>
      <c r="EO38" s="146"/>
      <c r="EP38" s="146"/>
      <c r="EQ38" s="146"/>
      <c r="ER38" s="146"/>
      <c r="ES38" s="146"/>
      <c r="ET38" s="146"/>
      <c r="EU38" s="146"/>
      <c r="EV38" s="146"/>
      <c r="EW38" s="146"/>
      <c r="EX38" s="146"/>
      <c r="EY38" s="146"/>
      <c r="EZ38" s="146"/>
      <c r="FA38" s="146"/>
      <c r="FB38" s="146"/>
      <c r="FC38" s="146"/>
      <c r="FD38" s="146"/>
      <c r="FE38" s="146"/>
      <c r="FF38" s="146"/>
      <c r="FG38" s="146"/>
      <c r="FH38" s="146"/>
      <c r="FI38" s="146"/>
      <c r="FJ38" s="146"/>
      <c r="FK38" s="146"/>
      <c r="FL38" s="146"/>
      <c r="FM38" s="146"/>
      <c r="FN38" s="146"/>
      <c r="FO38" s="146"/>
      <c r="FP38" s="146"/>
      <c r="FQ38" s="146"/>
      <c r="FR38" s="146"/>
      <c r="FS38" s="146"/>
      <c r="FT38" s="146"/>
      <c r="FU38" s="146"/>
      <c r="FV38" s="146"/>
      <c r="FW38" s="146"/>
      <c r="FX38" s="146"/>
      <c r="FY38" s="146"/>
      <c r="FZ38" s="146"/>
      <c r="GA38" s="146"/>
      <c r="GB38" s="146"/>
      <c r="GC38" s="146"/>
      <c r="GD38" s="146"/>
      <c r="GE38" s="146"/>
      <c r="GF38" s="146"/>
      <c r="GG38" s="146"/>
      <c r="GH38" s="146"/>
      <c r="GI38" s="146"/>
      <c r="GJ38" s="146"/>
      <c r="GK38" s="146"/>
      <c r="GL38" s="146"/>
      <c r="GM38" s="146"/>
      <c r="GN38" s="146"/>
      <c r="GO38" s="146"/>
      <c r="GP38" s="146"/>
      <c r="GQ38" s="146"/>
      <c r="GR38" s="146"/>
      <c r="GS38" s="146"/>
      <c r="GT38" s="146"/>
      <c r="GU38" s="146"/>
      <c r="GV38" s="146"/>
      <c r="GW38" s="146"/>
      <c r="GX38" s="146"/>
      <c r="GY38" s="146"/>
      <c r="GZ38" s="146"/>
      <c r="HA38" s="146"/>
      <c r="HB38" s="146"/>
      <c r="HC38" s="146"/>
      <c r="HD38" s="146"/>
      <c r="HE38" s="146"/>
      <c r="HF38" s="146"/>
      <c r="HG38" s="146"/>
      <c r="HH38" s="146"/>
      <c r="HI38" s="146"/>
      <c r="HJ38" s="146"/>
      <c r="HK38" s="146"/>
      <c r="HL38" s="146"/>
      <c r="HM38" s="146"/>
      <c r="HN38" s="146"/>
      <c r="HO38" s="146"/>
      <c r="HP38" s="146"/>
      <c r="HQ38" s="146"/>
      <c r="HR38" s="146"/>
      <c r="HS38" s="146"/>
      <c r="HT38" s="146"/>
      <c r="HU38" s="146"/>
      <c r="HV38" s="146"/>
      <c r="HW38" s="146"/>
      <c r="HX38" s="146"/>
      <c r="HY38" s="146"/>
      <c r="HZ38" s="146"/>
      <c r="IA38" s="146"/>
      <c r="IB38" s="146"/>
      <c r="IC38" s="146"/>
      <c r="ID38" s="146"/>
      <c r="IE38" s="146"/>
      <c r="IF38" s="146"/>
      <c r="IG38" s="146"/>
      <c r="IH38" s="146"/>
      <c r="II38" s="146"/>
      <c r="IJ38" s="146"/>
      <c r="IK38" s="146"/>
      <c r="IL38" s="146"/>
      <c r="IM38" s="146"/>
      <c r="IN38" s="146"/>
      <c r="IO38" s="146"/>
      <c r="IP38" s="146"/>
      <c r="IQ38" s="146"/>
    </row>
    <row r="39" spans="1:251" s="317" customFormat="1" x14ac:dyDescent="0.45">
      <c r="A39" s="686" t="s">
        <v>46</v>
      </c>
      <c r="B39" s="682">
        <v>1801554.84</v>
      </c>
      <c r="C39" s="682">
        <v>11930801.310000001</v>
      </c>
      <c r="D39" s="682">
        <f t="shared" si="0"/>
        <v>13732356.15</v>
      </c>
      <c r="E39" s="682"/>
      <c r="F39" s="682">
        <v>97057.41</v>
      </c>
      <c r="G39" s="682">
        <v>1041309.8</v>
      </c>
      <c r="H39" s="682">
        <v>85287.1</v>
      </c>
      <c r="I39" s="682">
        <f t="shared" si="1"/>
        <v>1223654.31</v>
      </c>
      <c r="J39" s="682">
        <v>0</v>
      </c>
      <c r="K39" s="682">
        <v>0</v>
      </c>
      <c r="L39" s="682">
        <v>0</v>
      </c>
      <c r="M39" s="682">
        <v>0</v>
      </c>
      <c r="N39" s="682">
        <f t="shared" si="2"/>
        <v>0</v>
      </c>
      <c r="O39" s="682">
        <f t="shared" si="3"/>
        <v>0</v>
      </c>
      <c r="P39" s="682">
        <f t="shared" si="4"/>
        <v>1223654.31</v>
      </c>
      <c r="Q39" s="682"/>
      <c r="R39" s="682">
        <v>0</v>
      </c>
      <c r="S39" s="682">
        <v>0</v>
      </c>
      <c r="T39" s="682">
        <f t="shared" si="5"/>
        <v>0</v>
      </c>
      <c r="U39" s="682">
        <v>3543.48</v>
      </c>
      <c r="V39" s="682">
        <v>397334.9</v>
      </c>
      <c r="W39" s="682">
        <v>180665.92</v>
      </c>
      <c r="X39" s="683">
        <v>0</v>
      </c>
      <c r="Y39" s="695">
        <f t="shared" si="6"/>
        <v>180665.92</v>
      </c>
      <c r="Z39" s="683">
        <f t="shared" si="7"/>
        <v>581544.30000000005</v>
      </c>
      <c r="AA39" s="695">
        <f t="shared" si="8"/>
        <v>581544.30000000005</v>
      </c>
      <c r="AB39" s="683">
        <v>0</v>
      </c>
      <c r="AC39" s="695">
        <f t="shared" si="9"/>
        <v>15537554.760000002</v>
      </c>
      <c r="AD39" s="315"/>
      <c r="AE39" s="316"/>
      <c r="AF39" s="316"/>
      <c r="AG39" s="316"/>
      <c r="AH39" s="316"/>
      <c r="AI39" s="316"/>
      <c r="AJ39" s="316"/>
      <c r="AK39" s="316"/>
      <c r="AL39" s="316"/>
      <c r="AM39" s="316"/>
      <c r="AN39" s="316"/>
      <c r="AO39" s="316"/>
      <c r="AP39" s="316"/>
      <c r="AQ39" s="316"/>
      <c r="AR39" s="316"/>
      <c r="AS39" s="316"/>
      <c r="AT39" s="316"/>
      <c r="AU39" s="316"/>
      <c r="AV39" s="316"/>
      <c r="AW39" s="316"/>
      <c r="AX39" s="316"/>
      <c r="AY39" s="316"/>
      <c r="AZ39" s="316"/>
      <c r="BA39" s="316"/>
      <c r="BB39" s="316"/>
      <c r="BC39" s="316"/>
      <c r="BD39" s="316"/>
      <c r="BE39" s="316"/>
      <c r="BF39" s="316"/>
      <c r="BG39" s="316"/>
      <c r="BH39" s="316"/>
      <c r="BI39" s="316"/>
      <c r="BJ39" s="316"/>
      <c r="BK39" s="316"/>
      <c r="BL39" s="316"/>
      <c r="BM39" s="316"/>
      <c r="BN39" s="316"/>
      <c r="BO39" s="316"/>
      <c r="BP39" s="316"/>
      <c r="BQ39" s="316"/>
      <c r="BR39" s="316"/>
      <c r="BS39" s="316"/>
      <c r="BT39" s="316"/>
      <c r="BU39" s="316"/>
      <c r="BV39" s="316"/>
      <c r="BW39" s="316"/>
      <c r="BX39" s="316"/>
      <c r="BY39" s="316"/>
      <c r="BZ39" s="316"/>
      <c r="CA39" s="316"/>
      <c r="CB39" s="316"/>
      <c r="CC39" s="316"/>
      <c r="CD39" s="316"/>
      <c r="CE39" s="316"/>
      <c r="CF39" s="316"/>
      <c r="CG39" s="316"/>
      <c r="CH39" s="316"/>
      <c r="CI39" s="316"/>
      <c r="CJ39" s="316"/>
      <c r="CK39" s="316"/>
      <c r="CL39" s="316"/>
      <c r="CM39" s="316"/>
      <c r="CN39" s="316"/>
      <c r="CO39" s="316"/>
      <c r="CP39" s="316"/>
      <c r="CQ39" s="316"/>
      <c r="CR39" s="316"/>
      <c r="CS39" s="316"/>
      <c r="CT39" s="316"/>
      <c r="CU39" s="316"/>
      <c r="CV39" s="316"/>
      <c r="CW39" s="316"/>
      <c r="CX39" s="316"/>
      <c r="CY39" s="316"/>
      <c r="CZ39" s="316"/>
      <c r="DA39" s="316"/>
      <c r="DB39" s="316"/>
      <c r="DC39" s="316"/>
      <c r="DD39" s="316"/>
      <c r="DE39" s="316"/>
      <c r="DF39" s="316"/>
      <c r="DG39" s="316"/>
      <c r="DH39" s="316"/>
      <c r="DI39" s="316"/>
      <c r="DJ39" s="316"/>
      <c r="DK39" s="316"/>
      <c r="DL39" s="316"/>
      <c r="DM39" s="316"/>
      <c r="DN39" s="316"/>
      <c r="DO39" s="316"/>
      <c r="DP39" s="316"/>
      <c r="DQ39" s="316"/>
      <c r="DR39" s="316"/>
      <c r="DS39" s="316"/>
      <c r="DT39" s="316"/>
      <c r="DU39" s="316"/>
      <c r="DV39" s="316"/>
      <c r="DW39" s="316"/>
      <c r="DX39" s="316"/>
      <c r="DY39" s="316"/>
      <c r="DZ39" s="316"/>
      <c r="EA39" s="316"/>
      <c r="EB39" s="316"/>
      <c r="EC39" s="316"/>
      <c r="ED39" s="316"/>
      <c r="EE39" s="316"/>
      <c r="EF39" s="316"/>
      <c r="EG39" s="316"/>
      <c r="EH39" s="316"/>
      <c r="EI39" s="316"/>
      <c r="EJ39" s="316"/>
      <c r="EK39" s="316"/>
      <c r="EL39" s="316"/>
      <c r="EM39" s="316"/>
      <c r="EN39" s="316"/>
      <c r="EO39" s="316"/>
      <c r="EP39" s="316"/>
      <c r="EQ39" s="316"/>
      <c r="ER39" s="316"/>
      <c r="ES39" s="316"/>
      <c r="ET39" s="316"/>
      <c r="EU39" s="316"/>
      <c r="EV39" s="316"/>
      <c r="EW39" s="316"/>
      <c r="EX39" s="316"/>
      <c r="EY39" s="316"/>
      <c r="EZ39" s="316"/>
      <c r="FA39" s="316"/>
      <c r="FB39" s="316"/>
      <c r="FC39" s="316"/>
      <c r="FD39" s="316"/>
      <c r="FE39" s="316"/>
      <c r="FF39" s="316"/>
      <c r="FG39" s="316"/>
      <c r="FH39" s="316"/>
      <c r="FI39" s="316"/>
      <c r="FJ39" s="316"/>
      <c r="FK39" s="316"/>
      <c r="FL39" s="316"/>
      <c r="FM39" s="316"/>
      <c r="FN39" s="316"/>
      <c r="FO39" s="316"/>
      <c r="FP39" s="316"/>
      <c r="FQ39" s="316"/>
      <c r="FR39" s="316"/>
      <c r="FS39" s="316"/>
      <c r="FT39" s="316"/>
      <c r="FU39" s="316"/>
      <c r="FV39" s="316"/>
      <c r="FW39" s="316"/>
      <c r="FX39" s="316"/>
      <c r="FY39" s="316"/>
      <c r="FZ39" s="316"/>
      <c r="GA39" s="316"/>
      <c r="GB39" s="316"/>
      <c r="GC39" s="316"/>
      <c r="GD39" s="316"/>
      <c r="GE39" s="316"/>
      <c r="GF39" s="316"/>
      <c r="GG39" s="316"/>
      <c r="GH39" s="316"/>
      <c r="GI39" s="316"/>
      <c r="GJ39" s="316"/>
      <c r="GK39" s="316"/>
      <c r="GL39" s="316"/>
      <c r="GM39" s="316"/>
      <c r="GN39" s="316"/>
      <c r="GO39" s="316"/>
      <c r="GP39" s="316"/>
      <c r="GQ39" s="316"/>
      <c r="GR39" s="316"/>
      <c r="GS39" s="316"/>
      <c r="GT39" s="316"/>
      <c r="GU39" s="316"/>
      <c r="GV39" s="316"/>
      <c r="GW39" s="316"/>
      <c r="GX39" s="316"/>
      <c r="GY39" s="316"/>
      <c r="GZ39" s="316"/>
      <c r="HA39" s="316"/>
      <c r="HB39" s="316"/>
      <c r="HC39" s="316"/>
      <c r="HD39" s="316"/>
      <c r="HE39" s="316"/>
      <c r="HF39" s="316"/>
      <c r="HG39" s="316"/>
      <c r="HH39" s="316"/>
      <c r="HI39" s="316"/>
      <c r="HJ39" s="316"/>
      <c r="HK39" s="316"/>
      <c r="HL39" s="316"/>
      <c r="HM39" s="316"/>
      <c r="HN39" s="316"/>
      <c r="HO39" s="316"/>
      <c r="HP39" s="316"/>
      <c r="HQ39" s="316"/>
      <c r="HR39" s="316"/>
      <c r="HS39" s="316"/>
      <c r="HT39" s="316"/>
      <c r="HU39" s="316"/>
      <c r="HV39" s="316"/>
      <c r="HW39" s="316"/>
      <c r="HX39" s="316"/>
      <c r="HY39" s="316"/>
      <c r="HZ39" s="316"/>
      <c r="IA39" s="316"/>
      <c r="IB39" s="316"/>
      <c r="IC39" s="316"/>
      <c r="ID39" s="316"/>
      <c r="IE39" s="316"/>
      <c r="IF39" s="316"/>
      <c r="IG39" s="316"/>
      <c r="IH39" s="316"/>
      <c r="II39" s="316"/>
      <c r="IJ39" s="316"/>
      <c r="IK39" s="316"/>
      <c r="IL39" s="316"/>
      <c r="IM39" s="316"/>
      <c r="IN39" s="316"/>
      <c r="IO39" s="316"/>
      <c r="IP39" s="316"/>
      <c r="IQ39" s="316"/>
    </row>
    <row r="40" spans="1:251" s="32" customFormat="1" x14ac:dyDescent="0.45">
      <c r="A40" s="137" t="s">
        <v>151</v>
      </c>
      <c r="B40" s="147">
        <f>SUM(B24:B39)</f>
        <v>52481326.640000001</v>
      </c>
      <c r="C40" s="147">
        <f>SUM(C24:C39)</f>
        <v>321780779.44999999</v>
      </c>
      <c r="D40" s="147">
        <f>B40+C40</f>
        <v>374262106.08999997</v>
      </c>
      <c r="E40" s="147"/>
      <c r="F40" s="147">
        <f>SUM(F24:F39)</f>
        <v>7970880.5200000005</v>
      </c>
      <c r="G40" s="147">
        <f>SUM(G24:G39)</f>
        <v>53259835.519649819</v>
      </c>
      <c r="H40" s="147">
        <f>SUM(H24:H39)</f>
        <v>5729970.0700000003</v>
      </c>
      <c r="I40" s="147">
        <f>F40+G40+H40</f>
        <v>66960686.109649822</v>
      </c>
      <c r="J40" s="147">
        <f>SUM(J24:J39)</f>
        <v>8111840.040000001</v>
      </c>
      <c r="K40" s="147">
        <f>SUM(K24:K39)</f>
        <v>139143739.47675017</v>
      </c>
      <c r="L40" s="147">
        <f>SUM(L24:L39)</f>
        <v>69849290.503600001</v>
      </c>
      <c r="M40" s="147">
        <f>SUM(M24:M39)</f>
        <v>9056269</v>
      </c>
      <c r="N40" s="147">
        <f>L40+M40</f>
        <v>78905559.503600001</v>
      </c>
      <c r="O40" s="147">
        <f>J40+K40+N40</f>
        <v>226161139.02035016</v>
      </c>
      <c r="P40" s="147">
        <f>I40+O40</f>
        <v>293121825.13</v>
      </c>
      <c r="Q40" s="147"/>
      <c r="R40" s="147">
        <f>SUM(R24:R39)</f>
        <v>16471</v>
      </c>
      <c r="S40" s="147">
        <f>SUM(S24:S39)</f>
        <v>1216637</v>
      </c>
      <c r="T40" s="147">
        <f>R40+S40</f>
        <v>1233108</v>
      </c>
      <c r="U40" s="147">
        <f>SUM(U24:U39)</f>
        <v>664680.89999999991</v>
      </c>
      <c r="V40" s="147">
        <f>SUM(V24:V39)</f>
        <v>58358598.952779993</v>
      </c>
      <c r="W40" s="147">
        <f>SUM(W24:W39)</f>
        <v>24110244.66722</v>
      </c>
      <c r="X40" s="147">
        <f>SUM(X24:X39)</f>
        <v>4337415</v>
      </c>
      <c r="Y40" s="147">
        <f>W40+X40</f>
        <v>28447659.66722</v>
      </c>
      <c r="Z40" s="147">
        <f>U40+V40+Y40</f>
        <v>87470939.519999996</v>
      </c>
      <c r="AA40" s="147">
        <f>T40+Z40</f>
        <v>88704047.519999996</v>
      </c>
      <c r="AB40" s="147">
        <f>SUM(AB24:AB39)</f>
        <v>0</v>
      </c>
      <c r="AC40" s="147">
        <f>SUM(AC24:AC39)</f>
        <v>756087978.74000013</v>
      </c>
      <c r="AD40" s="148">
        <f>SUM(AD24:AD39)</f>
        <v>0</v>
      </c>
      <c r="AE40" s="146"/>
      <c r="AF40" s="146"/>
      <c r="AG40" s="146"/>
      <c r="AH40" s="146"/>
      <c r="AI40" s="146"/>
      <c r="AJ40" s="146"/>
      <c r="AK40" s="146"/>
      <c r="AL40" s="146"/>
      <c r="AM40" s="146"/>
      <c r="AN40" s="146"/>
      <c r="AO40" s="146"/>
      <c r="AP40" s="146"/>
      <c r="AQ40" s="146"/>
      <c r="AR40" s="146"/>
      <c r="AS40" s="146"/>
      <c r="AT40" s="146"/>
      <c r="AU40" s="146"/>
      <c r="AV40" s="146"/>
      <c r="AW40" s="146"/>
      <c r="AX40" s="146"/>
      <c r="AY40" s="146"/>
      <c r="AZ40" s="146"/>
      <c r="BA40" s="146"/>
      <c r="BB40" s="146"/>
      <c r="BC40" s="146"/>
      <c r="BD40" s="146"/>
      <c r="BE40" s="146"/>
      <c r="BF40" s="146"/>
      <c r="BG40" s="146"/>
      <c r="BH40" s="146"/>
      <c r="BI40" s="146"/>
      <c r="BJ40" s="146"/>
      <c r="BK40" s="146"/>
      <c r="BL40" s="146"/>
      <c r="BM40" s="146"/>
      <c r="BN40" s="146"/>
      <c r="BO40" s="146"/>
      <c r="BP40" s="146"/>
      <c r="BQ40" s="146"/>
      <c r="BR40" s="146"/>
      <c r="BS40" s="146"/>
      <c r="BT40" s="146"/>
      <c r="BU40" s="146"/>
      <c r="BV40" s="146"/>
      <c r="BW40" s="146"/>
      <c r="BX40" s="146"/>
      <c r="BY40" s="146"/>
      <c r="BZ40" s="146"/>
      <c r="CA40" s="146"/>
      <c r="CB40" s="146"/>
      <c r="CC40" s="146"/>
      <c r="CD40" s="146"/>
      <c r="CE40" s="146"/>
      <c r="CF40" s="146"/>
      <c r="CG40" s="146"/>
      <c r="CH40" s="146"/>
      <c r="CI40" s="146"/>
      <c r="CJ40" s="146"/>
      <c r="CK40" s="146"/>
      <c r="CL40" s="146"/>
      <c r="CM40" s="146"/>
      <c r="CN40" s="146"/>
      <c r="CO40" s="146"/>
      <c r="CP40" s="146"/>
      <c r="CQ40" s="146"/>
      <c r="CR40" s="146"/>
      <c r="CS40" s="146"/>
      <c r="CT40" s="146"/>
      <c r="CU40" s="146"/>
      <c r="CV40" s="146"/>
      <c r="CW40" s="146"/>
      <c r="CX40" s="146"/>
      <c r="CY40" s="146"/>
      <c r="CZ40" s="146"/>
      <c r="DA40" s="146"/>
      <c r="DB40" s="146"/>
      <c r="DC40" s="146"/>
      <c r="DD40" s="146"/>
      <c r="DE40" s="146"/>
      <c r="DF40" s="146"/>
      <c r="DG40" s="146"/>
      <c r="DH40" s="146"/>
      <c r="DI40" s="146"/>
      <c r="DJ40" s="146"/>
      <c r="DK40" s="146"/>
      <c r="DL40" s="146"/>
      <c r="DM40" s="146"/>
      <c r="DN40" s="146"/>
      <c r="DO40" s="146"/>
      <c r="DP40" s="146"/>
      <c r="DQ40" s="146"/>
      <c r="DR40" s="146"/>
      <c r="DS40" s="146"/>
      <c r="DT40" s="146"/>
      <c r="DU40" s="146"/>
      <c r="DV40" s="146"/>
      <c r="DW40" s="146"/>
      <c r="DX40" s="146"/>
      <c r="DY40" s="146"/>
      <c r="DZ40" s="146"/>
      <c r="EA40" s="146"/>
      <c r="EB40" s="146"/>
      <c r="EC40" s="146"/>
      <c r="ED40" s="146"/>
      <c r="EE40" s="146"/>
      <c r="EF40" s="146"/>
      <c r="EG40" s="146"/>
      <c r="EH40" s="146"/>
      <c r="EI40" s="146"/>
      <c r="EJ40" s="146"/>
      <c r="EK40" s="146"/>
      <c r="EL40" s="146"/>
      <c r="EM40" s="146"/>
      <c r="EN40" s="146"/>
      <c r="EO40" s="146"/>
      <c r="EP40" s="146"/>
      <c r="EQ40" s="146"/>
      <c r="ER40" s="146"/>
      <c r="ES40" s="146"/>
      <c r="ET40" s="146"/>
      <c r="EU40" s="146"/>
      <c r="EV40" s="146"/>
      <c r="EW40" s="146"/>
      <c r="EX40" s="146"/>
      <c r="EY40" s="146"/>
      <c r="EZ40" s="146"/>
      <c r="FA40" s="146"/>
      <c r="FB40" s="146"/>
      <c r="FC40" s="146"/>
      <c r="FD40" s="146"/>
      <c r="FE40" s="146"/>
      <c r="FF40" s="146"/>
      <c r="FG40" s="146"/>
      <c r="FH40" s="146"/>
      <c r="FI40" s="146"/>
      <c r="FJ40" s="146"/>
      <c r="FK40" s="146"/>
      <c r="FL40" s="146"/>
      <c r="FM40" s="146"/>
      <c r="FN40" s="146"/>
      <c r="FO40" s="146"/>
      <c r="FP40" s="146"/>
      <c r="FQ40" s="146"/>
      <c r="FR40" s="146"/>
      <c r="FS40" s="146"/>
      <c r="FT40" s="146"/>
      <c r="FU40" s="146"/>
      <c r="FV40" s="146"/>
      <c r="FW40" s="146"/>
      <c r="FX40" s="146"/>
      <c r="FY40" s="146"/>
      <c r="FZ40" s="146"/>
      <c r="GA40" s="146"/>
      <c r="GB40" s="146"/>
      <c r="GC40" s="146"/>
      <c r="GD40" s="146"/>
      <c r="GE40" s="146"/>
      <c r="GF40" s="146"/>
      <c r="GG40" s="146"/>
      <c r="GH40" s="146"/>
      <c r="GI40" s="146"/>
      <c r="GJ40" s="146"/>
      <c r="GK40" s="146"/>
      <c r="GL40" s="146"/>
      <c r="GM40" s="146"/>
      <c r="GN40" s="146"/>
      <c r="GO40" s="146"/>
      <c r="GP40" s="146"/>
      <c r="GQ40" s="146"/>
      <c r="GR40" s="146"/>
      <c r="GS40" s="146"/>
      <c r="GT40" s="146"/>
      <c r="GU40" s="146"/>
      <c r="GV40" s="146"/>
      <c r="GW40" s="146"/>
      <c r="GX40" s="146"/>
      <c r="GY40" s="146"/>
      <c r="GZ40" s="146"/>
      <c r="HA40" s="146"/>
      <c r="HB40" s="146"/>
      <c r="HC40" s="146"/>
      <c r="HD40" s="146"/>
      <c r="HE40" s="146"/>
      <c r="HF40" s="146"/>
      <c r="HG40" s="146"/>
      <c r="HH40" s="146"/>
      <c r="HI40" s="146"/>
      <c r="HJ40" s="146"/>
      <c r="HK40" s="146"/>
      <c r="HL40" s="146"/>
      <c r="HM40" s="146"/>
      <c r="HN40" s="146"/>
      <c r="HO40" s="146"/>
      <c r="HP40" s="146"/>
      <c r="HQ40" s="146"/>
      <c r="HR40" s="146"/>
      <c r="HS40" s="146"/>
      <c r="HT40" s="146"/>
      <c r="HU40" s="146"/>
      <c r="HV40" s="146"/>
      <c r="HW40" s="146"/>
      <c r="HX40" s="146"/>
      <c r="HY40" s="146"/>
      <c r="HZ40" s="146"/>
      <c r="IA40" s="146"/>
      <c r="IB40" s="146"/>
      <c r="IC40" s="146"/>
      <c r="ID40" s="146"/>
      <c r="IE40" s="146"/>
      <c r="IF40" s="146"/>
      <c r="IG40" s="146"/>
      <c r="IH40" s="146"/>
      <c r="II40" s="146"/>
      <c r="IJ40" s="146"/>
      <c r="IK40" s="146"/>
      <c r="IL40" s="146"/>
      <c r="IM40" s="146"/>
      <c r="IN40" s="146"/>
      <c r="IO40" s="146"/>
      <c r="IP40" s="146"/>
      <c r="IQ40" s="146"/>
    </row>
    <row r="41" spans="1:251" s="33" customFormat="1" x14ac:dyDescent="0.45">
      <c r="A41" s="127"/>
      <c r="B41" s="127"/>
      <c r="C41" s="128"/>
      <c r="D41" s="129"/>
      <c r="E41" s="34"/>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c r="AD41" s="129"/>
    </row>
    <row r="42" spans="1:251" s="33" customFormat="1" x14ac:dyDescent="0.45">
      <c r="A42" s="127" t="s">
        <v>152</v>
      </c>
      <c r="B42" s="127">
        <f>B40</f>
        <v>52481326.640000001</v>
      </c>
      <c r="C42" s="127">
        <f t="shared" ref="C42:AD42" si="10">C40</f>
        <v>321780779.44999999</v>
      </c>
      <c r="D42" s="127">
        <f t="shared" si="10"/>
        <v>374262106.08999997</v>
      </c>
      <c r="E42" s="127"/>
      <c r="F42" s="127">
        <f t="shared" si="10"/>
        <v>7970880.5200000005</v>
      </c>
      <c r="G42" s="127">
        <f t="shared" si="10"/>
        <v>53259835.519649819</v>
      </c>
      <c r="H42" s="127">
        <f t="shared" si="10"/>
        <v>5729970.0700000003</v>
      </c>
      <c r="I42" s="127">
        <f t="shared" si="10"/>
        <v>66960686.109649822</v>
      </c>
      <c r="J42" s="127">
        <f t="shared" si="10"/>
        <v>8111840.040000001</v>
      </c>
      <c r="K42" s="127">
        <f t="shared" si="10"/>
        <v>139143739.47675017</v>
      </c>
      <c r="L42" s="127">
        <f t="shared" si="10"/>
        <v>69849290.503600001</v>
      </c>
      <c r="M42" s="127">
        <f t="shared" si="10"/>
        <v>9056269</v>
      </c>
      <c r="N42" s="127">
        <f t="shared" si="10"/>
        <v>78905559.503600001</v>
      </c>
      <c r="O42" s="127">
        <f t="shared" si="10"/>
        <v>226161139.02035016</v>
      </c>
      <c r="P42" s="127">
        <f t="shared" si="10"/>
        <v>293121825.13</v>
      </c>
      <c r="Q42" s="127"/>
      <c r="R42" s="127">
        <f t="shared" si="10"/>
        <v>16471</v>
      </c>
      <c r="S42" s="127">
        <f t="shared" si="10"/>
        <v>1216637</v>
      </c>
      <c r="T42" s="127">
        <f t="shared" si="10"/>
        <v>1233108</v>
      </c>
      <c r="U42" s="127">
        <f t="shared" si="10"/>
        <v>664680.89999999991</v>
      </c>
      <c r="V42" s="127">
        <f t="shared" si="10"/>
        <v>58358598.952779993</v>
      </c>
      <c r="W42" s="127">
        <f t="shared" si="10"/>
        <v>24110244.66722</v>
      </c>
      <c r="X42" s="127">
        <f t="shared" si="10"/>
        <v>4337415</v>
      </c>
      <c r="Y42" s="127">
        <f t="shared" si="10"/>
        <v>28447659.66722</v>
      </c>
      <c r="Z42" s="127">
        <f t="shared" si="10"/>
        <v>87470939.519999996</v>
      </c>
      <c r="AA42" s="127">
        <f t="shared" si="10"/>
        <v>88704047.519999996</v>
      </c>
      <c r="AB42" s="127">
        <f t="shared" si="10"/>
        <v>0</v>
      </c>
      <c r="AC42" s="127">
        <f t="shared" si="10"/>
        <v>756087978.74000013</v>
      </c>
      <c r="AD42" s="127">
        <f t="shared" si="10"/>
        <v>0</v>
      </c>
      <c r="AH42" s="1"/>
      <c r="AI42" s="1"/>
    </row>
    <row r="43" spans="1:251" s="33" customFormat="1" x14ac:dyDescent="0.45">
      <c r="A43" s="127"/>
      <c r="B43" s="127"/>
      <c r="C43" s="128"/>
      <c r="D43" s="129"/>
      <c r="E43" s="34"/>
      <c r="F43" s="127"/>
      <c r="G43" s="127"/>
      <c r="H43" s="127"/>
      <c r="I43" s="127"/>
      <c r="J43" s="127"/>
      <c r="K43" s="127"/>
      <c r="L43" s="127"/>
      <c r="M43" s="127"/>
      <c r="N43" s="127"/>
      <c r="O43" s="127"/>
      <c r="P43" s="127"/>
      <c r="Q43" s="127"/>
      <c r="R43" s="127"/>
      <c r="S43" s="127"/>
      <c r="T43" s="127"/>
      <c r="U43" s="127"/>
      <c r="V43" s="127"/>
      <c r="W43" s="127"/>
      <c r="X43" s="127"/>
      <c r="Y43" s="127"/>
      <c r="Z43" s="127"/>
      <c r="AA43" s="127"/>
      <c r="AB43" s="127"/>
      <c r="AC43" s="127"/>
      <c r="AD43" s="129"/>
    </row>
    <row r="44" spans="1:251" s="33" customFormat="1" ht="13.5" customHeight="1" x14ac:dyDescent="0.45">
      <c r="A44" s="127" t="s">
        <v>153</v>
      </c>
      <c r="B44" s="149" t="s">
        <v>19</v>
      </c>
      <c r="C44" s="117" t="s">
        <v>19</v>
      </c>
      <c r="D44" s="126">
        <f>D40+D21</f>
        <v>374262106.08999997</v>
      </c>
      <c r="E44" s="127"/>
      <c r="F44" s="149" t="s">
        <v>19</v>
      </c>
      <c r="G44" s="149" t="s">
        <v>19</v>
      </c>
      <c r="H44" s="126">
        <f>H40+H21</f>
        <v>5729970.0700000003</v>
      </c>
      <c r="I44" s="149" t="s">
        <v>19</v>
      </c>
      <c r="J44" s="149" t="s">
        <v>19</v>
      </c>
      <c r="K44" s="149" t="s">
        <v>19</v>
      </c>
      <c r="L44" s="149" t="s">
        <v>19</v>
      </c>
      <c r="M44" s="149" t="s">
        <v>19</v>
      </c>
      <c r="N44" s="149" t="s">
        <v>19</v>
      </c>
      <c r="O44" s="150" t="s">
        <v>19</v>
      </c>
      <c r="P44" s="126">
        <f>P40+P21</f>
        <v>293121825.13</v>
      </c>
      <c r="Q44" s="149"/>
      <c r="R44" s="149" t="s">
        <v>19</v>
      </c>
      <c r="S44" s="149" t="s">
        <v>19</v>
      </c>
      <c r="T44" s="149" t="s">
        <v>19</v>
      </c>
      <c r="U44" s="149" t="s">
        <v>19</v>
      </c>
      <c r="V44" s="149" t="s">
        <v>19</v>
      </c>
      <c r="W44" s="149" t="s">
        <v>19</v>
      </c>
      <c r="X44" s="149" t="s">
        <v>19</v>
      </c>
      <c r="Y44" s="149" t="s">
        <v>19</v>
      </c>
      <c r="Z44" s="149" t="s">
        <v>19</v>
      </c>
      <c r="AA44" s="126">
        <f>AA40+AA21</f>
        <v>140588477.51999998</v>
      </c>
      <c r="AB44" s="127"/>
      <c r="AC44" s="126">
        <f>AC40+AC21</f>
        <v>807972408.74000013</v>
      </c>
      <c r="AD44" s="129"/>
    </row>
    <row r="45" spans="1:251" s="32" customFormat="1" x14ac:dyDescent="0.45">
      <c r="A45" s="137"/>
      <c r="B45" s="127"/>
      <c r="C45" s="128"/>
      <c r="D45" s="129"/>
      <c r="E45" s="127"/>
      <c r="F45" s="127"/>
      <c r="G45" s="127"/>
      <c r="H45" s="127"/>
      <c r="I45" s="127"/>
      <c r="J45" s="127"/>
      <c r="K45" s="127"/>
      <c r="L45" s="127"/>
      <c r="M45" s="127"/>
      <c r="N45" s="127"/>
      <c r="O45" s="130"/>
      <c r="P45" s="127"/>
      <c r="Q45" s="127"/>
      <c r="R45" s="127"/>
      <c r="S45" s="127"/>
      <c r="T45" s="127"/>
      <c r="U45" s="127"/>
      <c r="V45" s="127"/>
      <c r="W45" s="127"/>
      <c r="X45" s="127"/>
      <c r="Y45" s="127"/>
      <c r="Z45" s="127"/>
      <c r="AA45" s="127"/>
      <c r="AB45" s="127"/>
      <c r="AC45" s="127"/>
      <c r="AD45" s="129"/>
    </row>
    <row r="46" spans="1:251" s="157" customFormat="1" x14ac:dyDescent="0.45">
      <c r="A46" s="151" t="s">
        <v>154</v>
      </c>
      <c r="B46" s="152" t="s">
        <v>19</v>
      </c>
      <c r="C46" s="153" t="s">
        <v>19</v>
      </c>
      <c r="D46" s="154"/>
      <c r="E46" s="152"/>
      <c r="F46" s="152" t="s">
        <v>19</v>
      </c>
      <c r="G46" s="152" t="s">
        <v>19</v>
      </c>
      <c r="H46" s="152"/>
      <c r="I46" s="152" t="s">
        <v>19</v>
      </c>
      <c r="J46" s="152" t="s">
        <v>19</v>
      </c>
      <c r="K46" s="152" t="s">
        <v>19</v>
      </c>
      <c r="L46" s="152" t="s">
        <v>19</v>
      </c>
      <c r="M46" s="152" t="s">
        <v>19</v>
      </c>
      <c r="N46" s="152" t="s">
        <v>19</v>
      </c>
      <c r="O46" s="155" t="s">
        <v>19</v>
      </c>
      <c r="P46" s="156"/>
      <c r="Q46" s="152"/>
      <c r="R46" s="152" t="s">
        <v>19</v>
      </c>
      <c r="S46" s="152" t="s">
        <v>19</v>
      </c>
      <c r="T46" s="152" t="s">
        <v>19</v>
      </c>
      <c r="U46" s="152" t="s">
        <v>19</v>
      </c>
      <c r="V46" s="152" t="s">
        <v>19</v>
      </c>
      <c r="W46" s="152" t="s">
        <v>19</v>
      </c>
      <c r="X46" s="152" t="s">
        <v>19</v>
      </c>
      <c r="Y46" s="152" t="s">
        <v>19</v>
      </c>
      <c r="Z46" s="152" t="s">
        <v>19</v>
      </c>
      <c r="AA46" s="156"/>
      <c r="AB46" s="152"/>
      <c r="AC46" s="156"/>
      <c r="AD46" s="154"/>
    </row>
    <row r="47" spans="1:251" s="32" customFormat="1" x14ac:dyDescent="0.45">
      <c r="A47" s="137"/>
      <c r="B47" s="137"/>
      <c r="C47" s="158"/>
      <c r="D47" s="159"/>
      <c r="E47" s="137"/>
      <c r="F47" s="137"/>
      <c r="G47" s="137"/>
      <c r="H47" s="137"/>
      <c r="I47" s="137"/>
      <c r="J47" s="137"/>
      <c r="K47" s="137"/>
      <c r="L47" s="137"/>
      <c r="M47" s="137"/>
      <c r="N47" s="137"/>
      <c r="O47" s="160"/>
      <c r="P47" s="137"/>
      <c r="Q47" s="137"/>
      <c r="R47" s="137"/>
      <c r="S47" s="137"/>
      <c r="T47" s="137"/>
      <c r="U47" s="137"/>
      <c r="V47" s="137"/>
      <c r="W47" s="137"/>
      <c r="X47" s="137"/>
      <c r="Y47" s="137"/>
      <c r="Z47" s="137"/>
      <c r="AA47" s="137"/>
      <c r="AB47" s="137"/>
      <c r="AC47" s="137"/>
      <c r="AD47" s="161"/>
    </row>
    <row r="48" spans="1:251" s="166" customFormat="1" ht="14.65" thickBot="1" x14ac:dyDescent="0.5">
      <c r="A48" s="162" t="s">
        <v>17</v>
      </c>
      <c r="B48" s="163" t="s">
        <v>19</v>
      </c>
      <c r="C48" s="164" t="s">
        <v>19</v>
      </c>
      <c r="D48" s="162">
        <f>D44-D46</f>
        <v>374262106.08999997</v>
      </c>
      <c r="E48" s="163"/>
      <c r="F48" s="163" t="s">
        <v>19</v>
      </c>
      <c r="G48" s="163" t="s">
        <v>19</v>
      </c>
      <c r="H48" s="162">
        <f>H44-H46</f>
        <v>5729970.0700000003</v>
      </c>
      <c r="I48" s="163" t="s">
        <v>19</v>
      </c>
      <c r="J48" s="163" t="s">
        <v>19</v>
      </c>
      <c r="K48" s="163" t="s">
        <v>19</v>
      </c>
      <c r="L48" s="163" t="s">
        <v>19</v>
      </c>
      <c r="M48" s="163" t="s">
        <v>19</v>
      </c>
      <c r="N48" s="163" t="s">
        <v>19</v>
      </c>
      <c r="O48" s="165" t="s">
        <v>19</v>
      </c>
      <c r="P48" s="162">
        <f>P44-P46</f>
        <v>293121825.13</v>
      </c>
      <c r="Q48" s="163"/>
      <c r="R48" s="163" t="s">
        <v>19</v>
      </c>
      <c r="S48" s="163" t="s">
        <v>19</v>
      </c>
      <c r="T48" s="163" t="s">
        <v>19</v>
      </c>
      <c r="U48" s="163" t="s">
        <v>19</v>
      </c>
      <c r="V48" s="163" t="s">
        <v>19</v>
      </c>
      <c r="W48" s="163" t="s">
        <v>19</v>
      </c>
      <c r="X48" s="163" t="s">
        <v>19</v>
      </c>
      <c r="Y48" s="163" t="s">
        <v>19</v>
      </c>
      <c r="Z48" s="163" t="s">
        <v>19</v>
      </c>
      <c r="AA48" s="162">
        <f>AA44-AA46</f>
        <v>140588477.51999998</v>
      </c>
      <c r="AB48" s="162">
        <f>AB44-AB46</f>
        <v>0</v>
      </c>
      <c r="AC48" s="162">
        <f>AC44-AC46</f>
        <v>807972408.74000013</v>
      </c>
      <c r="AD48" s="162"/>
    </row>
    <row r="49" spans="1:30" s="166" customFormat="1" ht="14.65" thickTop="1" x14ac:dyDescent="0.45">
      <c r="A49" s="167"/>
      <c r="B49" s="1"/>
      <c r="C49" s="168"/>
      <c r="D49" s="167"/>
      <c r="E49" s="167"/>
      <c r="F49" s="167"/>
      <c r="G49" s="167"/>
      <c r="H49" s="167"/>
      <c r="I49" s="167"/>
      <c r="J49" s="167"/>
      <c r="K49" s="167"/>
      <c r="L49" s="167"/>
      <c r="M49" s="167"/>
      <c r="N49" s="167"/>
      <c r="O49" s="169"/>
      <c r="P49" s="167"/>
      <c r="Q49" s="167"/>
      <c r="R49" s="167"/>
      <c r="S49" s="167"/>
      <c r="T49" s="167"/>
      <c r="U49" s="167"/>
      <c r="V49" s="167"/>
      <c r="W49" s="167"/>
      <c r="X49" s="167"/>
      <c r="Y49" s="167"/>
      <c r="Z49" s="167"/>
      <c r="AA49" s="167"/>
      <c r="AB49" s="167"/>
      <c r="AC49" s="167"/>
      <c r="AD49" s="167"/>
    </row>
    <row r="50" spans="1:30" x14ac:dyDescent="0.45">
      <c r="A50" s="3"/>
      <c r="B50" s="3"/>
      <c r="C50" s="3"/>
      <c r="D50" s="3"/>
      <c r="E50" s="3"/>
      <c r="F50" s="3"/>
      <c r="G50" s="3"/>
      <c r="H50" s="3"/>
      <c r="I50" s="3"/>
      <c r="J50" s="3"/>
      <c r="K50" s="3"/>
      <c r="L50" s="3"/>
      <c r="M50" s="3"/>
      <c r="N50" s="3"/>
      <c r="O50" s="3"/>
      <c r="P50" s="3"/>
      <c r="Q50" s="3"/>
      <c r="R50" s="3"/>
      <c r="S50" s="3"/>
      <c r="T50" s="3"/>
      <c r="U50" s="3"/>
      <c r="V50" s="3"/>
      <c r="W50" s="32"/>
      <c r="X50" s="3"/>
      <c r="Y50" s="3"/>
      <c r="Z50" s="3"/>
      <c r="AA50" s="3"/>
      <c r="AB50" s="3"/>
      <c r="AC50" s="3"/>
      <c r="AD50" s="3"/>
    </row>
    <row r="51" spans="1:30" x14ac:dyDescent="0.45">
      <c r="A51" s="3"/>
      <c r="B51" s="3"/>
      <c r="C51" s="3"/>
      <c r="D51" s="3"/>
      <c r="E51" s="3"/>
      <c r="F51" s="3"/>
      <c r="G51" s="3"/>
      <c r="H51" s="3"/>
      <c r="I51" s="3"/>
      <c r="J51" s="3"/>
      <c r="K51" s="3"/>
      <c r="L51" s="3"/>
      <c r="M51" s="3"/>
      <c r="N51" s="3"/>
      <c r="O51" s="3"/>
      <c r="P51" s="3"/>
      <c r="Q51" s="3"/>
      <c r="R51" s="3"/>
      <c r="S51" s="3"/>
      <c r="T51" s="3"/>
      <c r="U51" s="3"/>
      <c r="V51" s="3"/>
      <c r="W51" s="36"/>
      <c r="Y51" s="3"/>
      <c r="Z51" s="3"/>
      <c r="AA51" s="3"/>
      <c r="AB51" s="3"/>
      <c r="AC51" s="3"/>
      <c r="AD51" s="3"/>
    </row>
    <row r="52" spans="1:30" x14ac:dyDescent="0.45">
      <c r="A52" s="3"/>
      <c r="B52" s="3"/>
      <c r="C52" s="3"/>
      <c r="D52" s="3"/>
      <c r="E52" s="3"/>
      <c r="F52" s="3"/>
      <c r="G52" s="3"/>
      <c r="H52" s="3"/>
      <c r="I52" s="3"/>
      <c r="J52" s="3"/>
      <c r="K52" s="3"/>
      <c r="L52" s="3"/>
      <c r="M52" s="3"/>
      <c r="N52" s="3"/>
      <c r="O52" s="3"/>
      <c r="P52" s="3"/>
      <c r="Q52" s="3"/>
      <c r="R52" s="3"/>
      <c r="S52" s="3"/>
      <c r="T52" s="3"/>
      <c r="U52" s="3"/>
      <c r="V52" s="170"/>
      <c r="W52" s="171"/>
      <c r="X52" s="3"/>
      <c r="Y52" s="3"/>
      <c r="Z52" s="3"/>
      <c r="AA52" s="3"/>
      <c r="AB52" s="3"/>
      <c r="AC52" s="3"/>
      <c r="AD52" s="3"/>
    </row>
    <row r="53" spans="1:30" x14ac:dyDescent="0.4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row>
    <row r="54" spans="1:30" s="29" customFormat="1" ht="14.65" thickBot="1" x14ac:dyDescent="0.5">
      <c r="A54" s="29" t="s">
        <v>101</v>
      </c>
      <c r="B54" s="29" t="s">
        <v>102</v>
      </c>
      <c r="C54" s="106" t="s">
        <v>103</v>
      </c>
      <c r="D54" s="29" t="s">
        <v>104</v>
      </c>
      <c r="E54" s="29" t="s">
        <v>105</v>
      </c>
      <c r="F54" s="29" t="s">
        <v>106</v>
      </c>
      <c r="G54" s="29" t="s">
        <v>107</v>
      </c>
      <c r="H54" s="29" t="s">
        <v>108</v>
      </c>
      <c r="I54" s="29" t="s">
        <v>109</v>
      </c>
      <c r="J54" s="29" t="s">
        <v>110</v>
      </c>
      <c r="K54" s="29" t="s">
        <v>111</v>
      </c>
      <c r="L54" s="29" t="s">
        <v>112</v>
      </c>
      <c r="M54" s="29" t="s">
        <v>113</v>
      </c>
      <c r="N54" s="29" t="s">
        <v>114</v>
      </c>
      <c r="O54" s="107" t="s">
        <v>115</v>
      </c>
      <c r="P54" s="29" t="s">
        <v>116</v>
      </c>
      <c r="Q54" s="29" t="s">
        <v>117</v>
      </c>
      <c r="R54" s="29" t="s">
        <v>118</v>
      </c>
      <c r="S54" s="108" t="s">
        <v>119</v>
      </c>
      <c r="T54" s="108" t="s">
        <v>120</v>
      </c>
      <c r="U54" s="108" t="s">
        <v>121</v>
      </c>
      <c r="V54" s="108" t="s">
        <v>122</v>
      </c>
      <c r="W54" s="108" t="s">
        <v>123</v>
      </c>
      <c r="X54" s="108" t="s">
        <v>124</v>
      </c>
      <c r="Y54" s="108" t="s">
        <v>125</v>
      </c>
      <c r="Z54" s="108" t="s">
        <v>126</v>
      </c>
      <c r="AA54" s="108" t="s">
        <v>127</v>
      </c>
      <c r="AB54" s="108" t="s">
        <v>128</v>
      </c>
      <c r="AC54" s="108" t="s">
        <v>129</v>
      </c>
      <c r="AD54" s="108" t="s">
        <v>130</v>
      </c>
    </row>
    <row r="55" spans="1:30" ht="14.65" thickBot="1" x14ac:dyDescent="0.5">
      <c r="A55" s="1014" t="s">
        <v>389</v>
      </c>
      <c r="B55" s="1015"/>
      <c r="C55" s="1015"/>
      <c r="D55" s="1015"/>
      <c r="E55" s="1015"/>
      <c r="F55" s="1015"/>
      <c r="G55" s="1015"/>
      <c r="H55" s="1015"/>
      <c r="I55" s="1015"/>
      <c r="J55" s="1015"/>
      <c r="K55" s="1015"/>
      <c r="L55" s="1015"/>
      <c r="M55" s="1015"/>
      <c r="N55" s="1015"/>
      <c r="O55" s="1015"/>
      <c r="P55" s="1015"/>
      <c r="Q55" s="1015"/>
      <c r="R55" s="1015"/>
      <c r="S55" s="1015"/>
      <c r="T55" s="1015"/>
      <c r="U55" s="1015"/>
      <c r="V55" s="1015"/>
      <c r="W55" s="1015"/>
      <c r="X55" s="1015"/>
      <c r="Y55" s="1015"/>
      <c r="Z55" s="1015"/>
      <c r="AA55" s="1015"/>
      <c r="AB55" s="1015"/>
      <c r="AC55" s="1015"/>
      <c r="AD55" s="1016"/>
    </row>
    <row r="56" spans="1:30" ht="12.75" customHeight="1" x14ac:dyDescent="0.45">
      <c r="A56" s="37"/>
      <c r="B56" s="1001" t="s">
        <v>3</v>
      </c>
      <c r="C56" s="1002"/>
      <c r="D56" s="1003"/>
      <c r="E56" s="38"/>
      <c r="F56" s="1001" t="s">
        <v>13</v>
      </c>
      <c r="G56" s="1002"/>
      <c r="H56" s="1002"/>
      <c r="I56" s="1002"/>
      <c r="J56" s="1002"/>
      <c r="K56" s="1002"/>
      <c r="L56" s="1002"/>
      <c r="M56" s="1002"/>
      <c r="N56" s="1002"/>
      <c r="O56" s="1002"/>
      <c r="P56" s="1003"/>
      <c r="Q56" s="172"/>
      <c r="R56" s="1001" t="s">
        <v>14</v>
      </c>
      <c r="S56" s="1002"/>
      <c r="T56" s="1002"/>
      <c r="U56" s="1002"/>
      <c r="V56" s="1002"/>
      <c r="W56" s="1002"/>
      <c r="X56" s="1002"/>
      <c r="Y56" s="1002"/>
      <c r="Z56" s="1002"/>
      <c r="AA56" s="1003"/>
      <c r="AB56" s="37"/>
      <c r="AC56" s="173"/>
      <c r="AD56" s="174"/>
    </row>
    <row r="57" spans="1:30" s="29" customFormat="1" ht="12.75" customHeight="1" x14ac:dyDescent="0.45">
      <c r="A57" s="175"/>
      <c r="B57" s="175"/>
      <c r="C57" s="176"/>
      <c r="D57" s="177"/>
      <c r="E57" s="175"/>
      <c r="F57" s="175"/>
      <c r="G57" s="1004" t="s">
        <v>22</v>
      </c>
      <c r="H57" s="1005"/>
      <c r="I57" s="1005"/>
      <c r="J57" s="39"/>
      <c r="K57" s="1004" t="s">
        <v>12</v>
      </c>
      <c r="L57" s="1005"/>
      <c r="M57" s="1005"/>
      <c r="N57" s="1005"/>
      <c r="O57" s="1005"/>
      <c r="P57" s="178"/>
      <c r="Q57" s="38"/>
      <c r="R57" s="1006" t="s">
        <v>5</v>
      </c>
      <c r="S57" s="1007"/>
      <c r="T57" s="1008"/>
      <c r="U57" s="1006" t="s">
        <v>12</v>
      </c>
      <c r="V57" s="1007"/>
      <c r="W57" s="1007"/>
      <c r="X57" s="1007"/>
      <c r="Y57" s="1007"/>
      <c r="Z57" s="1008"/>
      <c r="AA57" s="175" t="s">
        <v>10</v>
      </c>
      <c r="AB57" s="175" t="s">
        <v>16</v>
      </c>
      <c r="AC57" s="175"/>
      <c r="AD57" s="179"/>
    </row>
    <row r="58" spans="1:30" s="121" customFormat="1" x14ac:dyDescent="0.45">
      <c r="A58" s="180"/>
      <c r="B58" s="180"/>
      <c r="C58" s="176" t="s">
        <v>26</v>
      </c>
      <c r="D58" s="181"/>
      <c r="E58" s="180"/>
      <c r="F58" s="180"/>
      <c r="G58" s="175" t="s">
        <v>29</v>
      </c>
      <c r="H58" s="180"/>
      <c r="I58" s="180"/>
      <c r="J58" s="180"/>
      <c r="K58" s="180"/>
      <c r="L58" s="1011" t="s">
        <v>133</v>
      </c>
      <c r="M58" s="1012"/>
      <c r="N58" s="1013"/>
      <c r="O58" s="182"/>
      <c r="P58" s="175" t="s">
        <v>10</v>
      </c>
      <c r="Q58" s="180"/>
      <c r="R58" s="180"/>
      <c r="S58" s="175" t="s">
        <v>29</v>
      </c>
      <c r="T58" s="180"/>
      <c r="U58" s="180"/>
      <c r="V58" s="182"/>
      <c r="W58" s="1011" t="s">
        <v>155</v>
      </c>
      <c r="X58" s="1012"/>
      <c r="Y58" s="1013"/>
      <c r="Z58" s="182"/>
      <c r="AA58" s="180" t="s">
        <v>15</v>
      </c>
      <c r="AB58" s="180" t="s">
        <v>0</v>
      </c>
      <c r="AC58" s="1009" t="s">
        <v>9</v>
      </c>
      <c r="AD58" s="1010"/>
    </row>
    <row r="59" spans="1:30" s="29" customFormat="1" x14ac:dyDescent="0.45">
      <c r="A59" s="180" t="s">
        <v>11</v>
      </c>
      <c r="B59" s="175"/>
      <c r="C59" s="183" t="s">
        <v>7</v>
      </c>
      <c r="D59" s="177"/>
      <c r="E59" s="175"/>
      <c r="F59" s="175"/>
      <c r="G59" s="180" t="s">
        <v>7</v>
      </c>
      <c r="H59" s="180" t="s">
        <v>23</v>
      </c>
      <c r="I59" s="180" t="s">
        <v>10</v>
      </c>
      <c r="J59" s="175"/>
      <c r="K59" s="180" t="s">
        <v>6</v>
      </c>
      <c r="L59" s="180" t="s">
        <v>135</v>
      </c>
      <c r="M59" s="180" t="s">
        <v>136</v>
      </c>
      <c r="N59" s="180" t="s">
        <v>10</v>
      </c>
      <c r="O59" s="175"/>
      <c r="P59" s="180" t="s">
        <v>4</v>
      </c>
      <c r="Q59" s="175"/>
      <c r="R59" s="175"/>
      <c r="S59" s="180" t="s">
        <v>7</v>
      </c>
      <c r="T59" s="175"/>
      <c r="U59" s="175"/>
      <c r="V59" s="180" t="s">
        <v>6</v>
      </c>
      <c r="W59" s="180" t="s">
        <v>135</v>
      </c>
      <c r="X59" s="180" t="s">
        <v>136</v>
      </c>
      <c r="Y59" s="180" t="s">
        <v>10</v>
      </c>
      <c r="Z59" s="175"/>
      <c r="AA59" s="175"/>
      <c r="AB59" s="175"/>
      <c r="AC59" s="175"/>
      <c r="AD59" s="177"/>
    </row>
    <row r="60" spans="1:30" x14ac:dyDescent="0.45">
      <c r="A60" s="37" t="s">
        <v>138</v>
      </c>
      <c r="B60" s="37"/>
      <c r="C60" s="176" t="s">
        <v>18</v>
      </c>
      <c r="D60" s="40"/>
      <c r="E60" s="37"/>
      <c r="F60" s="37"/>
      <c r="G60" s="175" t="s">
        <v>1</v>
      </c>
      <c r="H60" s="175" t="s">
        <v>1</v>
      </c>
      <c r="I60" s="175" t="s">
        <v>1</v>
      </c>
      <c r="J60" s="37"/>
      <c r="K60" s="175" t="s">
        <v>18</v>
      </c>
      <c r="L60" s="175" t="s">
        <v>2</v>
      </c>
      <c r="M60" s="175" t="s">
        <v>2</v>
      </c>
      <c r="N60" s="175" t="s">
        <v>2</v>
      </c>
      <c r="O60" s="184"/>
      <c r="P60" s="175" t="s">
        <v>18</v>
      </c>
      <c r="Q60" s="37"/>
      <c r="R60" s="37"/>
      <c r="S60" s="175" t="s">
        <v>18</v>
      </c>
      <c r="T60" s="175"/>
      <c r="U60" s="175"/>
      <c r="V60" s="175" t="s">
        <v>18</v>
      </c>
      <c r="W60" s="175" t="s">
        <v>2</v>
      </c>
      <c r="X60" s="175" t="s">
        <v>2</v>
      </c>
      <c r="Y60" s="175" t="s">
        <v>2</v>
      </c>
      <c r="Z60" s="175"/>
      <c r="AA60" s="175" t="s">
        <v>1</v>
      </c>
      <c r="AB60" s="175" t="s">
        <v>18</v>
      </c>
      <c r="AC60" s="175" t="s">
        <v>1</v>
      </c>
      <c r="AD60" s="177" t="s">
        <v>2</v>
      </c>
    </row>
    <row r="61" spans="1:30" x14ac:dyDescent="0.45">
      <c r="A61" s="37" t="s">
        <v>139</v>
      </c>
      <c r="B61" s="180"/>
      <c r="C61" s="183"/>
      <c r="D61" s="177"/>
      <c r="E61" s="37"/>
      <c r="F61" s="175"/>
      <c r="G61" s="175"/>
      <c r="H61" s="175"/>
      <c r="I61" s="175" t="s">
        <v>156</v>
      </c>
      <c r="J61" s="175"/>
      <c r="K61" s="175"/>
      <c r="L61" s="175"/>
      <c r="M61" s="175"/>
      <c r="N61" s="175" t="s">
        <v>142</v>
      </c>
      <c r="O61" s="175"/>
      <c r="P61" s="175" t="s">
        <v>175</v>
      </c>
      <c r="Q61" s="185"/>
      <c r="R61" s="175"/>
      <c r="S61" s="175"/>
      <c r="T61" s="175"/>
      <c r="U61" s="175"/>
      <c r="V61" s="175"/>
      <c r="W61" s="175"/>
      <c r="X61" s="175"/>
      <c r="Y61" s="175" t="s">
        <v>146</v>
      </c>
      <c r="Z61" s="175"/>
      <c r="AA61" s="175" t="s">
        <v>157</v>
      </c>
      <c r="AB61" s="175"/>
      <c r="AC61" s="175" t="s">
        <v>158</v>
      </c>
      <c r="AD61" s="177" t="s">
        <v>159</v>
      </c>
    </row>
    <row r="62" spans="1:30" x14ac:dyDescent="0.45">
      <c r="A62" s="137" t="s">
        <v>30</v>
      </c>
      <c r="B62" s="37"/>
      <c r="C62" s="158"/>
      <c r="D62" s="37"/>
      <c r="E62" s="37"/>
      <c r="F62" s="37"/>
      <c r="G62" s="37"/>
      <c r="H62" s="37"/>
      <c r="I62" s="37"/>
      <c r="J62" s="37"/>
      <c r="K62" s="37"/>
      <c r="L62" s="37"/>
      <c r="M62" s="37"/>
      <c r="N62" s="37"/>
      <c r="O62" s="184"/>
      <c r="P62" s="37"/>
      <c r="Q62" s="37"/>
      <c r="R62" s="37"/>
      <c r="S62" s="185"/>
      <c r="T62" s="185"/>
      <c r="U62" s="185"/>
      <c r="V62" s="37"/>
      <c r="W62" s="37"/>
      <c r="X62" s="37"/>
      <c r="Y62" s="37"/>
      <c r="Z62" s="37"/>
      <c r="AA62" s="37"/>
      <c r="AB62" s="37"/>
      <c r="AC62" s="37"/>
      <c r="AD62" s="40"/>
    </row>
    <row r="63" spans="1:30" x14ac:dyDescent="0.45">
      <c r="A63" s="137"/>
      <c r="B63" s="37"/>
      <c r="C63" s="186"/>
      <c r="D63" s="123"/>
      <c r="E63" s="123"/>
      <c r="F63" s="123"/>
      <c r="G63" s="186"/>
      <c r="H63" s="186"/>
      <c r="I63" s="186"/>
      <c r="J63" s="186"/>
      <c r="K63" s="186"/>
      <c r="L63" s="186"/>
      <c r="M63" s="186"/>
      <c r="N63" s="128"/>
      <c r="O63" s="158"/>
      <c r="P63" s="128"/>
      <c r="Q63" s="186"/>
      <c r="R63" s="128"/>
      <c r="S63" s="186"/>
      <c r="T63" s="128"/>
      <c r="U63" s="128"/>
      <c r="V63" s="186"/>
      <c r="W63" s="186"/>
      <c r="X63" s="186"/>
      <c r="Y63" s="186"/>
      <c r="Z63" s="186"/>
      <c r="AA63" s="128"/>
      <c r="AB63" s="186"/>
      <c r="AC63" s="128"/>
      <c r="AD63" s="144"/>
    </row>
    <row r="64" spans="1:30" x14ac:dyDescent="0.45">
      <c r="A64" s="137" t="s">
        <v>217</v>
      </c>
      <c r="B64" s="37"/>
      <c r="C64" s="128">
        <v>0</v>
      </c>
      <c r="D64" s="128"/>
      <c r="E64" s="128"/>
      <c r="F64" s="128"/>
      <c r="G64" s="128">
        <v>0</v>
      </c>
      <c r="H64" s="128">
        <v>0</v>
      </c>
      <c r="I64" s="187">
        <f>+G64+H64</f>
        <v>0</v>
      </c>
      <c r="J64" s="128"/>
      <c r="K64" s="128">
        <v>0</v>
      </c>
      <c r="L64" s="128">
        <v>0</v>
      </c>
      <c r="M64" s="128">
        <v>0</v>
      </c>
      <c r="N64" s="187">
        <f>+L64+M64</f>
        <v>0</v>
      </c>
      <c r="O64" s="128">
        <v>0</v>
      </c>
      <c r="P64" s="187">
        <f>+I64+K64</f>
        <v>0</v>
      </c>
      <c r="Q64" s="128"/>
      <c r="R64" s="128"/>
      <c r="S64" s="128">
        <v>0</v>
      </c>
      <c r="T64" s="128"/>
      <c r="U64" s="128"/>
      <c r="V64" s="128">
        <v>404984526</v>
      </c>
      <c r="W64" s="128">
        <v>639781</v>
      </c>
      <c r="X64" s="128">
        <v>604649</v>
      </c>
      <c r="Y64" s="187">
        <f>+W64+X64</f>
        <v>1244430</v>
      </c>
      <c r="Z64" s="128"/>
      <c r="AA64" s="187">
        <f>+S64+V64</f>
        <v>404984526</v>
      </c>
      <c r="AB64" s="128">
        <v>0</v>
      </c>
      <c r="AC64" s="187">
        <f>+C64+P64+AA64+AB64</f>
        <v>404984526</v>
      </c>
      <c r="AD64" s="188">
        <f>+N64+Y64</f>
        <v>1244430</v>
      </c>
    </row>
    <row r="65" spans="1:37" x14ac:dyDescent="0.45">
      <c r="A65" s="127"/>
      <c r="B65" s="123"/>
      <c r="C65" s="128"/>
      <c r="D65" s="123"/>
      <c r="E65" s="123"/>
      <c r="F65" s="123"/>
      <c r="G65" s="128"/>
      <c r="H65" s="128"/>
      <c r="I65" s="128"/>
      <c r="J65" s="186"/>
      <c r="K65" s="128"/>
      <c r="L65" s="128"/>
      <c r="M65" s="128"/>
      <c r="N65" s="128"/>
      <c r="O65" s="158"/>
      <c r="P65" s="128"/>
      <c r="Q65" s="186"/>
      <c r="R65" s="128"/>
      <c r="S65" s="128"/>
      <c r="T65" s="128"/>
      <c r="U65" s="128"/>
      <c r="V65" s="128">
        <v>186523954</v>
      </c>
      <c r="W65" s="128">
        <v>318851</v>
      </c>
      <c r="X65" s="128">
        <v>312790</v>
      </c>
      <c r="Y65" s="187">
        <f>+W65+X65</f>
        <v>631641</v>
      </c>
      <c r="Z65" s="128"/>
      <c r="AA65" s="187">
        <f>+S65+V65</f>
        <v>186523954</v>
      </c>
      <c r="AB65" s="128">
        <v>0</v>
      </c>
      <c r="AC65" s="187">
        <f>+C65+P65+AA65+AB65</f>
        <v>186523954</v>
      </c>
      <c r="AD65" s="188">
        <f>+N65+Y65</f>
        <v>631641</v>
      </c>
    </row>
    <row r="66" spans="1:37" x14ac:dyDescent="0.45">
      <c r="B66" s="189"/>
      <c r="C66" s="135"/>
      <c r="D66" s="190"/>
      <c r="E66" s="190"/>
      <c r="F66" s="190"/>
      <c r="G66" s="135"/>
      <c r="H66" s="135"/>
      <c r="I66" s="191"/>
      <c r="J66" s="190"/>
      <c r="K66" s="135"/>
      <c r="L66" s="135"/>
      <c r="M66" s="135"/>
      <c r="N66" s="191"/>
      <c r="O66" s="192"/>
      <c r="P66" s="191"/>
      <c r="Q66" s="190"/>
      <c r="R66" s="190"/>
      <c r="S66" s="193"/>
      <c r="T66" s="190"/>
      <c r="U66" s="190"/>
      <c r="V66" s="135"/>
      <c r="W66" s="135"/>
      <c r="X66" s="135"/>
      <c r="Y66" s="135"/>
      <c r="Z66" s="135"/>
      <c r="AA66" s="135"/>
      <c r="AB66" s="135"/>
      <c r="AC66" s="135"/>
      <c r="AD66" s="191"/>
    </row>
    <row r="67" spans="1:37" x14ac:dyDescent="0.45">
      <c r="A67" s="137" t="s">
        <v>279</v>
      </c>
      <c r="B67" s="194"/>
      <c r="C67" s="139">
        <f>+C64</f>
        <v>0</v>
      </c>
      <c r="D67" s="195"/>
      <c r="E67" s="195"/>
      <c r="F67" s="195"/>
      <c r="G67" s="139"/>
      <c r="H67" s="139"/>
      <c r="I67" s="139">
        <f>+G67+H67</f>
        <v>0</v>
      </c>
      <c r="J67" s="195"/>
      <c r="K67" s="139"/>
      <c r="L67" s="139"/>
      <c r="M67" s="139"/>
      <c r="N67" s="139">
        <f>+L67+M67</f>
        <v>0</v>
      </c>
      <c r="O67" s="139"/>
      <c r="P67" s="139">
        <f>+I67+K67</f>
        <v>0</v>
      </c>
      <c r="Q67" s="195"/>
      <c r="R67" s="195"/>
      <c r="S67" s="139">
        <f>+S64</f>
        <v>0</v>
      </c>
      <c r="T67" s="195"/>
      <c r="U67" s="195"/>
      <c r="V67" s="139">
        <f>SUM(V64:V66)</f>
        <v>591508480</v>
      </c>
      <c r="W67" s="139">
        <f t="shared" ref="W67:AA67" si="11">SUM(W64:W66)</f>
        <v>958632</v>
      </c>
      <c r="X67" s="139">
        <f t="shared" si="11"/>
        <v>917439</v>
      </c>
      <c r="Y67" s="139">
        <f t="shared" si="11"/>
        <v>1876071</v>
      </c>
      <c r="Z67" s="139">
        <f t="shared" si="11"/>
        <v>0</v>
      </c>
      <c r="AA67" s="139">
        <f t="shared" si="11"/>
        <v>591508480</v>
      </c>
      <c r="AB67" s="139"/>
      <c r="AC67" s="139">
        <f>SUM(AC64:AC66)</f>
        <v>591508480</v>
      </c>
      <c r="AD67" s="196">
        <f>SUM(AD64:AD66)</f>
        <v>1876071</v>
      </c>
    </row>
    <row r="68" spans="1:37" x14ac:dyDescent="0.45">
      <c r="A68" s="137"/>
      <c r="B68" s="197"/>
      <c r="C68" s="128"/>
      <c r="D68" s="186"/>
      <c r="E68" s="186"/>
      <c r="F68" s="186"/>
      <c r="G68" s="128"/>
      <c r="H68" s="128"/>
      <c r="I68" s="128"/>
      <c r="J68" s="186"/>
      <c r="K68" s="128"/>
      <c r="L68" s="128"/>
      <c r="M68" s="128"/>
      <c r="N68" s="128"/>
      <c r="O68" s="128"/>
      <c r="P68" s="128"/>
      <c r="Q68" s="186"/>
      <c r="R68" s="186"/>
      <c r="S68" s="198"/>
      <c r="T68" s="186"/>
      <c r="U68" s="186"/>
      <c r="V68" s="128"/>
      <c r="W68" s="128"/>
      <c r="X68" s="128"/>
      <c r="Y68" s="128"/>
      <c r="Z68" s="128"/>
      <c r="AA68" s="128"/>
      <c r="AB68" s="128"/>
      <c r="AC68" s="128"/>
      <c r="AD68" s="144"/>
    </row>
    <row r="69" spans="1:37" x14ac:dyDescent="0.45">
      <c r="A69" s="199" t="s">
        <v>160</v>
      </c>
      <c r="B69" s="197"/>
      <c r="C69" s="128"/>
      <c r="D69" s="186"/>
      <c r="E69" s="186"/>
      <c r="F69" s="186"/>
      <c r="G69" s="128"/>
      <c r="H69" s="128"/>
      <c r="I69" s="128"/>
      <c r="J69" s="186"/>
      <c r="K69" s="128"/>
      <c r="L69" s="128"/>
      <c r="M69" s="128"/>
      <c r="N69" s="128"/>
      <c r="O69" s="128"/>
      <c r="P69" s="128"/>
      <c r="Q69" s="186"/>
      <c r="R69" s="186"/>
      <c r="S69" s="198"/>
      <c r="T69" s="186"/>
      <c r="U69" s="186"/>
      <c r="V69" s="128"/>
      <c r="W69" s="128"/>
      <c r="X69" s="128"/>
      <c r="Y69" s="128"/>
      <c r="Z69" s="128"/>
      <c r="AA69" s="128"/>
      <c r="AB69" s="128"/>
      <c r="AC69" s="128"/>
      <c r="AD69" s="144"/>
      <c r="AE69" s="93" t="s">
        <v>509</v>
      </c>
      <c r="AF69" s="93" t="s">
        <v>511</v>
      </c>
      <c r="AG69" s="93" t="s">
        <v>512</v>
      </c>
      <c r="AH69" s="93" t="s">
        <v>510</v>
      </c>
    </row>
    <row r="70" spans="1:37" s="35" customFormat="1" x14ac:dyDescent="0.45">
      <c r="A70" s="247" t="s">
        <v>31</v>
      </c>
      <c r="B70" s="676"/>
      <c r="C70" s="677">
        <f>VLOOKUP($A70,'Gross Consumption'!$K$28:$O$38,4)+10099154</f>
        <v>10172238.646976449</v>
      </c>
      <c r="D70" s="677"/>
      <c r="E70" s="676"/>
      <c r="F70" s="677"/>
      <c r="G70" s="677">
        <f>VLOOKUP($A70,'Gross Consumption'!$K$28:$O$38,5)+1017070</f>
        <v>1020734.0030235519</v>
      </c>
      <c r="H70" s="677">
        <f>VLOOKUP($A70,'2019 FA Data'!$C$6:$K$21,4)</f>
        <v>115951</v>
      </c>
      <c r="I70" s="677">
        <f>+G70+H70</f>
        <v>1136685.0030235518</v>
      </c>
      <c r="J70" s="677"/>
      <c r="K70" s="677">
        <v>2332694</v>
      </c>
      <c r="L70" s="677">
        <v>7531</v>
      </c>
      <c r="M70" s="677">
        <v>0</v>
      </c>
      <c r="N70" s="677">
        <f>+L70+M70</f>
        <v>7531</v>
      </c>
      <c r="O70" s="677"/>
      <c r="P70" s="677">
        <f>+I70+K70</f>
        <v>3469379.0030235518</v>
      </c>
      <c r="Q70" s="676"/>
      <c r="R70" s="676"/>
      <c r="S70" s="677">
        <v>0</v>
      </c>
      <c r="T70" s="676"/>
      <c r="U70" s="676"/>
      <c r="V70" s="677">
        <f>VLOOKUP($A70,'2019 FA Data'!$C$6:$K$21,8)</f>
        <v>0</v>
      </c>
      <c r="W70" s="677">
        <f>VLOOKUP($A70,'2019 FA Data'!$C$6:$K$21,9)</f>
        <v>0</v>
      </c>
      <c r="X70" s="677">
        <v>0</v>
      </c>
      <c r="Y70" s="677">
        <f>+W70+X70</f>
        <v>0</v>
      </c>
      <c r="Z70" s="677"/>
      <c r="AA70" s="677">
        <f>+S70+V70</f>
        <v>0</v>
      </c>
      <c r="AB70" s="677">
        <v>0</v>
      </c>
      <c r="AC70" s="677">
        <f>+C70+P70+AA70+AB70</f>
        <v>13641617.65</v>
      </c>
      <c r="AD70" s="678">
        <f>+N70+Y70</f>
        <v>7531</v>
      </c>
      <c r="AE70" s="698">
        <v>13646122</v>
      </c>
      <c r="AF70" s="679">
        <f t="shared" ref="AF70:AF80" si="12">AC70-AE70</f>
        <v>-4504.3499999996275</v>
      </c>
      <c r="AG70" s="699">
        <f t="shared" ref="AG70:AG85" si="13">AC70/AE70-1</f>
        <v>-3.3008278835555682E-4</v>
      </c>
      <c r="AH70" s="247"/>
    </row>
    <row r="71" spans="1:37" s="35" customFormat="1" x14ac:dyDescent="0.45">
      <c r="A71" s="247" t="s">
        <v>32</v>
      </c>
      <c r="B71" s="676"/>
      <c r="C71" s="677">
        <f>VLOOKUP($A71,'Gross Consumption'!$K$28:$O$38,4)+13654274</f>
        <v>13730807.112667091</v>
      </c>
      <c r="D71" s="677"/>
      <c r="E71" s="676"/>
      <c r="F71" s="677"/>
      <c r="G71" s="677">
        <f>VLOOKUP($A71,'Gross Consumption'!$K$28:$O$38,5)+2326872</f>
        <v>2330708.8873329088</v>
      </c>
      <c r="H71" s="677">
        <v>126686</v>
      </c>
      <c r="I71" s="677">
        <f>+G71+H71</f>
        <v>2457394.8873329088</v>
      </c>
      <c r="J71" s="677"/>
      <c r="K71" s="677">
        <v>10154065</v>
      </c>
      <c r="L71" s="677">
        <v>23474.799999999999</v>
      </c>
      <c r="M71" s="677">
        <v>0</v>
      </c>
      <c r="N71" s="677">
        <f>+L71+M71</f>
        <v>23474.799999999999</v>
      </c>
      <c r="O71" s="677"/>
      <c r="P71" s="677">
        <f>+I71+K71</f>
        <v>12611459.887332909</v>
      </c>
      <c r="Q71" s="676"/>
      <c r="R71" s="676"/>
      <c r="S71" s="677">
        <v>0</v>
      </c>
      <c r="T71" s="676"/>
      <c r="U71" s="676"/>
      <c r="V71" s="677">
        <f>VLOOKUP($A71,'2019 FA Data'!$C$6:$K$21,8)</f>
        <v>0</v>
      </c>
      <c r="W71" s="677">
        <f>VLOOKUP($A71,'2019 FA Data'!$C$6:$K$21,9)</f>
        <v>0</v>
      </c>
      <c r="X71" s="677">
        <v>0</v>
      </c>
      <c r="Y71" s="677">
        <f>+W71+X71</f>
        <v>0</v>
      </c>
      <c r="Z71" s="677"/>
      <c r="AA71" s="677">
        <f>+S71+V71</f>
        <v>0</v>
      </c>
      <c r="AB71" s="677">
        <v>0</v>
      </c>
      <c r="AC71" s="677">
        <f>+C71+P71+AA71+AB71</f>
        <v>26342267</v>
      </c>
      <c r="AD71" s="678">
        <f>+N71+Y71</f>
        <v>23474.799999999999</v>
      </c>
      <c r="AE71" s="698">
        <v>26848098</v>
      </c>
      <c r="AF71" s="679">
        <f t="shared" si="12"/>
        <v>-505831</v>
      </c>
      <c r="AG71" s="699">
        <f t="shared" si="13"/>
        <v>-1.8840478010770045E-2</v>
      </c>
      <c r="AH71" s="247" t="s">
        <v>513</v>
      </c>
      <c r="AI71" s="694"/>
      <c r="AJ71" s="645"/>
      <c r="AK71" s="645"/>
    </row>
    <row r="72" spans="1:37" s="35" customFormat="1" x14ac:dyDescent="0.45">
      <c r="A72" s="247" t="s">
        <v>33</v>
      </c>
      <c r="B72" s="676"/>
      <c r="C72" s="677">
        <f>1501327000+'Gross Consumption'!T28*0.98</f>
        <v>1527345152.0967741</v>
      </c>
      <c r="D72" s="677"/>
      <c r="E72" s="676"/>
      <c r="F72" s="677"/>
      <c r="G72" s="677">
        <f>191542863+'Gross Consumption'!T28*0.02</f>
        <v>192073845.69585255</v>
      </c>
      <c r="H72" s="677">
        <v>9592000</v>
      </c>
      <c r="I72" s="677">
        <f>+G72+H72</f>
        <v>201665845.69585255</v>
      </c>
      <c r="J72" s="677"/>
      <c r="K72" s="677">
        <v>1277876137</v>
      </c>
      <c r="L72" s="677">
        <v>4092514</v>
      </c>
      <c r="M72" s="677">
        <v>2353651</v>
      </c>
      <c r="N72" s="677">
        <f>+L72+M72</f>
        <v>6446165</v>
      </c>
      <c r="O72" s="677"/>
      <c r="P72" s="677">
        <f>+I72+K72</f>
        <v>1479541982.6958525</v>
      </c>
      <c r="Q72" s="676"/>
      <c r="R72" s="676"/>
      <c r="S72" s="677">
        <v>0</v>
      </c>
      <c r="T72" s="676"/>
      <c r="U72" s="676"/>
      <c r="V72" s="677">
        <v>587276733</v>
      </c>
      <c r="W72" s="677">
        <v>1433190</v>
      </c>
      <c r="X72" s="677">
        <v>1563793</v>
      </c>
      <c r="Y72" s="677">
        <f>+W72+X72</f>
        <v>2996983</v>
      </c>
      <c r="Z72" s="677"/>
      <c r="AA72" s="677">
        <f>+S72+V72</f>
        <v>587276733</v>
      </c>
      <c r="AB72" s="677">
        <v>0</v>
      </c>
      <c r="AC72" s="677">
        <f>+C72+P72+AA72+AB72</f>
        <v>3594163867.7926264</v>
      </c>
      <c r="AD72" s="678">
        <f>+N72+Y72</f>
        <v>9443148</v>
      </c>
      <c r="AE72" s="698">
        <v>3630757520</v>
      </c>
      <c r="AF72" s="679">
        <f t="shared" si="12"/>
        <v>-36593652.207373619</v>
      </c>
      <c r="AG72" s="699">
        <f t="shared" si="13"/>
        <v>-1.0078792650238366E-2</v>
      </c>
      <c r="AH72" s="247" t="s">
        <v>515</v>
      </c>
      <c r="AI72" s="674"/>
      <c r="AJ72" s="674"/>
      <c r="AK72" s="674"/>
    </row>
    <row r="73" spans="1:37" s="35" customFormat="1" x14ac:dyDescent="0.45">
      <c r="A73" s="247" t="s">
        <v>34</v>
      </c>
      <c r="B73" s="676"/>
      <c r="C73" s="677">
        <f>VLOOKUP($A73,'Gross Consumption'!$K$28:$O$38,4)+23390271</f>
        <v>23584219.334360279</v>
      </c>
      <c r="D73" s="677"/>
      <c r="E73" s="676"/>
      <c r="F73" s="677"/>
      <c r="G73" s="677">
        <f>VLOOKUP($A73,'Gross Consumption'!$K$28:$O$38,5)+5056167</f>
        <v>5065890.3456397196</v>
      </c>
      <c r="H73" s="677">
        <f>VLOOKUP($A73,'2019 FA Data'!$C$6:$K$21,4)</f>
        <v>104191.48000000001</v>
      </c>
      <c r="I73" s="677">
        <f t="shared" ref="I73" si="14">+G73+H73</f>
        <v>5170081.8256397201</v>
      </c>
      <c r="J73" s="677"/>
      <c r="K73" s="677">
        <v>5355407</v>
      </c>
      <c r="L73" s="677">
        <f>VLOOKUP($A73,'2019 FA Data'!$C$6:$K$21,6)</f>
        <v>19825.963999999996</v>
      </c>
      <c r="M73" s="677">
        <v>0</v>
      </c>
      <c r="N73" s="677">
        <f t="shared" ref="N73:N86" si="15">+L73+M73</f>
        <v>19825.963999999996</v>
      </c>
      <c r="O73" s="677"/>
      <c r="P73" s="677">
        <f t="shared" ref="P73" si="16">+I73+K73</f>
        <v>10525488.825639721</v>
      </c>
      <c r="Q73" s="676"/>
      <c r="R73" s="676"/>
      <c r="S73" s="677">
        <f>VLOOKUP($A73,'2019 FA Data'!$C$6:$K$21,7)</f>
        <v>0</v>
      </c>
      <c r="T73" s="676"/>
      <c r="U73" s="676"/>
      <c r="V73" s="677">
        <f>VLOOKUP($A73,'2019 FA Data'!$C$6:$K$21,8)</f>
        <v>0</v>
      </c>
      <c r="W73" s="677">
        <f>VLOOKUP($A73,'2019 FA Data'!$C$6:$K$21,9)</f>
        <v>0</v>
      </c>
      <c r="X73" s="677">
        <v>0</v>
      </c>
      <c r="Y73" s="677">
        <f t="shared" ref="Y73" si="17">+W73+X73</f>
        <v>0</v>
      </c>
      <c r="Z73" s="677"/>
      <c r="AA73" s="677">
        <f t="shared" ref="AA73" si="18">+S73+V73</f>
        <v>0</v>
      </c>
      <c r="AB73" s="677">
        <v>0</v>
      </c>
      <c r="AC73" s="677">
        <f t="shared" ref="AC73:AC85" si="19">+C73+P73+AA73+AB73</f>
        <v>34109708.159999996</v>
      </c>
      <c r="AD73" s="678">
        <f t="shared" ref="AD73:AD85" si="20">+N73+Y73</f>
        <v>19825.963999999996</v>
      </c>
      <c r="AE73" s="698">
        <v>33545766</v>
      </c>
      <c r="AF73" s="679">
        <f t="shared" si="12"/>
        <v>563942.15999999642</v>
      </c>
      <c r="AG73" s="699">
        <f t="shared" si="13"/>
        <v>1.6811127818634253E-2</v>
      </c>
      <c r="AH73" s="247" t="s">
        <v>585</v>
      </c>
      <c r="AI73" s="675"/>
      <c r="AJ73" s="675"/>
      <c r="AK73" s="675"/>
    </row>
    <row r="74" spans="1:37" s="35" customFormat="1" x14ac:dyDescent="0.45">
      <c r="A74" s="247" t="s">
        <v>35</v>
      </c>
      <c r="B74" s="676"/>
      <c r="C74" s="677">
        <f>8195337+'Gross Consumption'!T29</f>
        <v>8334865.4449147461</v>
      </c>
      <c r="D74" s="677"/>
      <c r="E74" s="676"/>
      <c r="F74" s="677"/>
      <c r="G74" s="677">
        <v>2256753</v>
      </c>
      <c r="H74" s="677">
        <v>43984</v>
      </c>
      <c r="I74" s="677">
        <f t="shared" ref="I74:I85" si="21">+G74+H74</f>
        <v>2300737</v>
      </c>
      <c r="J74" s="677"/>
      <c r="K74" s="677">
        <v>1433440</v>
      </c>
      <c r="L74" s="677">
        <v>4892</v>
      </c>
      <c r="M74" s="677">
        <v>0</v>
      </c>
      <c r="N74" s="677">
        <f t="shared" ref="N74:N85" si="22">+L74+M74</f>
        <v>4892</v>
      </c>
      <c r="O74" s="677"/>
      <c r="P74" s="677">
        <f t="shared" ref="P74:P85" si="23">+I74+K74</f>
        <v>3734177</v>
      </c>
      <c r="Q74" s="676"/>
      <c r="R74" s="676"/>
      <c r="S74" s="677">
        <f>VLOOKUP($A74,'2019 FA Data'!$C$6:$K$21,7)</f>
        <v>0</v>
      </c>
      <c r="T74" s="676"/>
      <c r="U74" s="676"/>
      <c r="V74" s="677">
        <f>VLOOKUP($A74,'2019 FA Data'!$C$6:$K$21,8)</f>
        <v>0</v>
      </c>
      <c r="W74" s="677">
        <f>VLOOKUP($A74,'2019 FA Data'!$C$6:$K$21,9)</f>
        <v>0</v>
      </c>
      <c r="X74" s="677">
        <v>0</v>
      </c>
      <c r="Y74" s="677">
        <f t="shared" ref="Y74:Y85" si="24">+W74+X74</f>
        <v>0</v>
      </c>
      <c r="Z74" s="677"/>
      <c r="AA74" s="677">
        <f t="shared" ref="AA74:AA85" si="25">+S74+V74</f>
        <v>0</v>
      </c>
      <c r="AB74" s="677">
        <v>0</v>
      </c>
      <c r="AC74" s="677">
        <f t="shared" si="19"/>
        <v>12069042.444914747</v>
      </c>
      <c r="AD74" s="678">
        <f t="shared" si="20"/>
        <v>4892</v>
      </c>
      <c r="AE74" s="698">
        <v>11773664.169489847</v>
      </c>
      <c r="AF74" s="679">
        <f t="shared" si="12"/>
        <v>295378.27542489953</v>
      </c>
      <c r="AG74" s="699">
        <f t="shared" si="13"/>
        <v>2.5088050004886231E-2</v>
      </c>
      <c r="AH74" s="247" t="s">
        <v>587</v>
      </c>
    </row>
    <row r="75" spans="1:37" s="35" customFormat="1" x14ac:dyDescent="0.45">
      <c r="A75" s="247" t="s">
        <v>36</v>
      </c>
      <c r="B75" s="676"/>
      <c r="C75" s="677">
        <f>VLOOKUP($A75,'Gross Consumption'!$K$28:$O$38,4)+3468887</f>
        <v>3492905.8656397201</v>
      </c>
      <c r="D75" s="677"/>
      <c r="E75" s="676"/>
      <c r="F75" s="677"/>
      <c r="G75" s="677">
        <f>VLOOKUP($A75,'Gross Consumption'!$K$28:$O$38,5)+552438</f>
        <v>553642.15436028002</v>
      </c>
      <c r="H75" s="677">
        <f>VLOOKUP($A75,'2019 FA Data'!$C$6:$K$21,4)</f>
        <v>52164</v>
      </c>
      <c r="I75" s="677">
        <f t="shared" si="21"/>
        <v>605806.15436028002</v>
      </c>
      <c r="J75" s="677"/>
      <c r="K75" s="677">
        <v>865613</v>
      </c>
      <c r="L75" s="677">
        <v>4748</v>
      </c>
      <c r="M75" s="677">
        <v>0</v>
      </c>
      <c r="N75" s="677">
        <f t="shared" si="22"/>
        <v>4748</v>
      </c>
      <c r="O75" s="677"/>
      <c r="P75" s="677">
        <f t="shared" si="23"/>
        <v>1471419.1543602799</v>
      </c>
      <c r="Q75" s="676"/>
      <c r="R75" s="676"/>
      <c r="S75" s="677">
        <f>VLOOKUP($A75,'2019 FA Data'!$C$6:$K$21,7)</f>
        <v>0</v>
      </c>
      <c r="T75" s="676"/>
      <c r="U75" s="676"/>
      <c r="V75" s="677">
        <f>VLOOKUP($A75,'2019 FA Data'!$C$6:$K$21,8)</f>
        <v>0</v>
      </c>
      <c r="W75" s="677">
        <f>VLOOKUP($A75,'2019 FA Data'!$C$6:$K$21,9)</f>
        <v>0</v>
      </c>
      <c r="X75" s="677">
        <v>0</v>
      </c>
      <c r="Y75" s="677">
        <f t="shared" si="24"/>
        <v>0</v>
      </c>
      <c r="Z75" s="677"/>
      <c r="AA75" s="677">
        <f t="shared" si="25"/>
        <v>0</v>
      </c>
      <c r="AB75" s="677">
        <v>0</v>
      </c>
      <c r="AC75" s="677">
        <f t="shared" si="19"/>
        <v>4964325.0199999996</v>
      </c>
      <c r="AD75" s="678">
        <f t="shared" si="20"/>
        <v>4748</v>
      </c>
      <c r="AE75" s="698">
        <v>4987290.1500000004</v>
      </c>
      <c r="AF75" s="679">
        <f t="shared" si="12"/>
        <v>-22965.13000000082</v>
      </c>
      <c r="AG75" s="699">
        <f t="shared" si="13"/>
        <v>-4.6047310882846304E-3</v>
      </c>
      <c r="AH75" s="247" t="s">
        <v>586</v>
      </c>
    </row>
    <row r="76" spans="1:37" s="35" customFormat="1" x14ac:dyDescent="0.45">
      <c r="A76" s="247" t="s">
        <v>37</v>
      </c>
      <c r="B76" s="676"/>
      <c r="C76" s="677">
        <f>VLOOKUP($A76,'Gross Consumption'!$K$28:$O$38,4)+5134304</f>
        <v>5151316.7291152133</v>
      </c>
      <c r="D76" s="677"/>
      <c r="E76" s="676"/>
      <c r="F76" s="677"/>
      <c r="G76" s="677">
        <f>VLOOKUP($A76,'Gross Consumption'!$K$28:$O$38,5)+1614205</f>
        <v>1615057.9108847869</v>
      </c>
      <c r="H76" s="677">
        <v>63661</v>
      </c>
      <c r="I76" s="677">
        <f t="shared" si="21"/>
        <v>1678718.9108847869</v>
      </c>
      <c r="J76" s="677"/>
      <c r="K76" s="677">
        <v>5770337</v>
      </c>
      <c r="L76" s="677">
        <v>13541</v>
      </c>
      <c r="M76" s="677">
        <v>0</v>
      </c>
      <c r="N76" s="677">
        <f t="shared" si="22"/>
        <v>13541</v>
      </c>
      <c r="O76" s="677"/>
      <c r="P76" s="677">
        <f t="shared" si="23"/>
        <v>7449055.9108847864</v>
      </c>
      <c r="Q76" s="676"/>
      <c r="R76" s="676"/>
      <c r="S76" s="677">
        <f>VLOOKUP($A76,'2019 FA Data'!$C$6:$K$21,7)</f>
        <v>0</v>
      </c>
      <c r="T76" s="676"/>
      <c r="U76" s="676"/>
      <c r="V76" s="677">
        <f>VLOOKUP($A76,'2019 FA Data'!$C$6:$K$21,8)</f>
        <v>0</v>
      </c>
      <c r="W76" s="677">
        <f>VLOOKUP($A76,'2019 FA Data'!$C$6:$K$21,9)</f>
        <v>0</v>
      </c>
      <c r="X76" s="677">
        <v>0</v>
      </c>
      <c r="Y76" s="677">
        <f t="shared" si="24"/>
        <v>0</v>
      </c>
      <c r="Z76" s="677"/>
      <c r="AA76" s="677">
        <f t="shared" si="25"/>
        <v>0</v>
      </c>
      <c r="AB76" s="677">
        <v>0</v>
      </c>
      <c r="AC76" s="677">
        <f t="shared" si="19"/>
        <v>12600372.640000001</v>
      </c>
      <c r="AD76" s="678">
        <f t="shared" si="20"/>
        <v>13541</v>
      </c>
      <c r="AE76" s="698">
        <v>12509491</v>
      </c>
      <c r="AF76" s="679">
        <f t="shared" si="12"/>
        <v>90881.640000000596</v>
      </c>
      <c r="AG76" s="699">
        <f t="shared" si="13"/>
        <v>7.2650150193960261E-3</v>
      </c>
      <c r="AH76" s="247" t="s">
        <v>581</v>
      </c>
    </row>
    <row r="77" spans="1:37" s="35" customFormat="1" x14ac:dyDescent="0.45">
      <c r="A77" s="247" t="s">
        <v>38</v>
      </c>
      <c r="B77" s="676"/>
      <c r="C77" s="677">
        <f>VLOOKUP($A77,'Gross Consumption'!$K$28:$O$38,4)+16822880</f>
        <v>16840002.381820496</v>
      </c>
      <c r="D77" s="677"/>
      <c r="E77" s="676"/>
      <c r="F77" s="677"/>
      <c r="G77" s="677">
        <f>VLOOKUP($A77,'Gross Consumption'!$K$28:$O$38,5)+5491335</f>
        <v>5492193.4081795039</v>
      </c>
      <c r="H77" s="677">
        <v>324996</v>
      </c>
      <c r="I77" s="677">
        <f t="shared" si="21"/>
        <v>5817189.4081795039</v>
      </c>
      <c r="J77" s="677"/>
      <c r="K77" s="677">
        <v>12851887</v>
      </c>
      <c r="L77" s="677">
        <v>42958</v>
      </c>
      <c r="M77" s="677">
        <v>0</v>
      </c>
      <c r="N77" s="677">
        <f t="shared" si="22"/>
        <v>42958</v>
      </c>
      <c r="O77" s="677"/>
      <c r="P77" s="677">
        <f t="shared" si="23"/>
        <v>18669076.408179503</v>
      </c>
      <c r="Q77" s="676"/>
      <c r="R77" s="676"/>
      <c r="S77" s="677">
        <f>VLOOKUP($A77,'2019 FA Data'!$C$6:$K$21,7)</f>
        <v>0</v>
      </c>
      <c r="T77" s="676"/>
      <c r="U77" s="676"/>
      <c r="V77" s="677">
        <v>19848414</v>
      </c>
      <c r="W77" s="677">
        <v>76731</v>
      </c>
      <c r="X77" s="677">
        <v>0</v>
      </c>
      <c r="Y77" s="677">
        <f t="shared" si="24"/>
        <v>76731</v>
      </c>
      <c r="Z77" s="677"/>
      <c r="AA77" s="677">
        <f t="shared" si="25"/>
        <v>19848414</v>
      </c>
      <c r="AB77" s="677">
        <v>0</v>
      </c>
      <c r="AC77" s="677">
        <f t="shared" si="19"/>
        <v>55357492.789999999</v>
      </c>
      <c r="AD77" s="678">
        <f t="shared" si="20"/>
        <v>119689</v>
      </c>
      <c r="AE77" s="698">
        <v>54579417</v>
      </c>
      <c r="AF77" s="679">
        <f t="shared" si="12"/>
        <v>778075.78999999911</v>
      </c>
      <c r="AG77" s="699">
        <f t="shared" si="13"/>
        <v>1.4255846485131896E-2</v>
      </c>
      <c r="AH77" s="247" t="s">
        <v>582</v>
      </c>
    </row>
    <row r="78" spans="1:37" s="35" customFormat="1" x14ac:dyDescent="0.45">
      <c r="A78" s="247" t="s">
        <v>39</v>
      </c>
      <c r="B78" s="676"/>
      <c r="C78" s="677">
        <f>VLOOKUP($A78,'Gross Consumption'!$K$28:$O$38,4)+30981386</f>
        <v>31130508.756002545</v>
      </c>
      <c r="D78" s="677"/>
      <c r="E78" s="676"/>
      <c r="F78" s="677"/>
      <c r="G78" s="677">
        <f>VLOOKUP($A78,'Gross Consumption'!$K$28:$O$38,5)+12187559</f>
        <v>12195035.073997455</v>
      </c>
      <c r="H78" s="677">
        <v>477436</v>
      </c>
      <c r="I78" s="677">
        <f t="shared" si="21"/>
        <v>12672471.073997455</v>
      </c>
      <c r="J78" s="677"/>
      <c r="K78" s="677">
        <v>17724798</v>
      </c>
      <c r="L78" s="677">
        <v>55604</v>
      </c>
      <c r="M78" s="677">
        <v>0</v>
      </c>
      <c r="N78" s="677">
        <f t="shared" si="22"/>
        <v>55604</v>
      </c>
      <c r="O78" s="677"/>
      <c r="P78" s="677">
        <f t="shared" si="23"/>
        <v>30397269.073997453</v>
      </c>
      <c r="Q78" s="676"/>
      <c r="R78" s="676"/>
      <c r="S78" s="677">
        <f>VLOOKUP($A78,'2019 FA Data'!$C$6:$K$21,7)</f>
        <v>0</v>
      </c>
      <c r="T78" s="676"/>
      <c r="U78" s="676"/>
      <c r="V78" s="677">
        <f>VLOOKUP($A78,'2019 FA Data'!$C$6:$K$21,8)</f>
        <v>0</v>
      </c>
      <c r="W78" s="677">
        <f>VLOOKUP($A78,'2019 FA Data'!$C$6:$K$21,9)</f>
        <v>0</v>
      </c>
      <c r="X78" s="677">
        <v>0</v>
      </c>
      <c r="Y78" s="677">
        <f t="shared" si="24"/>
        <v>0</v>
      </c>
      <c r="Z78" s="677"/>
      <c r="AA78" s="677">
        <f t="shared" si="25"/>
        <v>0</v>
      </c>
      <c r="AB78" s="677">
        <v>0</v>
      </c>
      <c r="AC78" s="677">
        <f t="shared" si="19"/>
        <v>61527777.829999998</v>
      </c>
      <c r="AD78" s="678">
        <f t="shared" si="20"/>
        <v>55604</v>
      </c>
      <c r="AE78" s="698">
        <v>58532590</v>
      </c>
      <c r="AF78" s="679">
        <f t="shared" si="12"/>
        <v>2995187.8299999982</v>
      </c>
      <c r="AG78" s="699">
        <f t="shared" si="13"/>
        <v>5.1171284749231161E-2</v>
      </c>
      <c r="AH78" s="247" t="s">
        <v>584</v>
      </c>
    </row>
    <row r="79" spans="1:37" s="35" customFormat="1" x14ac:dyDescent="0.45">
      <c r="A79" s="247" t="s">
        <v>40</v>
      </c>
      <c r="B79" s="676"/>
      <c r="C79" s="677">
        <f>VLOOKUP($A79,'Gross Consumption'!$K$28:$O$38,4)+21460397</f>
        <v>21675031.652883515</v>
      </c>
      <c r="D79" s="677"/>
      <c r="E79" s="676"/>
      <c r="F79" s="677"/>
      <c r="G79" s="677">
        <f>VLOOKUP($A79,'Gross Consumption'!$K$28:$O$38,5)+5438160</f>
        <v>5448920.4271164862</v>
      </c>
      <c r="H79" s="677">
        <v>38145</v>
      </c>
      <c r="I79" s="677">
        <f t="shared" si="21"/>
        <v>5487065.4271164862</v>
      </c>
      <c r="J79" s="677"/>
      <c r="K79" s="677">
        <v>18243106</v>
      </c>
      <c r="L79" s="677">
        <v>52354</v>
      </c>
      <c r="M79" s="677">
        <v>0</v>
      </c>
      <c r="N79" s="677">
        <f t="shared" si="22"/>
        <v>52354</v>
      </c>
      <c r="O79" s="677"/>
      <c r="P79" s="677">
        <f t="shared" si="23"/>
        <v>23730171.427116487</v>
      </c>
      <c r="Q79" s="676"/>
      <c r="R79" s="676"/>
      <c r="S79" s="677">
        <f>VLOOKUP($A79,'2019 FA Data'!$C$6:$K$21,7)</f>
        <v>0</v>
      </c>
      <c r="T79" s="676"/>
      <c r="U79" s="676"/>
      <c r="V79" s="677">
        <f>VLOOKUP($A79,'2019 FA Data'!$C$6:$K$21,8)</f>
        <v>0</v>
      </c>
      <c r="W79" s="677">
        <f>VLOOKUP($A79,'2019 FA Data'!$C$6:$K$21,9)</f>
        <v>0</v>
      </c>
      <c r="X79" s="677">
        <v>0</v>
      </c>
      <c r="Y79" s="677">
        <f t="shared" si="24"/>
        <v>0</v>
      </c>
      <c r="Z79" s="677"/>
      <c r="AA79" s="677">
        <f t="shared" si="25"/>
        <v>0</v>
      </c>
      <c r="AB79" s="677">
        <v>0</v>
      </c>
      <c r="AC79" s="677">
        <f t="shared" si="19"/>
        <v>45405203.079999998</v>
      </c>
      <c r="AD79" s="678">
        <f t="shared" si="20"/>
        <v>52354</v>
      </c>
      <c r="AE79" s="698">
        <v>45788872</v>
      </c>
      <c r="AF79" s="679">
        <f t="shared" si="12"/>
        <v>-383668.92000000179</v>
      </c>
      <c r="AG79" s="699">
        <f t="shared" si="13"/>
        <v>-8.3790865169162121E-3</v>
      </c>
      <c r="AH79" s="247" t="s">
        <v>579</v>
      </c>
    </row>
    <row r="80" spans="1:37" s="35" customFormat="1" x14ac:dyDescent="0.45">
      <c r="A80" s="247" t="s">
        <v>41</v>
      </c>
      <c r="B80" s="676"/>
      <c r="C80" s="677">
        <f>VLOOKUP($A80,'Gross Consumption'!$K$28:$O$38,4)+10186640</f>
        <v>10260350.338739656</v>
      </c>
      <c r="D80" s="677"/>
      <c r="E80" s="676"/>
      <c r="F80" s="677"/>
      <c r="G80" s="677">
        <f>VLOOKUP($A80,'Gross Consumption'!$K$28:$O$38,5)+2384371</f>
        <v>2388066.3712603436</v>
      </c>
      <c r="H80" s="677">
        <v>89453</v>
      </c>
      <c r="I80" s="677">
        <f t="shared" si="21"/>
        <v>2477519.3712603436</v>
      </c>
      <c r="J80" s="677"/>
      <c r="K80" s="677">
        <v>7314434</v>
      </c>
      <c r="L80" s="677">
        <v>19284.52</v>
      </c>
      <c r="M80" s="677">
        <v>0</v>
      </c>
      <c r="N80" s="677">
        <f t="shared" si="22"/>
        <v>19284.52</v>
      </c>
      <c r="O80" s="677"/>
      <c r="P80" s="677">
        <f t="shared" si="23"/>
        <v>9791953.3712603431</v>
      </c>
      <c r="Q80" s="676"/>
      <c r="R80" s="676"/>
      <c r="S80" s="677">
        <f>VLOOKUP($A80,'2019 FA Data'!$C$6:$K$21,7)</f>
        <v>0</v>
      </c>
      <c r="T80" s="676"/>
      <c r="U80" s="676"/>
      <c r="V80" s="677">
        <v>8849076</v>
      </c>
      <c r="W80" s="677">
        <v>18636.401999999998</v>
      </c>
      <c r="X80" s="677">
        <v>0</v>
      </c>
      <c r="Y80" s="677">
        <f t="shared" si="24"/>
        <v>18636.401999999998</v>
      </c>
      <c r="Z80" s="677"/>
      <c r="AA80" s="677">
        <f t="shared" si="25"/>
        <v>8849076</v>
      </c>
      <c r="AB80" s="677">
        <v>0</v>
      </c>
      <c r="AC80" s="677">
        <f t="shared" si="19"/>
        <v>28901379.710000001</v>
      </c>
      <c r="AD80" s="678">
        <f t="shared" si="20"/>
        <v>37920.921999999999</v>
      </c>
      <c r="AE80" s="698">
        <v>28217275</v>
      </c>
      <c r="AF80" s="679">
        <f t="shared" si="12"/>
        <v>684104.71000000089</v>
      </c>
      <c r="AG80" s="699">
        <f t="shared" si="13"/>
        <v>2.4244180559604089E-2</v>
      </c>
      <c r="AH80" s="247" t="s">
        <v>588</v>
      </c>
    </row>
    <row r="81" spans="1:34" s="35" customFormat="1" x14ac:dyDescent="0.45">
      <c r="A81" s="247" t="s">
        <v>42</v>
      </c>
      <c r="B81" s="676"/>
      <c r="C81" s="677">
        <f>VLOOKUP($A81,'Gross Consumption'!$K$28:$O$38,4)+3938087</f>
        <v>3946490.4252832592</v>
      </c>
      <c r="D81" s="677"/>
      <c r="E81" s="676"/>
      <c r="F81" s="677"/>
      <c r="G81" s="677">
        <f>VLOOKUP($A81,'Gross Consumption'!$K$28:$O$38,5)+2001449</f>
        <v>2001870.294716741</v>
      </c>
      <c r="H81" s="677">
        <v>124446</v>
      </c>
      <c r="I81" s="677">
        <f t="shared" si="21"/>
        <v>2126316.294716741</v>
      </c>
      <c r="J81" s="677"/>
      <c r="K81" s="677">
        <f>VLOOKUP($A81,'2019 FA Data'!$C$6:$K$21,5)</f>
        <v>0</v>
      </c>
      <c r="L81" s="677">
        <f>VLOOKUP($A81,'2019 FA Data'!$C$6:$K$21,6)</f>
        <v>0</v>
      </c>
      <c r="M81" s="677">
        <v>0</v>
      </c>
      <c r="N81" s="677">
        <f t="shared" si="22"/>
        <v>0</v>
      </c>
      <c r="O81" s="677"/>
      <c r="P81" s="677">
        <f t="shared" si="23"/>
        <v>2126316.294716741</v>
      </c>
      <c r="Q81" s="676"/>
      <c r="R81" s="676"/>
      <c r="S81" s="677">
        <f>VLOOKUP($A81,'2019 FA Data'!$C$6:$K$21,7)</f>
        <v>0</v>
      </c>
      <c r="T81" s="676"/>
      <c r="U81" s="676"/>
      <c r="V81" s="677">
        <v>6624000</v>
      </c>
      <c r="W81" s="677">
        <f>VLOOKUP($A81,'2019 FA Data'!$C$6:$K$21,9)</f>
        <v>25547</v>
      </c>
      <c r="X81" s="677">
        <v>0</v>
      </c>
      <c r="Y81" s="677">
        <f t="shared" si="24"/>
        <v>25547</v>
      </c>
      <c r="Z81" s="677"/>
      <c r="AA81" s="677">
        <f t="shared" si="25"/>
        <v>6624000</v>
      </c>
      <c r="AB81" s="677">
        <v>0</v>
      </c>
      <c r="AC81" s="677">
        <f t="shared" si="19"/>
        <v>12696806.720000001</v>
      </c>
      <c r="AD81" s="678">
        <f t="shared" si="20"/>
        <v>25547</v>
      </c>
      <c r="AE81" s="698">
        <v>13690057</v>
      </c>
      <c r="AF81" s="679">
        <f>AC81-AE81</f>
        <v>-993250.27999999933</v>
      </c>
      <c r="AG81" s="699">
        <f t="shared" si="13"/>
        <v>-7.2552676734654931E-2</v>
      </c>
      <c r="AH81" s="247" t="s">
        <v>514</v>
      </c>
    </row>
    <row r="82" spans="1:34" s="35" customFormat="1" x14ac:dyDescent="0.45">
      <c r="A82" s="247" t="s">
        <v>173</v>
      </c>
      <c r="B82" s="676"/>
      <c r="C82" s="677">
        <f>VLOOKUP($A82,'2019 FA Data'!$C$6:$K$21,2)*1.019</f>
        <v>24609955.614999998</v>
      </c>
      <c r="D82" s="677"/>
      <c r="E82" s="676"/>
      <c r="F82" s="677"/>
      <c r="G82" s="677">
        <f>VLOOKUP($A82,'2019 FA Data'!$C$6:$K$21,3)</f>
        <v>7041489</v>
      </c>
      <c r="H82" s="677">
        <f>VLOOKUP($A82,'2019 FA Data'!$C$6:$K$21,4)</f>
        <v>47599</v>
      </c>
      <c r="I82" s="677">
        <f t="shared" si="21"/>
        <v>7089088</v>
      </c>
      <c r="J82" s="677"/>
      <c r="K82" s="677">
        <f>VLOOKUP($A82,'2019 FA Data'!$C$6:$K$21,5)</f>
        <v>35790331</v>
      </c>
      <c r="L82" s="677">
        <f>VLOOKUP($A82,'2019 FA Data'!$C$6:$K$21,6)</f>
        <v>103570.73</v>
      </c>
      <c r="M82" s="677">
        <v>0</v>
      </c>
      <c r="N82" s="677">
        <f t="shared" si="22"/>
        <v>103570.73</v>
      </c>
      <c r="O82" s="677"/>
      <c r="P82" s="677">
        <f t="shared" si="23"/>
        <v>42879419</v>
      </c>
      <c r="Q82" s="676"/>
      <c r="R82" s="676"/>
      <c r="S82" s="677">
        <f>VLOOKUP($A82,'2019 FA Data'!$C$6:$K$21,7)</f>
        <v>0</v>
      </c>
      <c r="T82" s="676"/>
      <c r="U82" s="676"/>
      <c r="V82" s="677">
        <f>VLOOKUP($A82,'2019 FA Data'!$C$6:$K$21,8)</f>
        <v>7767120</v>
      </c>
      <c r="W82" s="677">
        <f>VLOOKUP($A82,'2019 FA Data'!$C$6:$K$21,9)</f>
        <v>32260</v>
      </c>
      <c r="X82" s="677">
        <v>0</v>
      </c>
      <c r="Y82" s="677">
        <f t="shared" si="24"/>
        <v>32260</v>
      </c>
      <c r="Z82" s="677"/>
      <c r="AA82" s="677">
        <f t="shared" si="25"/>
        <v>7767120</v>
      </c>
      <c r="AB82" s="677">
        <v>0</v>
      </c>
      <c r="AC82" s="677">
        <f t="shared" si="19"/>
        <v>75256494.614999995</v>
      </c>
      <c r="AD82" s="678">
        <f t="shared" si="20"/>
        <v>135830.72999999998</v>
      </c>
      <c r="AE82" s="698">
        <v>75164574</v>
      </c>
      <c r="AF82" s="679">
        <f t="shared" ref="AF82:AF85" si="26">AC82-AE82</f>
        <v>91920.614999994636</v>
      </c>
      <c r="AG82" s="699">
        <f t="shared" si="13"/>
        <v>1.2229247118462627E-3</v>
      </c>
      <c r="AH82" s="247" t="s">
        <v>590</v>
      </c>
    </row>
    <row r="83" spans="1:34" s="35" customFormat="1" x14ac:dyDescent="0.45">
      <c r="A83" s="247" t="s">
        <v>44</v>
      </c>
      <c r="B83" s="676"/>
      <c r="C83" s="677">
        <f>VLOOKUP($A83,'Gross Consumption'!$K$28:$O$38,4)+26143717</f>
        <v>26226641.746479951</v>
      </c>
      <c r="D83" s="677"/>
      <c r="E83" s="676"/>
      <c r="F83" s="677"/>
      <c r="G83" s="677">
        <f>VLOOKUP($A83,'Gross Consumption'!$K$28:$O$38,5)+3169912</f>
        <v>3174069.3235200508</v>
      </c>
      <c r="H83" s="677">
        <v>126916</v>
      </c>
      <c r="I83" s="677">
        <f t="shared" si="21"/>
        <v>3300985.3235200508</v>
      </c>
      <c r="J83" s="677"/>
      <c r="K83" s="677">
        <v>23698018</v>
      </c>
      <c r="L83" s="677">
        <v>88468</v>
      </c>
      <c r="M83" s="677">
        <v>0</v>
      </c>
      <c r="N83" s="677">
        <f t="shared" si="22"/>
        <v>88468</v>
      </c>
      <c r="O83" s="677"/>
      <c r="P83" s="677">
        <f t="shared" si="23"/>
        <v>26999003.323520049</v>
      </c>
      <c r="Q83" s="676"/>
      <c r="R83" s="676"/>
      <c r="S83" s="677">
        <f>VLOOKUP($A83,'2019 FA Data'!$C$6:$K$21,7)</f>
        <v>0</v>
      </c>
      <c r="T83" s="676"/>
      <c r="U83" s="676"/>
      <c r="V83" s="677">
        <f>VLOOKUP($A83,'2019 FA Data'!$C$6:$K$21,8)</f>
        <v>0</v>
      </c>
      <c r="W83" s="677">
        <f>VLOOKUP($A83,'2019 FA Data'!$C$6:$K$21,9)</f>
        <v>0</v>
      </c>
      <c r="X83" s="677">
        <v>0</v>
      </c>
      <c r="Y83" s="677">
        <f t="shared" si="24"/>
        <v>0</v>
      </c>
      <c r="Z83" s="677"/>
      <c r="AA83" s="677">
        <f t="shared" si="25"/>
        <v>0</v>
      </c>
      <c r="AB83" s="677">
        <v>0</v>
      </c>
      <c r="AC83" s="677">
        <f t="shared" si="19"/>
        <v>53225645.07</v>
      </c>
      <c r="AD83" s="678">
        <f t="shared" si="20"/>
        <v>88468</v>
      </c>
      <c r="AE83" s="698">
        <v>54619790</v>
      </c>
      <c r="AF83" s="679">
        <f t="shared" si="26"/>
        <v>-1394144.9299999997</v>
      </c>
      <c r="AG83" s="699">
        <f t="shared" si="13"/>
        <v>-2.5524538450257706E-2</v>
      </c>
      <c r="AH83" s="247" t="s">
        <v>580</v>
      </c>
    </row>
    <row r="84" spans="1:34" s="35" customFormat="1" x14ac:dyDescent="0.45">
      <c r="A84" s="247" t="s">
        <v>45</v>
      </c>
      <c r="B84" s="748"/>
      <c r="C84" s="677">
        <f>222123584+'Gross Consumption'!X19</f>
        <v>227130144.86794138</v>
      </c>
      <c r="D84" s="677"/>
      <c r="E84" s="676"/>
      <c r="F84" s="677"/>
      <c r="G84" s="677">
        <f>64983133+'Gross Consumption'!Y19</f>
        <v>65090914.766997807</v>
      </c>
      <c r="H84" s="677">
        <v>1639471</v>
      </c>
      <c r="I84" s="677">
        <f t="shared" si="21"/>
        <v>66730385.766997807</v>
      </c>
      <c r="J84" s="677"/>
      <c r="K84" s="677">
        <v>71719171</v>
      </c>
      <c r="L84" s="677">
        <v>297499</v>
      </c>
      <c r="M84" s="677">
        <v>0</v>
      </c>
      <c r="N84" s="677">
        <f t="shared" si="22"/>
        <v>297499</v>
      </c>
      <c r="O84" s="677"/>
      <c r="P84" s="677">
        <f t="shared" si="23"/>
        <v>138449556.76699781</v>
      </c>
      <c r="Q84" s="676"/>
      <c r="R84" s="676"/>
      <c r="S84" s="677">
        <v>5578093</v>
      </c>
      <c r="T84" s="676"/>
      <c r="U84" s="676"/>
      <c r="V84" s="677">
        <v>93458257</v>
      </c>
      <c r="W84" s="677">
        <v>147739</v>
      </c>
      <c r="X84" s="677">
        <v>0</v>
      </c>
      <c r="Y84" s="677">
        <f t="shared" si="24"/>
        <v>147739</v>
      </c>
      <c r="Z84" s="677"/>
      <c r="AA84" s="677">
        <f t="shared" si="25"/>
        <v>99036350</v>
      </c>
      <c r="AB84" s="677">
        <v>0</v>
      </c>
      <c r="AC84" s="677">
        <f t="shared" si="19"/>
        <v>464616051.63493919</v>
      </c>
      <c r="AD84" s="678">
        <f t="shared" si="20"/>
        <v>445238</v>
      </c>
      <c r="AE84" s="698">
        <v>459994853</v>
      </c>
      <c r="AF84" s="679">
        <f t="shared" si="26"/>
        <v>4621198.6349391937</v>
      </c>
      <c r="AG84" s="699">
        <f t="shared" si="13"/>
        <v>1.0046196397200058E-2</v>
      </c>
      <c r="AH84" s="247" t="s">
        <v>578</v>
      </c>
    </row>
    <row r="85" spans="1:34" s="278" customFormat="1" x14ac:dyDescent="0.45">
      <c r="A85" s="686" t="s">
        <v>46</v>
      </c>
      <c r="B85" s="685"/>
      <c r="C85" s="684">
        <f>61470276*(1+'Gross Consumption'!U35)</f>
        <v>63677724.046225682</v>
      </c>
      <c r="D85" s="684"/>
      <c r="E85" s="685"/>
      <c r="F85" s="684"/>
      <c r="G85" s="684">
        <v>5045134</v>
      </c>
      <c r="H85" s="684">
        <v>159479</v>
      </c>
      <c r="I85" s="684">
        <f t="shared" si="21"/>
        <v>5204613</v>
      </c>
      <c r="J85" s="684"/>
      <c r="K85" s="684">
        <v>0</v>
      </c>
      <c r="L85" s="684">
        <v>0</v>
      </c>
      <c r="M85" s="684">
        <v>0</v>
      </c>
      <c r="N85" s="684">
        <f t="shared" si="22"/>
        <v>0</v>
      </c>
      <c r="O85" s="684"/>
      <c r="P85" s="684">
        <f t="shared" si="23"/>
        <v>5204613</v>
      </c>
      <c r="Q85" s="685"/>
      <c r="R85" s="685"/>
      <c r="S85" s="684">
        <f>VLOOKUP($A85,'2019 FA Data'!$C$6:$K$21,7)</f>
        <v>0</v>
      </c>
      <c r="T85" s="685"/>
      <c r="U85" s="685"/>
      <c r="V85" s="684">
        <v>3641765</v>
      </c>
      <c r="W85" s="684">
        <v>11604.848</v>
      </c>
      <c r="X85" s="684">
        <v>0</v>
      </c>
      <c r="Y85" s="684">
        <f t="shared" si="24"/>
        <v>11604.848</v>
      </c>
      <c r="Z85" s="684"/>
      <c r="AA85" s="684">
        <f t="shared" si="25"/>
        <v>3641765</v>
      </c>
      <c r="AB85" s="684">
        <v>0</v>
      </c>
      <c r="AC85" s="684">
        <f t="shared" si="19"/>
        <v>72524102.046225682</v>
      </c>
      <c r="AD85" s="696">
        <f t="shared" si="20"/>
        <v>11604.848</v>
      </c>
      <c r="AE85" s="698">
        <v>70493884</v>
      </c>
      <c r="AF85" s="679">
        <f t="shared" si="26"/>
        <v>2030218.0462256819</v>
      </c>
      <c r="AG85" s="699">
        <f t="shared" si="13"/>
        <v>2.8799917539309883E-2</v>
      </c>
      <c r="AH85" s="247" t="s">
        <v>508</v>
      </c>
    </row>
    <row r="86" spans="1:34" x14ac:dyDescent="0.45">
      <c r="A86" s="137" t="s">
        <v>151</v>
      </c>
      <c r="B86" s="201"/>
      <c r="C86" s="202">
        <f>SUM(C70:C85)</f>
        <v>2017308355.0608244</v>
      </c>
      <c r="D86" s="202"/>
      <c r="E86" s="201"/>
      <c r="F86" s="202"/>
      <c r="G86" s="202">
        <f>SUM(G70:G85)</f>
        <v>312794324.66288221</v>
      </c>
      <c r="H86" s="202">
        <f>SUM(H70:H85)</f>
        <v>13126578.48</v>
      </c>
      <c r="I86" s="202">
        <f>G86+H86</f>
        <v>325920903.14288223</v>
      </c>
      <c r="J86" s="202"/>
      <c r="K86" s="202">
        <f>SUM(K70:K85)</f>
        <v>1491129438</v>
      </c>
      <c r="L86" s="202">
        <f>SUM(L70:L85)</f>
        <v>4826265.0140000004</v>
      </c>
      <c r="M86" s="202">
        <f>SUM(M70:M85)</f>
        <v>2353651</v>
      </c>
      <c r="N86" s="202">
        <f t="shared" si="15"/>
        <v>7179916.0140000004</v>
      </c>
      <c r="O86" s="202"/>
      <c r="P86" s="202">
        <f>SUM(P70:P85)</f>
        <v>1817050341.1428823</v>
      </c>
      <c r="Q86" s="202"/>
      <c r="R86" s="202"/>
      <c r="S86" s="202">
        <f>SUM(S70:S85)</f>
        <v>5578093</v>
      </c>
      <c r="T86" s="202"/>
      <c r="U86" s="202"/>
      <c r="V86" s="202">
        <f>SUM(V70:V85)</f>
        <v>727465365</v>
      </c>
      <c r="W86" s="202">
        <f>SUM(W70:W85)</f>
        <v>1745708.25</v>
      </c>
      <c r="X86" s="202">
        <f>SUM(X70:X85)</f>
        <v>1563793</v>
      </c>
      <c r="Y86" s="202">
        <f>SUM(Y70:Y85)</f>
        <v>3309501.25</v>
      </c>
      <c r="Z86" s="202"/>
      <c r="AA86" s="202">
        <f>SUM(AA70:AA85)</f>
        <v>733043458</v>
      </c>
      <c r="AB86" s="202">
        <f>SUM(AB70:AB85)</f>
        <v>0</v>
      </c>
      <c r="AC86" s="202">
        <f>SUM(AC70:AC85)</f>
        <v>4567402154.2037058</v>
      </c>
      <c r="AD86" s="203">
        <f>SUM(AD70:AD85)</f>
        <v>10489417.264</v>
      </c>
      <c r="AF86" s="36"/>
      <c r="AG86" s="41"/>
    </row>
    <row r="87" spans="1:34" x14ac:dyDescent="0.45">
      <c r="A87" s="137"/>
      <c r="B87" s="186"/>
      <c r="C87" s="128"/>
      <c r="D87" s="186"/>
      <c r="E87" s="186"/>
      <c r="F87" s="186"/>
      <c r="G87" s="186"/>
      <c r="H87" s="128"/>
      <c r="I87" s="128"/>
      <c r="J87" s="186"/>
      <c r="K87" s="186"/>
      <c r="L87" s="186"/>
      <c r="M87" s="186"/>
      <c r="N87" s="186"/>
      <c r="O87" s="186"/>
      <c r="P87" s="186"/>
      <c r="Q87" s="186"/>
      <c r="R87" s="186"/>
      <c r="S87" s="186"/>
      <c r="T87" s="186"/>
      <c r="U87" s="186"/>
      <c r="V87" s="186"/>
      <c r="W87" s="186"/>
      <c r="X87" s="186"/>
      <c r="Y87" s="186"/>
      <c r="Z87" s="186"/>
      <c r="AA87" s="186"/>
      <c r="AB87" s="186"/>
      <c r="AC87" s="128"/>
      <c r="AD87" s="200"/>
      <c r="AF87" s="25"/>
    </row>
    <row r="88" spans="1:34" x14ac:dyDescent="0.45">
      <c r="A88" s="137" t="s">
        <v>153</v>
      </c>
      <c r="B88" s="186"/>
      <c r="C88" s="128">
        <f>C67+C86</f>
        <v>2017308355.0608244</v>
      </c>
      <c r="D88" s="128"/>
      <c r="E88" s="128"/>
      <c r="F88" s="128"/>
      <c r="G88" s="128">
        <f>G67+G86</f>
        <v>312794324.66288221</v>
      </c>
      <c r="H88" s="128">
        <f>H67+H86</f>
        <v>13126578.48</v>
      </c>
      <c r="I88" s="128">
        <f>I67+I86</f>
        <v>325920903.14288223</v>
      </c>
      <c r="J88" s="128"/>
      <c r="K88" s="128">
        <f>K67+K86</f>
        <v>1491129438</v>
      </c>
      <c r="L88" s="128">
        <f>L67+L86</f>
        <v>4826265.0140000004</v>
      </c>
      <c r="M88" s="128">
        <f>M67+M86</f>
        <v>2353651</v>
      </c>
      <c r="N88" s="128">
        <f>N67+N86</f>
        <v>7179916.0140000004</v>
      </c>
      <c r="O88" s="128"/>
      <c r="P88" s="128">
        <f>P67+P86</f>
        <v>1817050341.1428823</v>
      </c>
      <c r="Q88" s="128"/>
      <c r="R88" s="128"/>
      <c r="S88" s="128">
        <f>S67+S86</f>
        <v>5578093</v>
      </c>
      <c r="T88" s="128"/>
      <c r="U88" s="128"/>
      <c r="V88" s="128">
        <f>V67+V86</f>
        <v>1318973845</v>
      </c>
      <c r="W88" s="128">
        <f>W67+W86</f>
        <v>2704340.25</v>
      </c>
      <c r="X88" s="128">
        <f>X67+X86</f>
        <v>2481232</v>
      </c>
      <c r="Y88" s="128">
        <f>Y67+Y86</f>
        <v>5185572.25</v>
      </c>
      <c r="Z88" s="128"/>
      <c r="AA88" s="128">
        <f>AA67+AA86</f>
        <v>1324551938</v>
      </c>
      <c r="AB88" s="128">
        <f>AB67+AB86</f>
        <v>0</v>
      </c>
      <c r="AC88" s="128">
        <f>AC67+AC86</f>
        <v>5158910634.2037058</v>
      </c>
      <c r="AD88" s="144">
        <f>AD67+AD86</f>
        <v>12365488.264</v>
      </c>
    </row>
    <row r="89" spans="1:34" x14ac:dyDescent="0.45">
      <c r="A89" s="146"/>
      <c r="B89" s="186"/>
      <c r="C89" s="128"/>
      <c r="D89" s="204"/>
      <c r="E89" s="128"/>
      <c r="F89" s="128"/>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44"/>
    </row>
    <row r="90" spans="1:34" x14ac:dyDescent="0.45">
      <c r="A90" s="137"/>
      <c r="B90" s="186"/>
      <c r="C90" s="128"/>
      <c r="D90" s="200"/>
      <c r="E90" s="186"/>
      <c r="F90" s="186"/>
      <c r="G90" s="186"/>
      <c r="H90" s="128"/>
      <c r="I90" s="128"/>
      <c r="J90" s="186"/>
      <c r="K90" s="186"/>
      <c r="L90" s="186"/>
      <c r="M90" s="186"/>
      <c r="N90" s="186"/>
      <c r="O90" s="186"/>
      <c r="P90" s="186"/>
      <c r="Q90" s="186"/>
      <c r="R90" s="186"/>
      <c r="S90" s="186"/>
      <c r="T90" s="186"/>
      <c r="U90" s="186"/>
      <c r="V90" s="186"/>
      <c r="W90" s="186"/>
      <c r="X90" s="186"/>
      <c r="Y90" s="186"/>
      <c r="Z90" s="186"/>
      <c r="AA90" s="186"/>
      <c r="AB90" s="186"/>
      <c r="AC90" s="186"/>
      <c r="AD90" s="200"/>
    </row>
    <row r="91" spans="1:34" s="29" customFormat="1" x14ac:dyDescent="0.45">
      <c r="A91" s="137" t="s">
        <v>154</v>
      </c>
      <c r="B91" s="205"/>
      <c r="C91" s="206"/>
      <c r="D91" s="207"/>
      <c r="E91" s="205"/>
      <c r="F91" s="205"/>
      <c r="G91" s="205" t="s">
        <v>19</v>
      </c>
      <c r="H91" s="153"/>
      <c r="I91" s="153" t="s">
        <v>19</v>
      </c>
      <c r="J91" s="205"/>
      <c r="K91" s="205" t="s">
        <v>19</v>
      </c>
      <c r="L91" s="205" t="s">
        <v>19</v>
      </c>
      <c r="M91" s="205" t="s">
        <v>19</v>
      </c>
      <c r="N91" s="205" t="s">
        <v>19</v>
      </c>
      <c r="O91" s="205"/>
      <c r="P91" s="153">
        <f>AC91-AA91-C91</f>
        <v>0</v>
      </c>
      <c r="Q91" s="205"/>
      <c r="R91" s="205"/>
      <c r="S91" s="205" t="s">
        <v>19</v>
      </c>
      <c r="T91" s="205"/>
      <c r="U91" s="205"/>
      <c r="V91" s="205" t="s">
        <v>19</v>
      </c>
      <c r="W91" s="205" t="s">
        <v>19</v>
      </c>
      <c r="X91" s="205" t="s">
        <v>19</v>
      </c>
      <c r="Y91" s="205" t="s">
        <v>19</v>
      </c>
      <c r="Z91" s="205"/>
      <c r="AA91" s="208"/>
      <c r="AB91" s="205"/>
      <c r="AC91" s="208"/>
      <c r="AD91" s="207" t="s">
        <v>19</v>
      </c>
    </row>
    <row r="92" spans="1:34" x14ac:dyDescent="0.45">
      <c r="A92" s="37"/>
      <c r="B92" s="197"/>
      <c r="C92" s="209"/>
      <c r="D92" s="210"/>
      <c r="E92" s="211"/>
      <c r="F92" s="212"/>
      <c r="G92" s="197"/>
      <c r="H92" s="158"/>
      <c r="I92" s="158"/>
      <c r="J92" s="197"/>
      <c r="K92" s="197"/>
      <c r="L92" s="197"/>
      <c r="M92" s="197"/>
      <c r="N92" s="197"/>
      <c r="O92" s="197"/>
      <c r="P92" s="197"/>
      <c r="Q92" s="197"/>
      <c r="R92" s="197"/>
      <c r="S92" s="197"/>
      <c r="T92" s="197"/>
      <c r="U92" s="197"/>
      <c r="V92" s="197"/>
      <c r="W92" s="197"/>
      <c r="X92" s="197"/>
      <c r="Y92" s="197"/>
      <c r="Z92" s="197"/>
      <c r="AA92" s="197"/>
      <c r="AB92" s="197"/>
      <c r="AC92" s="197"/>
      <c r="AD92" s="213"/>
    </row>
    <row r="93" spans="1:34" s="29" customFormat="1" ht="14.65" thickBot="1" x14ac:dyDescent="0.5">
      <c r="A93" s="214" t="s">
        <v>17</v>
      </c>
      <c r="B93" s="215"/>
      <c r="C93" s="216"/>
      <c r="D93" s="217"/>
      <c r="E93" s="215"/>
      <c r="F93" s="215"/>
      <c r="G93" s="215" t="s">
        <v>19</v>
      </c>
      <c r="H93" s="216">
        <f>H88-H91</f>
        <v>13126578.48</v>
      </c>
      <c r="I93" s="164" t="s">
        <v>19</v>
      </c>
      <c r="J93" s="215"/>
      <c r="K93" s="215" t="s">
        <v>19</v>
      </c>
      <c r="L93" s="215" t="s">
        <v>19</v>
      </c>
      <c r="M93" s="215" t="s">
        <v>19</v>
      </c>
      <c r="N93" s="215" t="s">
        <v>19</v>
      </c>
      <c r="O93" s="215"/>
      <c r="P93" s="216">
        <f>P88-P91</f>
        <v>1817050341.1428823</v>
      </c>
      <c r="Q93" s="215"/>
      <c r="R93" s="215"/>
      <c r="S93" s="215" t="s">
        <v>19</v>
      </c>
      <c r="T93" s="215"/>
      <c r="U93" s="215"/>
      <c r="V93" s="215" t="s">
        <v>19</v>
      </c>
      <c r="W93" s="215" t="s">
        <v>19</v>
      </c>
      <c r="X93" s="215" t="s">
        <v>19</v>
      </c>
      <c r="Y93" s="215" t="s">
        <v>19</v>
      </c>
      <c r="Z93" s="215"/>
      <c r="AA93" s="216">
        <f>AA88-AA91</f>
        <v>1324551938</v>
      </c>
      <c r="AB93" s="218" t="e">
        <f>#REF!-AB91</f>
        <v>#REF!</v>
      </c>
      <c r="AC93" s="216">
        <f>AC88-AC91</f>
        <v>5158910634.2037058</v>
      </c>
      <c r="AD93" s="217" t="s">
        <v>19</v>
      </c>
    </row>
    <row r="94" spans="1:34" ht="14.65" thickTop="1" x14ac:dyDescent="0.45"/>
    <row r="95" spans="1:34" x14ac:dyDescent="0.45">
      <c r="AC95" s="219"/>
    </row>
    <row r="96" spans="1:34" x14ac:dyDescent="0.45">
      <c r="A96" s="10" t="s">
        <v>280</v>
      </c>
      <c r="B96" s="10"/>
      <c r="C96" s="42"/>
      <c r="AC96" s="219"/>
    </row>
    <row r="97" spans="1:30" x14ac:dyDescent="0.45">
      <c r="A97" s="1" t="s">
        <v>161</v>
      </c>
    </row>
    <row r="99" spans="1:30" x14ac:dyDescent="0.45">
      <c r="A99" s="220" t="s">
        <v>682</v>
      </c>
      <c r="P99" s="41"/>
      <c r="Q99" s="41"/>
      <c r="R99" s="41"/>
      <c r="S99" s="221"/>
      <c r="T99" s="221"/>
      <c r="U99" s="221"/>
    </row>
    <row r="100" spans="1:30" x14ac:dyDescent="0.45">
      <c r="A100" s="222"/>
      <c r="P100" s="41"/>
      <c r="Q100" s="41"/>
      <c r="R100" s="41"/>
      <c r="S100" s="221"/>
      <c r="T100" s="221"/>
      <c r="U100" s="221"/>
    </row>
    <row r="101" spans="1:30" x14ac:dyDescent="0.45">
      <c r="G101" s="36"/>
      <c r="H101" s="36"/>
      <c r="I101" s="36"/>
      <c r="J101" s="36"/>
      <c r="K101" s="36"/>
      <c r="L101" s="36"/>
      <c r="M101" s="36"/>
      <c r="N101" s="36"/>
      <c r="O101" s="36"/>
      <c r="P101" s="36"/>
    </row>
    <row r="102" spans="1:30" x14ac:dyDescent="0.45">
      <c r="A102" s="35"/>
      <c r="B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row>
    <row r="103" spans="1:30" x14ac:dyDescent="0.45">
      <c r="I103" s="36"/>
    </row>
    <row r="106" spans="1:30" x14ac:dyDescent="0.45">
      <c r="A106" s="35"/>
    </row>
    <row r="107" spans="1:30" x14ac:dyDescent="0.45">
      <c r="A107" s="35"/>
    </row>
    <row r="110" spans="1:30" x14ac:dyDescent="0.45">
      <c r="A110" s="35"/>
    </row>
    <row r="111" spans="1:30" x14ac:dyDescent="0.45">
      <c r="A111" s="35"/>
    </row>
    <row r="112" spans="1:30" x14ac:dyDescent="0.45">
      <c r="A112" s="35"/>
    </row>
    <row r="113" spans="1:1" x14ac:dyDescent="0.45">
      <c r="A113" s="35"/>
    </row>
    <row r="114" spans="1:1" x14ac:dyDescent="0.45">
      <c r="A114" s="35"/>
    </row>
    <row r="115" spans="1:1" x14ac:dyDescent="0.45">
      <c r="A115" s="35"/>
    </row>
    <row r="116" spans="1:1" x14ac:dyDescent="0.45">
      <c r="A116" s="35"/>
    </row>
    <row r="117" spans="1:1" x14ac:dyDescent="0.45">
      <c r="A117" s="35"/>
    </row>
    <row r="118" spans="1:1" x14ac:dyDescent="0.45">
      <c r="A118" s="35"/>
    </row>
    <row r="119" spans="1:1" x14ac:dyDescent="0.45">
      <c r="A119" s="35"/>
    </row>
    <row r="120" spans="1:1" x14ac:dyDescent="0.45">
      <c r="A120" s="35"/>
    </row>
    <row r="121" spans="1:1" x14ac:dyDescent="0.45">
      <c r="A121" s="35"/>
    </row>
    <row r="122" spans="1:1" x14ac:dyDescent="0.45">
      <c r="A122" s="35"/>
    </row>
    <row r="123" spans="1:1" x14ac:dyDescent="0.45">
      <c r="A123" s="35"/>
    </row>
    <row r="124" spans="1:1" x14ac:dyDescent="0.45">
      <c r="A124" s="35"/>
    </row>
    <row r="125" spans="1:1" x14ac:dyDescent="0.45">
      <c r="A125" s="35"/>
    </row>
    <row r="126" spans="1:1" x14ac:dyDescent="0.45">
      <c r="A126" s="35"/>
    </row>
    <row r="127" spans="1:1" x14ac:dyDescent="0.45">
      <c r="A127" s="35"/>
    </row>
  </sheetData>
  <mergeCells count="21">
    <mergeCell ref="L58:N58"/>
    <mergeCell ref="W58:Y58"/>
    <mergeCell ref="AC58:AD58"/>
    <mergeCell ref="B56:D56"/>
    <mergeCell ref="F56:P56"/>
    <mergeCell ref="G57:I57"/>
    <mergeCell ref="K57:O57"/>
    <mergeCell ref="R57:T57"/>
    <mergeCell ref="U57:Z57"/>
    <mergeCell ref="R56:AA56"/>
    <mergeCell ref="A55:AD55"/>
    <mergeCell ref="A9:AD9"/>
    <mergeCell ref="B10:D10"/>
    <mergeCell ref="F10:P10"/>
    <mergeCell ref="R10:AA10"/>
    <mergeCell ref="U11:Z11"/>
    <mergeCell ref="F11:I11"/>
    <mergeCell ref="J11:O11"/>
    <mergeCell ref="R11:T11"/>
    <mergeCell ref="W12:Y12"/>
    <mergeCell ref="L12:N12"/>
  </mergeCells>
  <phoneticPr fontId="0" type="noConversion"/>
  <printOptions horizontalCentered="1" verticalCentered="1"/>
  <pageMargins left="0.25" right="0.25" top="0.75" bottom="0.75" header="0.3" footer="0.3"/>
  <pageSetup scale="60"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3"/>
  <sheetViews>
    <sheetView workbookViewId="0">
      <selection activeCell="I25" sqref="I25"/>
    </sheetView>
  </sheetViews>
  <sheetFormatPr defaultColWidth="12.59765625" defaultRowHeight="14.25" x14ac:dyDescent="0.45"/>
  <cols>
    <col min="1" max="1" width="8.3984375" style="6" customWidth="1"/>
    <col min="2" max="2" width="35" style="6" customWidth="1"/>
    <col min="3" max="5" width="15.1328125" style="43" customWidth="1"/>
    <col min="6" max="6" width="3.59765625" style="6" customWidth="1"/>
    <col min="7" max="7" width="12.59765625" style="6"/>
    <col min="8" max="8" width="4.73046875" style="6" customWidth="1"/>
    <col min="9" max="11" width="12.59765625" style="6"/>
    <col min="12" max="12" width="3.265625" style="6" customWidth="1"/>
    <col min="13" max="13" width="12.59765625" style="6"/>
    <col min="14" max="14" width="2.59765625" style="6" customWidth="1"/>
    <col min="15" max="17" width="12.59765625" style="6"/>
    <col min="18" max="18" width="3.265625" style="6" customWidth="1"/>
    <col min="19" max="16384" width="12.59765625" style="6"/>
  </cols>
  <sheetData>
    <row r="1" spans="1:19" x14ac:dyDescent="0.45">
      <c r="A1" s="10" t="s">
        <v>326</v>
      </c>
    </row>
    <row r="2" spans="1:19" x14ac:dyDescent="0.45">
      <c r="A2" s="10" t="s">
        <v>358</v>
      </c>
    </row>
    <row r="3" spans="1:19" x14ac:dyDescent="0.45">
      <c r="A3" s="14" t="s">
        <v>327</v>
      </c>
      <c r="I3" s="43"/>
    </row>
    <row r="4" spans="1:19" x14ac:dyDescent="0.45">
      <c r="I4" s="43"/>
    </row>
    <row r="5" spans="1:19" x14ac:dyDescent="0.45">
      <c r="C5" s="469">
        <v>2019</v>
      </c>
      <c r="D5" s="470">
        <v>2019</v>
      </c>
      <c r="E5" s="470">
        <v>2019</v>
      </c>
      <c r="F5" s="471"/>
      <c r="G5" s="472">
        <v>2020</v>
      </c>
      <c r="I5" s="469">
        <v>2020</v>
      </c>
      <c r="J5" s="470">
        <v>2020</v>
      </c>
      <c r="K5" s="470">
        <v>2020</v>
      </c>
      <c r="L5" s="471"/>
      <c r="M5" s="472">
        <v>2021</v>
      </c>
      <c r="O5" s="469">
        <v>2021</v>
      </c>
      <c r="P5" s="470">
        <v>2021</v>
      </c>
      <c r="Q5" s="470">
        <v>2021</v>
      </c>
      <c r="R5" s="471"/>
      <c r="S5" s="472">
        <v>2022</v>
      </c>
    </row>
    <row r="6" spans="1:19" x14ac:dyDescent="0.45">
      <c r="C6" s="473" t="s">
        <v>186</v>
      </c>
      <c r="D6" s="23" t="s">
        <v>178</v>
      </c>
      <c r="E6" s="23" t="s">
        <v>213</v>
      </c>
      <c r="F6" s="11"/>
      <c r="G6" s="367" t="s">
        <v>186</v>
      </c>
      <c r="H6" s="19"/>
      <c r="I6" s="473" t="s">
        <v>186</v>
      </c>
      <c r="J6" s="23" t="s">
        <v>178</v>
      </c>
      <c r="K6" s="23" t="s">
        <v>213</v>
      </c>
      <c r="L6" s="11"/>
      <c r="M6" s="367" t="s">
        <v>186</v>
      </c>
      <c r="O6" s="473" t="s">
        <v>186</v>
      </c>
      <c r="P6" s="23" t="s">
        <v>178</v>
      </c>
      <c r="Q6" s="23" t="s">
        <v>213</v>
      </c>
      <c r="R6" s="11"/>
      <c r="S6" s="367" t="s">
        <v>186</v>
      </c>
    </row>
    <row r="7" spans="1:19" x14ac:dyDescent="0.45">
      <c r="C7" s="473" t="s">
        <v>189</v>
      </c>
      <c r="D7" s="23" t="s">
        <v>190</v>
      </c>
      <c r="E7" s="23" t="s">
        <v>191</v>
      </c>
      <c r="F7" s="11"/>
      <c r="G7" s="367" t="s">
        <v>218</v>
      </c>
      <c r="H7" s="19"/>
      <c r="I7" s="473" t="s">
        <v>189</v>
      </c>
      <c r="J7" s="23" t="s">
        <v>190</v>
      </c>
      <c r="K7" s="23" t="s">
        <v>191</v>
      </c>
      <c r="L7" s="11"/>
      <c r="M7" s="367" t="s">
        <v>218</v>
      </c>
      <c r="O7" s="473" t="s">
        <v>189</v>
      </c>
      <c r="P7" s="23" t="s">
        <v>190</v>
      </c>
      <c r="Q7" s="23" t="s">
        <v>191</v>
      </c>
      <c r="R7" s="11"/>
      <c r="S7" s="367" t="s">
        <v>218</v>
      </c>
    </row>
    <row r="8" spans="1:19" x14ac:dyDescent="0.45">
      <c r="B8" s="21" t="s">
        <v>192</v>
      </c>
      <c r="C8" s="511">
        <v>0</v>
      </c>
      <c r="D8" s="16">
        <v>0</v>
      </c>
      <c r="E8" s="16">
        <f>C8-D8</f>
        <v>0</v>
      </c>
      <c r="F8" s="27"/>
      <c r="G8" s="474">
        <f t="shared" ref="G8" si="0">+D8</f>
        <v>0</v>
      </c>
      <c r="H8" s="19"/>
      <c r="I8" s="697">
        <f>G8*3</f>
        <v>0</v>
      </c>
      <c r="J8" s="16">
        <f>I8</f>
        <v>0</v>
      </c>
      <c r="K8" s="16">
        <f>I8-J8</f>
        <v>0</v>
      </c>
      <c r="L8" s="27"/>
      <c r="M8" s="474">
        <f>+J8</f>
        <v>0</v>
      </c>
      <c r="N8" s="19"/>
      <c r="O8" s="348">
        <f>M8</f>
        <v>0</v>
      </c>
      <c r="P8" s="16">
        <f>O8</f>
        <v>0</v>
      </c>
      <c r="Q8" s="16">
        <f>O8-P8</f>
        <v>0</v>
      </c>
      <c r="R8" s="27"/>
      <c r="S8" s="474">
        <f>+P8</f>
        <v>0</v>
      </c>
    </row>
    <row r="9" spans="1:19" x14ac:dyDescent="0.45">
      <c r="B9" s="21" t="s">
        <v>193</v>
      </c>
      <c r="C9" s="511">
        <v>-457.89</v>
      </c>
      <c r="D9" s="512">
        <v>-427.02</v>
      </c>
      <c r="E9" s="16">
        <f t="shared" ref="E9:E23" si="1">+D9-C9</f>
        <v>30.870000000000005</v>
      </c>
      <c r="F9" s="27"/>
      <c r="G9" s="474">
        <f>+D9</f>
        <v>-427.02</v>
      </c>
      <c r="H9" s="19"/>
      <c r="I9" s="697">
        <v>-440</v>
      </c>
      <c r="J9" s="16">
        <f t="shared" ref="J9:J23" si="2">I9</f>
        <v>-440</v>
      </c>
      <c r="K9" s="16">
        <f t="shared" ref="K9:K23" si="3">+J9-I9</f>
        <v>0</v>
      </c>
      <c r="L9" s="27"/>
      <c r="M9" s="474">
        <f t="shared" ref="M9:M23" si="4">+J9</f>
        <v>-440</v>
      </c>
      <c r="N9" s="19"/>
      <c r="O9" s="348">
        <f t="shared" ref="O9:O23" si="5">M9</f>
        <v>-440</v>
      </c>
      <c r="P9" s="16">
        <f t="shared" ref="P9:P23" si="6">O9</f>
        <v>-440</v>
      </c>
      <c r="Q9" s="16">
        <f t="shared" ref="Q9:Q23" si="7">+P9-O9</f>
        <v>0</v>
      </c>
      <c r="R9" s="27"/>
      <c r="S9" s="474">
        <f t="shared" ref="S9:S23" si="8">+P9</f>
        <v>-440</v>
      </c>
    </row>
    <row r="10" spans="1:19" x14ac:dyDescent="0.45">
      <c r="B10" s="21" t="s">
        <v>33</v>
      </c>
      <c r="C10" s="511">
        <v>-117613.25</v>
      </c>
      <c r="D10" s="513">
        <v>-132567.16</v>
      </c>
      <c r="E10" s="16">
        <f t="shared" si="1"/>
        <v>-14953.910000000003</v>
      </c>
      <c r="F10" s="27"/>
      <c r="G10" s="474">
        <f t="shared" ref="G10:G23" si="9">+D10</f>
        <v>-132567.16</v>
      </c>
      <c r="H10" s="19"/>
      <c r="I10" s="697">
        <v>-155986</v>
      </c>
      <c r="J10" s="19">
        <f t="shared" si="2"/>
        <v>-155986</v>
      </c>
      <c r="K10" s="16">
        <f t="shared" si="3"/>
        <v>0</v>
      </c>
      <c r="L10" s="27"/>
      <c r="M10" s="474">
        <f t="shared" si="4"/>
        <v>-155986</v>
      </c>
      <c r="N10" s="19"/>
      <c r="O10" s="348">
        <f t="shared" si="5"/>
        <v>-155986</v>
      </c>
      <c r="P10" s="19">
        <f t="shared" si="6"/>
        <v>-155986</v>
      </c>
      <c r="Q10" s="16">
        <f t="shared" si="7"/>
        <v>0</v>
      </c>
      <c r="R10" s="27"/>
      <c r="S10" s="474">
        <f t="shared" si="8"/>
        <v>-155986</v>
      </c>
    </row>
    <row r="11" spans="1:19" x14ac:dyDescent="0.45">
      <c r="B11" s="21" t="s">
        <v>194</v>
      </c>
      <c r="C11" s="511">
        <v>0</v>
      </c>
      <c r="D11" s="16">
        <v>0</v>
      </c>
      <c r="E11" s="16">
        <f t="shared" si="1"/>
        <v>0</v>
      </c>
      <c r="F11" s="27"/>
      <c r="G11" s="474">
        <f t="shared" si="9"/>
        <v>0</v>
      </c>
      <c r="H11" s="19"/>
      <c r="I11" s="697">
        <f t="shared" ref="I11:I19" si="10">G11</f>
        <v>0</v>
      </c>
      <c r="J11" s="16">
        <f t="shared" si="2"/>
        <v>0</v>
      </c>
      <c r="K11" s="16">
        <f t="shared" si="3"/>
        <v>0</v>
      </c>
      <c r="L11" s="27"/>
      <c r="M11" s="474">
        <f t="shared" si="4"/>
        <v>0</v>
      </c>
      <c r="N11" s="19"/>
      <c r="O11" s="348">
        <f t="shared" si="5"/>
        <v>0</v>
      </c>
      <c r="P11" s="16">
        <f t="shared" si="6"/>
        <v>0</v>
      </c>
      <c r="Q11" s="16">
        <f t="shared" si="7"/>
        <v>0</v>
      </c>
      <c r="R11" s="27"/>
      <c r="S11" s="474">
        <f t="shared" si="8"/>
        <v>0</v>
      </c>
    </row>
    <row r="12" spans="1:19" x14ac:dyDescent="0.45">
      <c r="B12" s="21" t="s">
        <v>195</v>
      </c>
      <c r="C12" s="511">
        <v>0</v>
      </c>
      <c r="D12" s="16">
        <v>0</v>
      </c>
      <c r="E12" s="16">
        <f t="shared" si="1"/>
        <v>0</v>
      </c>
      <c r="F12" s="27"/>
      <c r="G12" s="474">
        <f t="shared" si="9"/>
        <v>0</v>
      </c>
      <c r="H12" s="19"/>
      <c r="I12" s="697">
        <f t="shared" si="10"/>
        <v>0</v>
      </c>
      <c r="J12" s="16">
        <f t="shared" si="2"/>
        <v>0</v>
      </c>
      <c r="K12" s="16">
        <f t="shared" si="3"/>
        <v>0</v>
      </c>
      <c r="L12" s="27"/>
      <c r="M12" s="474">
        <f t="shared" si="4"/>
        <v>0</v>
      </c>
      <c r="N12" s="19"/>
      <c r="O12" s="348">
        <f t="shared" si="5"/>
        <v>0</v>
      </c>
      <c r="P12" s="16">
        <f t="shared" si="6"/>
        <v>0</v>
      </c>
      <c r="Q12" s="16">
        <f t="shared" si="7"/>
        <v>0</v>
      </c>
      <c r="R12" s="27"/>
      <c r="S12" s="474">
        <f t="shared" si="8"/>
        <v>0</v>
      </c>
    </row>
    <row r="13" spans="1:19" x14ac:dyDescent="0.45">
      <c r="B13" s="21" t="s">
        <v>196</v>
      </c>
      <c r="C13" s="511">
        <v>0</v>
      </c>
      <c r="D13" s="16">
        <v>0</v>
      </c>
      <c r="E13" s="16">
        <f t="shared" si="1"/>
        <v>0</v>
      </c>
      <c r="F13" s="27"/>
      <c r="G13" s="474">
        <f t="shared" si="9"/>
        <v>0</v>
      </c>
      <c r="H13" s="19"/>
      <c r="I13" s="697">
        <f t="shared" si="10"/>
        <v>0</v>
      </c>
      <c r="J13" s="16">
        <f t="shared" si="2"/>
        <v>0</v>
      </c>
      <c r="K13" s="16">
        <f t="shared" si="3"/>
        <v>0</v>
      </c>
      <c r="L13" s="27"/>
      <c r="M13" s="474">
        <f t="shared" si="4"/>
        <v>0</v>
      </c>
      <c r="N13" s="19"/>
      <c r="O13" s="348">
        <f t="shared" si="5"/>
        <v>0</v>
      </c>
      <c r="P13" s="16">
        <f t="shared" si="6"/>
        <v>0</v>
      </c>
      <c r="Q13" s="16">
        <f t="shared" si="7"/>
        <v>0</v>
      </c>
      <c r="R13" s="27"/>
      <c r="S13" s="474">
        <f t="shared" si="8"/>
        <v>0</v>
      </c>
    </row>
    <row r="14" spans="1:19" x14ac:dyDescent="0.45">
      <c r="B14" s="21" t="s">
        <v>197</v>
      </c>
      <c r="C14" s="511">
        <v>-474.59</v>
      </c>
      <c r="D14" s="512">
        <v>-309.58999999999997</v>
      </c>
      <c r="E14" s="16">
        <f t="shared" si="1"/>
        <v>165</v>
      </c>
      <c r="F14" s="27"/>
      <c r="G14" s="474">
        <f t="shared" si="9"/>
        <v>-309.58999999999997</v>
      </c>
      <c r="H14" s="19"/>
      <c r="I14" s="697">
        <v>0</v>
      </c>
      <c r="J14" s="16">
        <f t="shared" si="2"/>
        <v>0</v>
      </c>
      <c r="K14" s="16">
        <f t="shared" si="3"/>
        <v>0</v>
      </c>
      <c r="L14" s="27"/>
      <c r="M14" s="474">
        <f t="shared" si="4"/>
        <v>0</v>
      </c>
      <c r="N14" s="19"/>
      <c r="O14" s="348">
        <f t="shared" si="5"/>
        <v>0</v>
      </c>
      <c r="P14" s="16">
        <f t="shared" si="6"/>
        <v>0</v>
      </c>
      <c r="Q14" s="16">
        <f t="shared" si="7"/>
        <v>0</v>
      </c>
      <c r="R14" s="27"/>
      <c r="S14" s="474">
        <f t="shared" si="8"/>
        <v>0</v>
      </c>
    </row>
    <row r="15" spans="1:19" x14ac:dyDescent="0.45">
      <c r="B15" s="21" t="s">
        <v>198</v>
      </c>
      <c r="C15" s="511">
        <v>-599.54999999999995</v>
      </c>
      <c r="D15" s="16">
        <v>0</v>
      </c>
      <c r="E15" s="16">
        <f t="shared" si="1"/>
        <v>599.54999999999995</v>
      </c>
      <c r="F15" s="27"/>
      <c r="G15" s="474">
        <f t="shared" si="9"/>
        <v>0</v>
      </c>
      <c r="H15" s="19"/>
      <c r="I15" s="697">
        <f t="shared" si="10"/>
        <v>0</v>
      </c>
      <c r="J15" s="16">
        <f t="shared" si="2"/>
        <v>0</v>
      </c>
      <c r="K15" s="16">
        <f t="shared" si="3"/>
        <v>0</v>
      </c>
      <c r="L15" s="27"/>
      <c r="M15" s="474">
        <f t="shared" si="4"/>
        <v>0</v>
      </c>
      <c r="N15" s="19"/>
      <c r="O15" s="348">
        <f t="shared" si="5"/>
        <v>0</v>
      </c>
      <c r="P15" s="16">
        <f t="shared" si="6"/>
        <v>0</v>
      </c>
      <c r="Q15" s="16">
        <f t="shared" si="7"/>
        <v>0</v>
      </c>
      <c r="R15" s="27"/>
      <c r="S15" s="474">
        <f t="shared" si="8"/>
        <v>0</v>
      </c>
    </row>
    <row r="16" spans="1:19" x14ac:dyDescent="0.45">
      <c r="B16" s="21" t="s">
        <v>199</v>
      </c>
      <c r="C16" s="511">
        <v>0</v>
      </c>
      <c r="D16" s="16">
        <v>0</v>
      </c>
      <c r="E16" s="16">
        <f t="shared" si="1"/>
        <v>0</v>
      </c>
      <c r="F16" s="27"/>
      <c r="G16" s="474">
        <f t="shared" si="9"/>
        <v>0</v>
      </c>
      <c r="H16" s="19"/>
      <c r="I16" s="697">
        <v>-1567.7828491842299</v>
      </c>
      <c r="J16" s="16">
        <f t="shared" si="2"/>
        <v>-1567.7828491842299</v>
      </c>
      <c r="K16" s="16">
        <f t="shared" si="3"/>
        <v>0</v>
      </c>
      <c r="L16" s="27"/>
      <c r="M16" s="474">
        <f t="shared" si="4"/>
        <v>-1567.7828491842299</v>
      </c>
      <c r="N16" s="19"/>
      <c r="O16" s="348">
        <f t="shared" si="5"/>
        <v>-1567.7828491842299</v>
      </c>
      <c r="P16" s="16">
        <f t="shared" si="6"/>
        <v>-1567.7828491842299</v>
      </c>
      <c r="Q16" s="16">
        <f t="shared" si="7"/>
        <v>0</v>
      </c>
      <c r="R16" s="27"/>
      <c r="S16" s="474">
        <f t="shared" si="8"/>
        <v>-1567.7828491842299</v>
      </c>
    </row>
    <row r="17" spans="1:19" x14ac:dyDescent="0.45">
      <c r="B17" s="21" t="s">
        <v>200</v>
      </c>
      <c r="C17" s="511">
        <v>-677.88</v>
      </c>
      <c r="D17" s="16">
        <v>0</v>
      </c>
      <c r="E17" s="16">
        <f t="shared" si="1"/>
        <v>677.88</v>
      </c>
      <c r="F17" s="27"/>
      <c r="G17" s="474">
        <f t="shared" si="9"/>
        <v>0</v>
      </c>
      <c r="H17" s="19"/>
      <c r="I17" s="697">
        <v>-982</v>
      </c>
      <c r="J17" s="16">
        <f t="shared" si="2"/>
        <v>-982</v>
      </c>
      <c r="K17" s="16">
        <f t="shared" si="3"/>
        <v>0</v>
      </c>
      <c r="L17" s="27"/>
      <c r="M17" s="474">
        <f t="shared" si="4"/>
        <v>-982</v>
      </c>
      <c r="N17" s="19"/>
      <c r="O17" s="348">
        <f t="shared" si="5"/>
        <v>-982</v>
      </c>
      <c r="P17" s="16">
        <f t="shared" si="6"/>
        <v>-982</v>
      </c>
      <c r="Q17" s="16">
        <f t="shared" si="7"/>
        <v>0</v>
      </c>
      <c r="R17" s="27"/>
      <c r="S17" s="474">
        <f t="shared" si="8"/>
        <v>-982</v>
      </c>
    </row>
    <row r="18" spans="1:19" x14ac:dyDescent="0.45">
      <c r="B18" s="21" t="s">
        <v>201</v>
      </c>
      <c r="C18" s="511">
        <v>0</v>
      </c>
      <c r="D18" s="16">
        <v>0</v>
      </c>
      <c r="E18" s="16">
        <f t="shared" si="1"/>
        <v>0</v>
      </c>
      <c r="F18" s="27"/>
      <c r="G18" s="474">
        <f t="shared" si="9"/>
        <v>0</v>
      </c>
      <c r="H18" s="19"/>
      <c r="I18" s="697">
        <f t="shared" si="10"/>
        <v>0</v>
      </c>
      <c r="J18" s="16">
        <f t="shared" si="2"/>
        <v>0</v>
      </c>
      <c r="K18" s="16">
        <f t="shared" si="3"/>
        <v>0</v>
      </c>
      <c r="L18" s="27"/>
      <c r="M18" s="474">
        <f t="shared" si="4"/>
        <v>0</v>
      </c>
      <c r="N18" s="19"/>
      <c r="O18" s="348">
        <f t="shared" si="5"/>
        <v>0</v>
      </c>
      <c r="P18" s="16">
        <f t="shared" si="6"/>
        <v>0</v>
      </c>
      <c r="Q18" s="16">
        <f t="shared" si="7"/>
        <v>0</v>
      </c>
      <c r="R18" s="27"/>
      <c r="S18" s="474">
        <f t="shared" si="8"/>
        <v>0</v>
      </c>
    </row>
    <row r="19" spans="1:19" x14ac:dyDescent="0.45">
      <c r="B19" s="21" t="s">
        <v>202</v>
      </c>
      <c r="C19" s="511">
        <v>0</v>
      </c>
      <c r="D19" s="16">
        <v>0</v>
      </c>
      <c r="E19" s="16">
        <f t="shared" si="1"/>
        <v>0</v>
      </c>
      <c r="F19" s="27"/>
      <c r="G19" s="474">
        <f t="shared" si="9"/>
        <v>0</v>
      </c>
      <c r="H19" s="19"/>
      <c r="I19" s="697">
        <f t="shared" si="10"/>
        <v>0</v>
      </c>
      <c r="J19" s="16">
        <f t="shared" si="2"/>
        <v>0</v>
      </c>
      <c r="K19" s="16">
        <f t="shared" si="3"/>
        <v>0</v>
      </c>
      <c r="L19" s="27"/>
      <c r="M19" s="474">
        <f t="shared" si="4"/>
        <v>0</v>
      </c>
      <c r="N19" s="19"/>
      <c r="O19" s="348">
        <f t="shared" si="5"/>
        <v>0</v>
      </c>
      <c r="P19" s="16">
        <f t="shared" si="6"/>
        <v>0</v>
      </c>
      <c r="Q19" s="16">
        <f t="shared" si="7"/>
        <v>0</v>
      </c>
      <c r="R19" s="27"/>
      <c r="S19" s="474">
        <f t="shared" si="8"/>
        <v>0</v>
      </c>
    </row>
    <row r="20" spans="1:19" x14ac:dyDescent="0.45">
      <c r="B20" s="21" t="s">
        <v>203</v>
      </c>
      <c r="C20" s="511">
        <v>-73.63</v>
      </c>
      <c r="D20" s="512">
        <v>-77.5</v>
      </c>
      <c r="E20" s="16">
        <f t="shared" si="1"/>
        <v>-3.8700000000000045</v>
      </c>
      <c r="F20" s="27"/>
      <c r="G20" s="474">
        <f t="shared" si="9"/>
        <v>-77.5</v>
      </c>
      <c r="H20" s="19"/>
      <c r="I20" s="697">
        <v>0</v>
      </c>
      <c r="J20" s="16">
        <f t="shared" si="2"/>
        <v>0</v>
      </c>
      <c r="K20" s="16">
        <f t="shared" si="3"/>
        <v>0</v>
      </c>
      <c r="L20" s="27"/>
      <c r="M20" s="474">
        <f t="shared" si="4"/>
        <v>0</v>
      </c>
      <c r="N20" s="19"/>
      <c r="O20" s="348">
        <f t="shared" si="5"/>
        <v>0</v>
      </c>
      <c r="P20" s="16">
        <f t="shared" si="6"/>
        <v>0</v>
      </c>
      <c r="Q20" s="16">
        <f t="shared" si="7"/>
        <v>0</v>
      </c>
      <c r="R20" s="27"/>
      <c r="S20" s="474">
        <f t="shared" si="8"/>
        <v>0</v>
      </c>
    </row>
    <row r="21" spans="1:19" x14ac:dyDescent="0.45">
      <c r="B21" s="21" t="s">
        <v>204</v>
      </c>
      <c r="C21" s="511">
        <v>-1370.2</v>
      </c>
      <c r="D21" s="16">
        <v>0</v>
      </c>
      <c r="E21" s="16">
        <f t="shared" si="1"/>
        <v>1370.2</v>
      </c>
      <c r="F21" s="27"/>
      <c r="G21" s="474">
        <f t="shared" si="9"/>
        <v>0</v>
      </c>
      <c r="H21" s="19"/>
      <c r="I21" s="697">
        <v>-427.04</v>
      </c>
      <c r="J21" s="16">
        <f t="shared" si="2"/>
        <v>-427.04</v>
      </c>
      <c r="K21" s="16">
        <f t="shared" si="3"/>
        <v>0</v>
      </c>
      <c r="L21" s="27"/>
      <c r="M21" s="474">
        <f t="shared" si="4"/>
        <v>-427.04</v>
      </c>
      <c r="N21" s="19"/>
      <c r="O21" s="348">
        <f t="shared" si="5"/>
        <v>-427.04</v>
      </c>
      <c r="P21" s="16">
        <f t="shared" si="6"/>
        <v>-427.04</v>
      </c>
      <c r="Q21" s="16">
        <f t="shared" si="7"/>
        <v>0</v>
      </c>
      <c r="R21" s="27"/>
      <c r="S21" s="474">
        <f t="shared" si="8"/>
        <v>-427.04</v>
      </c>
    </row>
    <row r="22" spans="1:19" x14ac:dyDescent="0.45">
      <c r="B22" s="21" t="s">
        <v>205</v>
      </c>
      <c r="C22" s="511">
        <v>-4620.72</v>
      </c>
      <c r="D22" s="512">
        <f>-1927.98-553</f>
        <v>-2480.98</v>
      </c>
      <c r="E22" s="16">
        <f t="shared" si="1"/>
        <v>2139.7400000000002</v>
      </c>
      <c r="F22" s="27"/>
      <c r="G22" s="474">
        <f t="shared" si="9"/>
        <v>-2480.98</v>
      </c>
      <c r="H22" s="19"/>
      <c r="I22" s="697">
        <v>-2110</v>
      </c>
      <c r="J22" s="16">
        <f t="shared" si="2"/>
        <v>-2110</v>
      </c>
      <c r="K22" s="16">
        <f t="shared" si="3"/>
        <v>0</v>
      </c>
      <c r="L22" s="27"/>
      <c r="M22" s="474">
        <f t="shared" si="4"/>
        <v>-2110</v>
      </c>
      <c r="N22" s="19"/>
      <c r="O22" s="348">
        <f t="shared" si="5"/>
        <v>-2110</v>
      </c>
      <c r="P22" s="16">
        <f t="shared" si="6"/>
        <v>-2110</v>
      </c>
      <c r="Q22" s="16">
        <f t="shared" si="7"/>
        <v>0</v>
      </c>
      <c r="R22" s="27"/>
      <c r="S22" s="474">
        <f t="shared" si="8"/>
        <v>-2110</v>
      </c>
    </row>
    <row r="23" spans="1:19" x14ac:dyDescent="0.45">
      <c r="B23" s="11" t="s">
        <v>206</v>
      </c>
      <c r="C23" s="511">
        <v>0</v>
      </c>
      <c r="D23" s="16">
        <v>0</v>
      </c>
      <c r="E23" s="16">
        <f t="shared" si="1"/>
        <v>0</v>
      </c>
      <c r="F23" s="27"/>
      <c r="G23" s="475">
        <f t="shared" si="9"/>
        <v>0</v>
      </c>
      <c r="H23" s="19"/>
      <c r="I23" s="697">
        <v>-940.99</v>
      </c>
      <c r="J23" s="16">
        <f t="shared" si="2"/>
        <v>-940.99</v>
      </c>
      <c r="K23" s="16">
        <f t="shared" si="3"/>
        <v>0</v>
      </c>
      <c r="L23" s="27"/>
      <c r="M23" s="474">
        <f t="shared" si="4"/>
        <v>-940.99</v>
      </c>
      <c r="N23" s="19"/>
      <c r="O23" s="348">
        <f t="shared" si="5"/>
        <v>-940.99</v>
      </c>
      <c r="P23" s="16">
        <f t="shared" si="6"/>
        <v>-940.99</v>
      </c>
      <c r="Q23" s="16">
        <f t="shared" si="7"/>
        <v>0</v>
      </c>
      <c r="R23" s="27"/>
      <c r="S23" s="474">
        <f t="shared" si="8"/>
        <v>-940.99</v>
      </c>
    </row>
    <row r="24" spans="1:19" x14ac:dyDescent="0.45">
      <c r="B24" s="479"/>
      <c r="C24" s="484"/>
      <c r="D24" s="324"/>
      <c r="E24" s="324"/>
      <c r="F24" s="485"/>
      <c r="G24" s="480"/>
      <c r="H24" s="481"/>
      <c r="I24" s="484"/>
      <c r="J24" s="324"/>
      <c r="K24" s="324"/>
      <c r="L24" s="485"/>
      <c r="M24" s="480"/>
      <c r="N24" s="489"/>
      <c r="O24" s="484"/>
      <c r="P24" s="324"/>
      <c r="Q24" s="324"/>
      <c r="R24" s="485"/>
      <c r="S24" s="480"/>
    </row>
    <row r="25" spans="1:19" x14ac:dyDescent="0.45">
      <c r="B25" s="482" t="s">
        <v>357</v>
      </c>
      <c r="C25" s="486">
        <f>+SUM(C8:C23)</f>
        <v>-125887.71</v>
      </c>
      <c r="D25" s="487">
        <f>+SUM(D8:D23)</f>
        <v>-135862.25</v>
      </c>
      <c r="E25" s="488">
        <f>+D25-C25</f>
        <v>-9974.5399999999936</v>
      </c>
      <c r="F25" s="27"/>
      <c r="G25" s="478">
        <f>SUM(G8:G23)</f>
        <v>-135862.25</v>
      </c>
      <c r="H25" s="11"/>
      <c r="I25" s="486">
        <f>+SUM(I8:I23)</f>
        <v>-162453.81284918424</v>
      </c>
      <c r="J25" s="487">
        <f>+SUM(J8:J23)</f>
        <v>-162453.81284918424</v>
      </c>
      <c r="K25" s="488">
        <f>+J25-I25</f>
        <v>0</v>
      </c>
      <c r="L25" s="27"/>
      <c r="M25" s="478">
        <f>SUM(M8:M23)</f>
        <v>-162453.81284918424</v>
      </c>
      <c r="N25" s="490"/>
      <c r="O25" s="486">
        <f>+SUM(O8:O23)</f>
        <v>-162453.81284918424</v>
      </c>
      <c r="P25" s="487">
        <f>+SUM(P8:P23)</f>
        <v>-162453.81284918424</v>
      </c>
      <c r="Q25" s="488">
        <f>+P25-O25</f>
        <v>0</v>
      </c>
      <c r="R25" s="27"/>
      <c r="S25" s="478">
        <f>SUM(S8:S23)</f>
        <v>-162453.81284918424</v>
      </c>
    </row>
    <row r="26" spans="1:19" x14ac:dyDescent="0.45">
      <c r="B26" s="483"/>
      <c r="C26" s="477"/>
      <c r="D26" s="320"/>
      <c r="E26" s="320"/>
      <c r="F26" s="18"/>
      <c r="G26" s="475"/>
      <c r="H26" s="18"/>
      <c r="I26" s="477"/>
      <c r="J26" s="320"/>
      <c r="K26" s="320"/>
      <c r="L26" s="18"/>
      <c r="M26" s="475"/>
      <c r="N26" s="7"/>
      <c r="O26" s="477"/>
      <c r="P26" s="320"/>
      <c r="Q26" s="320"/>
      <c r="R26" s="18"/>
      <c r="S26" s="475"/>
    </row>
    <row r="27" spans="1:19" s="5" customFormat="1" x14ac:dyDescent="0.45">
      <c r="B27" s="11"/>
      <c r="C27" s="476"/>
      <c r="D27" s="476"/>
      <c r="E27" s="476"/>
      <c r="F27" s="11"/>
      <c r="G27" s="476"/>
      <c r="H27" s="11"/>
      <c r="I27" s="348"/>
      <c r="J27" s="476"/>
      <c r="K27" s="476"/>
      <c r="L27" s="11"/>
      <c r="M27" s="476"/>
      <c r="O27" s="476"/>
      <c r="P27" s="476"/>
      <c r="Q27" s="476"/>
      <c r="R27" s="11"/>
      <c r="S27" s="476"/>
    </row>
    <row r="28" spans="1:19" x14ac:dyDescent="0.45">
      <c r="C28" s="45"/>
      <c r="D28" s="45"/>
      <c r="E28" s="45"/>
      <c r="G28" s="21"/>
      <c r="H28" s="21"/>
      <c r="I28" s="765"/>
    </row>
    <row r="29" spans="1:19" x14ac:dyDescent="0.45">
      <c r="A29" s="6" t="s">
        <v>207</v>
      </c>
      <c r="B29" s="6" t="s">
        <v>220</v>
      </c>
      <c r="I29" s="43"/>
    </row>
    <row r="30" spans="1:19" x14ac:dyDescent="0.45">
      <c r="A30" s="6" t="s">
        <v>209</v>
      </c>
      <c r="B30" s="6" t="s">
        <v>208</v>
      </c>
      <c r="C30" s="46"/>
      <c r="D30" s="46"/>
      <c r="G30" s="21"/>
      <c r="H30" s="21"/>
      <c r="I30" s="46"/>
      <c r="J30" s="21"/>
    </row>
    <row r="31" spans="1:19" x14ac:dyDescent="0.45">
      <c r="A31" s="6" t="s">
        <v>211</v>
      </c>
      <c r="B31" s="21" t="s">
        <v>210</v>
      </c>
      <c r="C31" s="46"/>
      <c r="D31" s="46"/>
      <c r="I31" s="43"/>
    </row>
    <row r="32" spans="1:19" x14ac:dyDescent="0.45">
      <c r="A32" s="6" t="s">
        <v>219</v>
      </c>
      <c r="B32" s="21" t="s">
        <v>212</v>
      </c>
      <c r="C32" s="46"/>
      <c r="D32" s="46"/>
      <c r="I32" s="43"/>
    </row>
    <row r="33" spans="1:9" x14ac:dyDescent="0.45">
      <c r="A33" s="21"/>
      <c r="C33" s="46"/>
      <c r="D33" s="46"/>
      <c r="I33" s="43"/>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A4F86-B93C-4697-8FFC-C78CB3B7B3E3}">
  <dimension ref="A6:H36"/>
  <sheetViews>
    <sheetView workbookViewId="0">
      <selection activeCell="H10" sqref="H10:H13"/>
    </sheetView>
  </sheetViews>
  <sheetFormatPr defaultRowHeight="12.75" x14ac:dyDescent="0.35"/>
  <cols>
    <col min="1" max="1" width="27.3984375" customWidth="1"/>
    <col min="2" max="4" width="14.265625" customWidth="1"/>
    <col min="5" max="5" width="11.265625" customWidth="1"/>
    <col min="6" max="6" width="12.59765625" customWidth="1"/>
    <col min="7" max="7" width="14" bestFit="1" customWidth="1"/>
    <col min="8" max="8" width="11" customWidth="1"/>
  </cols>
  <sheetData>
    <row r="6" spans="1:8" x14ac:dyDescent="0.35">
      <c r="A6" s="522" t="s">
        <v>418</v>
      </c>
      <c r="B6" s="522"/>
      <c r="C6" s="522"/>
      <c r="D6" s="522"/>
      <c r="E6" s="522"/>
    </row>
    <row r="7" spans="1:8" x14ac:dyDescent="0.35">
      <c r="A7" s="522"/>
      <c r="B7" s="522"/>
      <c r="C7" s="522"/>
      <c r="D7" s="522"/>
      <c r="E7" s="522"/>
    </row>
    <row r="8" spans="1:8" x14ac:dyDescent="0.35">
      <c r="A8" s="522"/>
      <c r="B8" s="522"/>
      <c r="C8" s="522"/>
      <c r="D8" s="522"/>
      <c r="E8" s="522"/>
    </row>
    <row r="9" spans="1:8" ht="52.5" x14ac:dyDescent="0.4">
      <c r="A9" s="544" t="s">
        <v>295</v>
      </c>
      <c r="B9" s="544" t="s">
        <v>419</v>
      </c>
      <c r="C9" s="544" t="s">
        <v>420</v>
      </c>
      <c r="D9" s="544" t="s">
        <v>421</v>
      </c>
      <c r="E9" s="544" t="s">
        <v>427</v>
      </c>
      <c r="F9" s="544" t="s">
        <v>448</v>
      </c>
      <c r="G9" s="544" t="s">
        <v>446</v>
      </c>
      <c r="H9" s="544" t="s">
        <v>447</v>
      </c>
    </row>
    <row r="10" spans="1:8" x14ac:dyDescent="0.35">
      <c r="A10" s="522" t="s">
        <v>3</v>
      </c>
      <c r="B10" s="555">
        <v>1967149313</v>
      </c>
      <c r="C10" s="555">
        <f>89500000*2*0.33/2</f>
        <v>29535000</v>
      </c>
      <c r="D10" s="555">
        <f>C10+B10</f>
        <v>1996684313</v>
      </c>
      <c r="E10" s="556">
        <f>C10/C$15</f>
        <v>0.94608879492600417</v>
      </c>
      <c r="F10" s="538">
        <f>'EEC Calculation'!H67</f>
        <v>0</v>
      </c>
      <c r="G10" s="538">
        <f>D10+F10</f>
        <v>1996684313</v>
      </c>
      <c r="H10" s="565">
        <f>G10/G$15</f>
        <v>0.45408239248270349</v>
      </c>
    </row>
    <row r="11" spans="1:8" x14ac:dyDescent="0.35">
      <c r="A11" s="522" t="s">
        <v>423</v>
      </c>
      <c r="B11" s="555">
        <f>312238037+13255455</f>
        <v>325493492</v>
      </c>
      <c r="C11" s="555">
        <f>5100000*2*0.33/2</f>
        <v>1683000</v>
      </c>
      <c r="D11" s="555">
        <f>C11+B11</f>
        <v>327176492</v>
      </c>
      <c r="E11" s="556">
        <f>C11/C$15</f>
        <v>5.3911205073995772E-2</v>
      </c>
      <c r="F11" s="538">
        <f>'EEC Calculation'!H74*'Util Rev and Load Data'!I86/'Util Rev and Load Data'!P86</f>
        <v>-25069488.626051884</v>
      </c>
      <c r="G11" s="538">
        <f>D11+F11</f>
        <v>302107003.3739481</v>
      </c>
      <c r="H11" s="565">
        <f t="shared" ref="H11:H14" si="0">G11/G$15</f>
        <v>6.8704636974739691E-2</v>
      </c>
    </row>
    <row r="12" spans="1:8" x14ac:dyDescent="0.35">
      <c r="A12" s="522" t="s">
        <v>425</v>
      </c>
      <c r="B12" s="555">
        <f>1476949060</f>
        <v>1476949060</v>
      </c>
      <c r="C12" s="555">
        <f>20500000*0</f>
        <v>0</v>
      </c>
      <c r="D12" s="555">
        <f>C12+B12</f>
        <v>1476949060</v>
      </c>
      <c r="E12" s="556">
        <f>C12/C$15</f>
        <v>0</v>
      </c>
      <c r="F12" s="538">
        <f>'EEC Calculation'!H74-'Net Meter Est'!F11</f>
        <v>-114696087.68703033</v>
      </c>
      <c r="G12" s="538">
        <f>D12+F12</f>
        <v>1362252972.3129697</v>
      </c>
      <c r="H12" s="565">
        <f t="shared" si="0"/>
        <v>0.30980114623385002</v>
      </c>
    </row>
    <row r="13" spans="1:8" x14ac:dyDescent="0.35">
      <c r="A13" s="522" t="s">
        <v>424</v>
      </c>
      <c r="B13" s="555">
        <v>5869669</v>
      </c>
      <c r="C13" s="555">
        <f>600000*0</f>
        <v>0</v>
      </c>
      <c r="D13" s="555">
        <f>C13+B13</f>
        <v>5869669</v>
      </c>
      <c r="E13" s="556">
        <f>C13/C$15</f>
        <v>0</v>
      </c>
      <c r="F13" s="538">
        <v>0</v>
      </c>
      <c r="G13" s="538">
        <f>D13+F13</f>
        <v>5869669</v>
      </c>
      <c r="H13" s="565">
        <f t="shared" si="0"/>
        <v>1.3348696763170081E-3</v>
      </c>
    </row>
    <row r="14" spans="1:8" ht="15" x14ac:dyDescent="0.65">
      <c r="A14" s="518" t="s">
        <v>426</v>
      </c>
      <c r="B14" s="557">
        <v>730271104</v>
      </c>
      <c r="C14" s="557">
        <f>5800000*0</f>
        <v>0</v>
      </c>
      <c r="D14" s="557">
        <f>C14+B14</f>
        <v>730271104</v>
      </c>
      <c r="E14" s="558">
        <f>C14/C$15</f>
        <v>0</v>
      </c>
      <c r="F14" s="568">
        <v>0</v>
      </c>
      <c r="G14" s="568">
        <f>D14+F14</f>
        <v>730271104</v>
      </c>
      <c r="H14" s="558">
        <f t="shared" si="0"/>
        <v>0.1660769546323897</v>
      </c>
    </row>
    <row r="15" spans="1:8" ht="13.15" x14ac:dyDescent="0.4">
      <c r="A15" s="244" t="s">
        <v>50</v>
      </c>
      <c r="B15" s="559">
        <f t="shared" ref="B15:H15" si="1">SUM(B10:B14)</f>
        <v>4505732638</v>
      </c>
      <c r="C15" s="559">
        <f t="shared" si="1"/>
        <v>31218000</v>
      </c>
      <c r="D15" s="559">
        <f t="shared" si="1"/>
        <v>4536950638</v>
      </c>
      <c r="E15" s="567">
        <f t="shared" si="1"/>
        <v>1</v>
      </c>
      <c r="F15" s="569">
        <f t="shared" si="1"/>
        <v>-139765576.31308222</v>
      </c>
      <c r="G15" s="559">
        <f t="shared" si="1"/>
        <v>4397185061.6869183</v>
      </c>
      <c r="H15" s="567">
        <f t="shared" si="1"/>
        <v>0.99999999999999989</v>
      </c>
    </row>
    <row r="18" spans="1:8" x14ac:dyDescent="0.35">
      <c r="A18" s="522" t="s">
        <v>429</v>
      </c>
    </row>
    <row r="19" spans="1:8" x14ac:dyDescent="0.35">
      <c r="B19" s="522" t="s">
        <v>428</v>
      </c>
      <c r="C19" s="560">
        <v>9426</v>
      </c>
    </row>
    <row r="20" spans="1:8" x14ac:dyDescent="0.35">
      <c r="B20" s="522" t="s">
        <v>2</v>
      </c>
      <c r="C20" s="560">
        <v>243178</v>
      </c>
    </row>
    <row r="21" spans="1:8" x14ac:dyDescent="0.35">
      <c r="B21" s="522" t="s">
        <v>430</v>
      </c>
      <c r="C21" s="561">
        <f>C20/C19</f>
        <v>25.798642053893484</v>
      </c>
    </row>
    <row r="24" spans="1:8" x14ac:dyDescent="0.35">
      <c r="B24" s="522" t="s">
        <v>118</v>
      </c>
      <c r="C24" s="560">
        <f>C10</f>
        <v>29535000</v>
      </c>
      <c r="E24" s="566">
        <f>E10</f>
        <v>0.94608879492600417</v>
      </c>
      <c r="F24" s="565">
        <f>F10/F$15</f>
        <v>0</v>
      </c>
      <c r="H24" s="566">
        <f>H10</f>
        <v>0.45408239248270349</v>
      </c>
    </row>
    <row r="25" spans="1:8" x14ac:dyDescent="0.35">
      <c r="B25" s="522" t="s">
        <v>360</v>
      </c>
      <c r="C25" s="560">
        <f>C11+C12</f>
        <v>1683000</v>
      </c>
      <c r="E25" s="566">
        <f>E11+E12</f>
        <v>5.3911205073995772E-2</v>
      </c>
      <c r="F25" s="565">
        <f>(F11+F12)/F15</f>
        <v>1</v>
      </c>
      <c r="H25" s="566">
        <f>H11+H12</f>
        <v>0.37850578320858974</v>
      </c>
    </row>
    <row r="26" spans="1:8" x14ac:dyDescent="0.35">
      <c r="B26" s="522" t="s">
        <v>109</v>
      </c>
      <c r="C26" s="560">
        <f>C13+C14</f>
        <v>0</v>
      </c>
      <c r="E26" s="566">
        <f>E13+E14</f>
        <v>0</v>
      </c>
      <c r="F26" s="540">
        <f>F13+F14</f>
        <v>0</v>
      </c>
      <c r="H26" s="566">
        <f>H13+H14</f>
        <v>0.16741182430870671</v>
      </c>
    </row>
    <row r="36" spans="5:5" x14ac:dyDescent="0.35">
      <c r="E36" t="s">
        <v>432</v>
      </c>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08"/>
  <sheetViews>
    <sheetView topLeftCell="A19" zoomScaleNormal="100" workbookViewId="0">
      <selection activeCell="L33" sqref="L33"/>
    </sheetView>
  </sheetViews>
  <sheetFormatPr defaultColWidth="9.1328125" defaultRowHeight="14.25" x14ac:dyDescent="0.45"/>
  <cols>
    <col min="1" max="1" width="4" style="6" customWidth="1"/>
    <col min="2" max="2" width="18.59765625" style="6" customWidth="1"/>
    <col min="3" max="3" width="16.59765625" style="6" customWidth="1"/>
    <col min="4" max="4" width="17.3984375" style="6" customWidth="1"/>
    <col min="5" max="5" width="17" style="6" customWidth="1"/>
    <col min="6" max="6" width="15.265625" style="6" customWidth="1"/>
    <col min="7" max="7" width="18" style="6" customWidth="1"/>
    <col min="8" max="8" width="16.59765625" style="6" customWidth="1"/>
    <col min="9" max="9" width="17.1328125" style="6" customWidth="1"/>
    <col min="10" max="10" width="18.1328125" style="6" customWidth="1"/>
    <col min="11" max="11" width="14.3984375" style="6" customWidth="1"/>
    <col min="12" max="12" width="13.1328125" style="6" customWidth="1"/>
    <col min="13" max="13" width="9.1328125" style="6"/>
    <col min="14" max="14" width="11.59765625" style="6" customWidth="1"/>
    <col min="15" max="15" width="11.73046875" style="6" bestFit="1" customWidth="1"/>
    <col min="16" max="16" width="39" style="6" customWidth="1"/>
    <col min="17" max="17" width="15" style="6" customWidth="1"/>
    <col min="18" max="29" width="12.86328125" style="6" customWidth="1"/>
    <col min="30" max="30" width="14.59765625" style="6" customWidth="1"/>
    <col min="31" max="31" width="13.86328125" style="6" bestFit="1" customWidth="1"/>
    <col min="32" max="32" width="9.1328125" style="6"/>
    <col min="33" max="38" width="12.86328125" style="6" customWidth="1"/>
    <col min="39" max="39" width="10.1328125" style="6" customWidth="1"/>
    <col min="40" max="40" width="12.59765625" style="6" customWidth="1"/>
    <col min="41" max="41" width="16" style="6" customWidth="1"/>
    <col min="42" max="45" width="9.1328125" style="6"/>
    <col min="46" max="46" width="42.59765625" style="6" customWidth="1"/>
    <col min="47" max="51" width="21" style="6" customWidth="1"/>
    <col min="52" max="16384" width="9.1328125" style="6"/>
  </cols>
  <sheetData>
    <row r="1" spans="1:51" x14ac:dyDescent="0.45">
      <c r="A1" s="10" t="s">
        <v>326</v>
      </c>
      <c r="T1" s="549" t="s">
        <v>411</v>
      </c>
      <c r="U1" s="550" t="s">
        <v>412</v>
      </c>
    </row>
    <row r="2" spans="1:51" x14ac:dyDescent="0.45">
      <c r="A2" s="4" t="s">
        <v>278</v>
      </c>
      <c r="B2" s="5"/>
      <c r="C2" s="5"/>
      <c r="D2" s="5"/>
      <c r="E2" s="17"/>
      <c r="F2" s="554"/>
      <c r="G2" s="554"/>
      <c r="H2" s="5"/>
      <c r="I2" s="5"/>
      <c r="J2" s="5"/>
      <c r="K2" s="5"/>
      <c r="L2" s="5"/>
      <c r="P2" s="1"/>
      <c r="Q2" s="1"/>
      <c r="R2" s="1"/>
      <c r="S2" s="1" t="s">
        <v>35</v>
      </c>
      <c r="T2" s="551">
        <v>10919</v>
      </c>
      <c r="U2" s="552">
        <v>11091</v>
      </c>
      <c r="V2" s="1"/>
      <c r="W2" s="1"/>
      <c r="Y2" s="1"/>
      <c r="Z2" s="1"/>
      <c r="AA2" s="1"/>
      <c r="AB2" s="1"/>
      <c r="AC2" s="1"/>
      <c r="AD2" s="1"/>
      <c r="AE2" s="1"/>
      <c r="AF2" s="1"/>
      <c r="AG2" s="1"/>
      <c r="AH2" s="1"/>
      <c r="AI2" s="1"/>
      <c r="AJ2" s="1"/>
      <c r="AK2" s="1"/>
      <c r="AL2" s="1"/>
    </row>
    <row r="3" spans="1:51" x14ac:dyDescent="0.45">
      <c r="A3" s="4"/>
      <c r="B3" s="5"/>
      <c r="C3" s="5"/>
      <c r="D3" s="5"/>
      <c r="E3" s="554"/>
      <c r="F3" s="554"/>
      <c r="G3" s="554"/>
      <c r="H3" s="5"/>
      <c r="I3" s="5"/>
      <c r="J3" s="5"/>
      <c r="K3" s="5"/>
      <c r="L3" s="5"/>
      <c r="N3" s="1" t="s">
        <v>221</v>
      </c>
      <c r="O3" s="247" t="s">
        <v>395</v>
      </c>
      <c r="P3" s="247"/>
      <c r="Q3" s="1"/>
      <c r="R3" s="1"/>
      <c r="S3" s="1"/>
      <c r="T3" s="1"/>
      <c r="U3" s="1"/>
      <c r="V3" s="1"/>
      <c r="W3" s="1"/>
      <c r="X3" s="651"/>
      <c r="Y3" s="1"/>
      <c r="Z3" s="1"/>
      <c r="AA3" s="1"/>
      <c r="AB3" s="1"/>
      <c r="AC3" s="1"/>
      <c r="AD3" s="1"/>
      <c r="AE3" s="1"/>
      <c r="AF3" s="1"/>
      <c r="AG3" s="1"/>
      <c r="AH3" s="1"/>
      <c r="AI3" s="1"/>
      <c r="AJ3" s="1"/>
      <c r="AK3" s="1"/>
      <c r="AL3" s="1"/>
    </row>
    <row r="4" spans="1:51" x14ac:dyDescent="0.45">
      <c r="A4" s="4"/>
      <c r="B4" s="5"/>
      <c r="C4" s="5"/>
      <c r="D4" s="5"/>
      <c r="E4" s="554"/>
      <c r="F4" s="554"/>
      <c r="G4" s="554"/>
      <c r="H4" s="5"/>
      <c r="I4" s="5"/>
      <c r="J4" s="5"/>
      <c r="K4" s="5"/>
      <c r="L4" s="5"/>
      <c r="O4" s="247" t="s">
        <v>370</v>
      </c>
      <c r="P4" s="247"/>
      <c r="Q4" s="1"/>
      <c r="R4" s="616" t="s">
        <v>489</v>
      </c>
      <c r="S4" s="1"/>
      <c r="T4" s="1"/>
      <c r="U4" s="1"/>
      <c r="V4" s="1"/>
      <c r="W4" s="1"/>
      <c r="X4" s="1"/>
      <c r="Y4" s="1"/>
      <c r="Z4" s="1"/>
      <c r="AA4" s="1"/>
      <c r="AB4" s="1"/>
      <c r="AC4" s="1"/>
      <c r="AD4" s="1"/>
      <c r="AE4" s="1"/>
      <c r="AF4" s="1"/>
      <c r="AG4" s="1"/>
      <c r="AH4" s="1"/>
      <c r="AI4" s="1"/>
      <c r="AJ4" s="1"/>
      <c r="AK4" s="1"/>
      <c r="AL4" s="1"/>
    </row>
    <row r="5" spans="1:51" x14ac:dyDescent="0.45">
      <c r="A5" s="4"/>
      <c r="B5" s="5"/>
      <c r="C5" s="5"/>
      <c r="D5" s="5"/>
      <c r="E5" s="5"/>
      <c r="F5" s="5"/>
      <c r="G5" s="5"/>
      <c r="H5" s="5"/>
      <c r="I5" s="5"/>
      <c r="J5" s="5"/>
      <c r="K5" s="5"/>
      <c r="L5" s="5"/>
      <c r="O5" s="256" t="s">
        <v>222</v>
      </c>
      <c r="P5" s="247"/>
      <c r="Q5" s="248" t="s">
        <v>397</v>
      </c>
      <c r="R5" s="1039" t="s">
        <v>490</v>
      </c>
      <c r="S5" s="1040"/>
      <c r="T5" s="1040"/>
      <c r="U5" s="1040"/>
      <c r="V5" s="1040"/>
      <c r="W5" s="1041"/>
      <c r="X5" s="1029" t="s">
        <v>663</v>
      </c>
      <c r="Y5" s="1030"/>
      <c r="Z5" s="1030"/>
      <c r="AA5" s="1030"/>
      <c r="AB5" s="1030"/>
      <c r="AC5" s="1031"/>
      <c r="AD5" s="104" t="s">
        <v>223</v>
      </c>
      <c r="AE5" s="1"/>
      <c r="AF5" s="1"/>
      <c r="AG5" s="1"/>
      <c r="AH5" s="1"/>
      <c r="AI5" s="1"/>
      <c r="AJ5" s="1"/>
      <c r="AK5" s="1"/>
      <c r="AL5" s="1"/>
      <c r="AT5" s="265"/>
    </row>
    <row r="6" spans="1:51" x14ac:dyDescent="0.45">
      <c r="A6" s="4"/>
      <c r="B6" s="5"/>
      <c r="C6" s="5"/>
      <c r="D6" s="5"/>
      <c r="F6" s="5"/>
      <c r="G6" s="5"/>
      <c r="H6" s="5"/>
      <c r="I6" s="5"/>
      <c r="J6" s="5"/>
      <c r="K6" s="5"/>
      <c r="L6" s="5"/>
      <c r="O6" s="257" t="s">
        <v>224</v>
      </c>
      <c r="P6" s="249" t="s">
        <v>225</v>
      </c>
      <c r="Q6" s="250" t="s">
        <v>226</v>
      </c>
      <c r="R6" s="619" t="s">
        <v>227</v>
      </c>
      <c r="S6" s="105" t="s">
        <v>228</v>
      </c>
      <c r="T6" s="105" t="s">
        <v>229</v>
      </c>
      <c r="U6" s="105" t="s">
        <v>230</v>
      </c>
      <c r="V6" s="767" t="s">
        <v>231</v>
      </c>
      <c r="W6" s="687" t="s">
        <v>232</v>
      </c>
      <c r="X6" s="619" t="s">
        <v>233</v>
      </c>
      <c r="Y6" s="105" t="s">
        <v>234</v>
      </c>
      <c r="Z6" s="105" t="s">
        <v>235</v>
      </c>
      <c r="AA6" s="105" t="s">
        <v>236</v>
      </c>
      <c r="AB6" s="105" t="s">
        <v>237</v>
      </c>
      <c r="AC6" s="620" t="s">
        <v>238</v>
      </c>
      <c r="AD6" s="105" t="s">
        <v>239</v>
      </c>
      <c r="AE6" s="1"/>
      <c r="AF6" s="1"/>
      <c r="AG6" s="1"/>
      <c r="AH6" s="1"/>
      <c r="AI6" s="1"/>
      <c r="AJ6" s="1"/>
      <c r="AK6" s="1"/>
      <c r="AL6" s="1"/>
    </row>
    <row r="7" spans="1:51" x14ac:dyDescent="0.45">
      <c r="B7" s="328">
        <v>2019</v>
      </c>
      <c r="C7" s="329" t="s">
        <v>176</v>
      </c>
      <c r="D7" s="329"/>
      <c r="E7" s="330"/>
      <c r="F7" s="330"/>
      <c r="G7" s="331"/>
      <c r="H7" s="331"/>
      <c r="I7" s="332"/>
      <c r="J7" s="332"/>
      <c r="K7" s="331"/>
      <c r="L7" s="343"/>
      <c r="M7" s="5"/>
      <c r="O7" s="1" t="s">
        <v>240</v>
      </c>
      <c r="P7" s="1" t="s">
        <v>241</v>
      </c>
      <c r="Q7" s="2">
        <v>0</v>
      </c>
      <c r="R7" s="766">
        <v>16030.436387500002</v>
      </c>
      <c r="S7" s="224">
        <v>14020.04629</v>
      </c>
      <c r="T7" s="224">
        <v>13200.701547499999</v>
      </c>
      <c r="U7" s="224">
        <v>12043.23841</v>
      </c>
      <c r="V7" s="51">
        <v>11818.350617283952</v>
      </c>
      <c r="W7" s="690">
        <v>14035.259259259261</v>
      </c>
      <c r="X7" s="627">
        <f>'2020 Collection Forecast'!I48</f>
        <v>11730.30298741882</v>
      </c>
      <c r="Y7" s="621">
        <f>'2020 Collection Forecast'!J48</f>
        <v>12776.181770602709</v>
      </c>
      <c r="Z7" s="621">
        <f>'2020 Collection Forecast'!K48</f>
        <v>16326.331761812064</v>
      </c>
      <c r="AA7" s="621">
        <f>'2020 Collection Forecast'!L48</f>
        <v>10366.613441352838</v>
      </c>
      <c r="AB7" s="621">
        <f>'2020 Collection Forecast'!M48</f>
        <v>12211.925434206249</v>
      </c>
      <c r="AC7" s="622">
        <f>'2020 Collection Forecast'!N48</f>
        <v>14267.857528413395</v>
      </c>
      <c r="AD7" s="2">
        <f t="shared" ref="AD7:AD10" si="0">SUM(Q7:AC7)</f>
        <v>158827.24543534926</v>
      </c>
      <c r="AE7" s="1"/>
      <c r="AF7" s="1"/>
      <c r="AG7" s="1"/>
      <c r="AH7" s="1"/>
      <c r="AI7" s="1"/>
      <c r="AJ7" s="1"/>
      <c r="AK7" s="1"/>
      <c r="AL7" s="2"/>
      <c r="AM7" s="2"/>
      <c r="AN7" s="19"/>
      <c r="AO7" s="245"/>
      <c r="AP7" s="236"/>
      <c r="AT7" s="260"/>
      <c r="AU7" s="260"/>
      <c r="AV7" s="260"/>
      <c r="AW7" s="260"/>
      <c r="AX7" s="260"/>
      <c r="AY7" s="260"/>
    </row>
    <row r="8" spans="1:51" x14ac:dyDescent="0.45">
      <c r="B8" s="334"/>
      <c r="C8" s="5"/>
      <c r="D8" s="5"/>
      <c r="E8" s="5"/>
      <c r="F8" s="5"/>
      <c r="G8" s="5"/>
      <c r="H8" s="5"/>
      <c r="I8" s="5"/>
      <c r="J8" s="5"/>
      <c r="K8" s="5"/>
      <c r="L8" s="335"/>
      <c r="M8" s="5"/>
      <c r="O8" s="1" t="s">
        <v>242</v>
      </c>
      <c r="P8" s="1" t="s">
        <v>243</v>
      </c>
      <c r="Q8" s="2">
        <v>0</v>
      </c>
      <c r="R8" s="766">
        <v>26166.179110000001</v>
      </c>
      <c r="S8" s="224">
        <v>23132.773514999997</v>
      </c>
      <c r="T8" s="224">
        <v>24254.872885000004</v>
      </c>
      <c r="U8" s="224">
        <v>25837.116927499999</v>
      </c>
      <c r="V8" s="51">
        <v>20412.483950617283</v>
      </c>
      <c r="W8" s="690">
        <v>22446.854320987655</v>
      </c>
      <c r="X8" s="627">
        <f>'2020 Collection Forecast'!I49</f>
        <v>25330.138055393018</v>
      </c>
      <c r="Y8" s="621">
        <f>'2020 Collection Forecast'!J49</f>
        <v>24899.579095057474</v>
      </c>
      <c r="Z8" s="621">
        <f>'2020 Collection Forecast'!K49</f>
        <v>21027.650403272328</v>
      </c>
      <c r="AA8" s="621">
        <f>'2020 Collection Forecast'!L49</f>
        <v>20872.69211114704</v>
      </c>
      <c r="AB8" s="621">
        <f>'2020 Collection Forecast'!M49</f>
        <v>20531.74597856314</v>
      </c>
      <c r="AC8" s="622">
        <f>'2020 Collection Forecast'!N49</f>
        <v>24532.19415320762</v>
      </c>
      <c r="AD8" s="2">
        <f t="shared" si="0"/>
        <v>279444.28050574556</v>
      </c>
      <c r="AE8" s="1"/>
      <c r="AF8" s="1"/>
      <c r="AG8" s="1"/>
      <c r="AH8" s="1"/>
      <c r="AI8" s="1"/>
      <c r="AJ8" s="1"/>
      <c r="AK8" s="1"/>
      <c r="AL8" s="2"/>
      <c r="AM8" s="2"/>
      <c r="AN8" s="19"/>
      <c r="AO8" s="245"/>
      <c r="AP8" s="236"/>
      <c r="AU8" s="242"/>
      <c r="AV8" s="242"/>
      <c r="AW8" s="242"/>
      <c r="AX8" s="242"/>
      <c r="AY8" s="242"/>
    </row>
    <row r="9" spans="1:51" x14ac:dyDescent="0.45">
      <c r="B9" s="835" t="s">
        <v>645</v>
      </c>
      <c r="C9" s="1034" t="s">
        <v>368</v>
      </c>
      <c r="D9" s="1035"/>
      <c r="E9" s="1037" t="s">
        <v>366</v>
      </c>
      <c r="F9" s="1037"/>
      <c r="G9" s="1037"/>
      <c r="H9" s="1038"/>
      <c r="I9" s="362" t="s">
        <v>367</v>
      </c>
      <c r="J9" s="371">
        <v>2019</v>
      </c>
      <c r="K9" s="358">
        <v>2019</v>
      </c>
      <c r="L9" s="333"/>
      <c r="M9" s="5"/>
      <c r="O9" s="1" t="s">
        <v>244</v>
      </c>
      <c r="P9" s="1" t="s">
        <v>245</v>
      </c>
      <c r="Q9" s="2">
        <v>0</v>
      </c>
      <c r="R9" s="766">
        <v>3306619.8173825</v>
      </c>
      <c r="S9" s="224">
        <v>3073265.3909524996</v>
      </c>
      <c r="T9" s="224">
        <v>2854568.8552000001</v>
      </c>
      <c r="U9" s="224">
        <v>2631865.3462649998</v>
      </c>
      <c r="V9" s="51">
        <v>2772306.6074074074</v>
      </c>
      <c r="W9" s="690">
        <v>3246512.9185185186</v>
      </c>
      <c r="X9" s="627">
        <f>'2020 Collection Forecast'!I50</f>
        <v>3422906.2624643007</v>
      </c>
      <c r="Y9" s="621">
        <f>'2020 Collection Forecast'!J50</f>
        <v>2820052.2498944756</v>
      </c>
      <c r="Z9" s="621">
        <f>'2020 Collection Forecast'!K50</f>
        <v>2714811.8629798614</v>
      </c>
      <c r="AA9" s="621">
        <f>'2020 Collection Forecast'!L50</f>
        <v>2843999.3900722675</v>
      </c>
      <c r="AB9" s="621">
        <f>'2020 Collection Forecast'!M50</f>
        <v>3231697.7325997949</v>
      </c>
      <c r="AC9" s="622">
        <f>'2020 Collection Forecast'!N50</f>
        <v>3353326.9118406926</v>
      </c>
      <c r="AD9" s="2">
        <f t="shared" si="0"/>
        <v>36271933.345577314</v>
      </c>
      <c r="AE9" s="1"/>
      <c r="AF9" s="1"/>
      <c r="AG9" s="1"/>
      <c r="AH9" s="1"/>
      <c r="AI9" s="1"/>
      <c r="AJ9" s="1"/>
      <c r="AK9" s="1"/>
      <c r="AL9" s="2"/>
      <c r="AM9" s="2"/>
      <c r="AN9" s="19"/>
      <c r="AO9" s="245"/>
      <c r="AP9" s="236"/>
      <c r="AU9" s="242"/>
      <c r="AV9" s="242"/>
      <c r="AW9" s="242"/>
      <c r="AX9" s="242"/>
      <c r="AY9" s="242"/>
    </row>
    <row r="10" spans="1:51" x14ac:dyDescent="0.45">
      <c r="B10" s="835" t="s">
        <v>648</v>
      </c>
      <c r="C10" s="347" t="s">
        <v>177</v>
      </c>
      <c r="D10" s="346" t="s">
        <v>177</v>
      </c>
      <c r="E10" s="15" t="s">
        <v>178</v>
      </c>
      <c r="F10" s="15" t="s">
        <v>284</v>
      </c>
      <c r="G10" s="15" t="s">
        <v>286</v>
      </c>
      <c r="H10" s="346" t="s">
        <v>216</v>
      </c>
      <c r="I10" s="363">
        <v>2020</v>
      </c>
      <c r="J10" s="372" t="s">
        <v>330</v>
      </c>
      <c r="K10" s="359" t="s">
        <v>49</v>
      </c>
      <c r="L10" s="335"/>
      <c r="M10" s="5"/>
      <c r="O10" s="1" t="s">
        <v>246</v>
      </c>
      <c r="P10" s="1" t="s">
        <v>247</v>
      </c>
      <c r="Q10" s="2">
        <v>0</v>
      </c>
      <c r="R10" s="766">
        <v>37307.161419999997</v>
      </c>
      <c r="S10" s="224">
        <v>34072.648522500007</v>
      </c>
      <c r="T10" s="224">
        <v>32350.938807500002</v>
      </c>
      <c r="U10" s="224">
        <v>38787.6987525</v>
      </c>
      <c r="V10" s="51">
        <v>29385.580246913582</v>
      </c>
      <c r="W10" s="622">
        <v>29385.580246913582</v>
      </c>
      <c r="X10" s="627">
        <f>'2020 Collection Forecast'!I51</f>
        <v>31561.590762620104</v>
      </c>
      <c r="Y10" s="621">
        <f>'2020 Collection Forecast'!J51</f>
        <v>32005.372216731434</v>
      </c>
      <c r="Z10" s="621">
        <f>'2020 Collection Forecast'!K51</f>
        <v>29314.582743417424</v>
      </c>
      <c r="AA10" s="621">
        <f>'2020 Collection Forecast'!L51</f>
        <v>37716.288109724963</v>
      </c>
      <c r="AB10" s="621">
        <f>'2020 Collection Forecast'!M51</f>
        <v>29768.97162751402</v>
      </c>
      <c r="AC10" s="622">
        <f>'2020 Collection Forecast'!N51</f>
        <v>33791.399104680968</v>
      </c>
      <c r="AD10" s="2">
        <f t="shared" si="0"/>
        <v>395447.81256101606</v>
      </c>
      <c r="AE10" s="1"/>
      <c r="AF10" s="1"/>
      <c r="AG10" s="1"/>
      <c r="AH10" s="1"/>
      <c r="AI10" s="1"/>
      <c r="AJ10" s="1"/>
      <c r="AK10" s="1"/>
      <c r="AL10" s="2"/>
      <c r="AM10" s="2"/>
      <c r="AN10" s="19"/>
      <c r="AO10" s="245"/>
      <c r="AP10" s="236"/>
      <c r="AU10" s="242"/>
      <c r="AV10" s="242"/>
      <c r="AW10" s="242"/>
      <c r="AX10" s="242"/>
      <c r="AY10" s="242"/>
    </row>
    <row r="11" spans="1:51" x14ac:dyDescent="0.45">
      <c r="B11" s="836"/>
      <c r="C11" s="347" t="s">
        <v>180</v>
      </c>
      <c r="D11" s="346" t="s">
        <v>1</v>
      </c>
      <c r="E11" s="15" t="s">
        <v>1</v>
      </c>
      <c r="F11" s="15" t="s">
        <v>180</v>
      </c>
      <c r="G11" s="15" t="s">
        <v>180</v>
      </c>
      <c r="H11" s="346"/>
      <c r="I11" s="363" t="s">
        <v>179</v>
      </c>
      <c r="J11" s="373" t="s">
        <v>331</v>
      </c>
      <c r="K11" s="347" t="s">
        <v>283</v>
      </c>
      <c r="L11" s="335"/>
      <c r="M11" s="5"/>
      <c r="O11" s="1" t="s">
        <v>248</v>
      </c>
      <c r="P11" s="1" t="s">
        <v>249</v>
      </c>
      <c r="Q11" s="2">
        <v>22012.48</v>
      </c>
      <c r="R11" s="766">
        <v>14075.363417499999</v>
      </c>
      <c r="S11" s="224">
        <v>12471.137027500001</v>
      </c>
      <c r="T11" s="224">
        <v>10672.721687499999</v>
      </c>
      <c r="U11" s="224">
        <v>10639.9807575</v>
      </c>
      <c r="V11" s="51">
        <v>11099.012345679013</v>
      </c>
      <c r="W11" s="690">
        <v>9800.6123456790137</v>
      </c>
      <c r="X11" s="627">
        <f>'2020 Collection Forecast'!I52</f>
        <v>11235.483476911368</v>
      </c>
      <c r="Y11" s="621">
        <f>'2020 Collection Forecast'!J52</f>
        <v>32951.188354865677</v>
      </c>
      <c r="Z11" s="621">
        <f>'2020 Collection Forecast'!K52</f>
        <v>10759.551310490353</v>
      </c>
      <c r="AA11" s="621">
        <f>'2020 Collection Forecast'!L52</f>
        <v>0</v>
      </c>
      <c r="AB11" s="621">
        <f>'2020 Collection Forecast'!M52</f>
        <v>0</v>
      </c>
      <c r="AC11" s="622">
        <f>'2020 Collection Forecast'!N52</f>
        <v>12911.699505172899</v>
      </c>
      <c r="AD11" s="2">
        <f>SUM(Q11:AC11)</f>
        <v>158629.23022879832</v>
      </c>
      <c r="AE11" s="1"/>
      <c r="AF11" s="1"/>
      <c r="AG11" s="1"/>
      <c r="AH11" s="1"/>
      <c r="AI11" s="1"/>
      <c r="AJ11" s="1"/>
      <c r="AK11" s="1"/>
      <c r="AL11" s="2"/>
      <c r="AM11" s="2"/>
      <c r="AN11" s="19"/>
      <c r="AO11" s="245"/>
      <c r="AP11" s="236"/>
      <c r="AU11" s="242"/>
      <c r="AV11" s="242"/>
      <c r="AW11" s="242"/>
      <c r="AX11" s="242"/>
      <c r="AY11" s="242"/>
    </row>
    <row r="12" spans="1:51" x14ac:dyDescent="0.45">
      <c r="A12" s="322"/>
      <c r="B12" s="347" t="s">
        <v>295</v>
      </c>
      <c r="C12" s="347" t="s">
        <v>63</v>
      </c>
      <c r="D12" s="346"/>
      <c r="E12" s="15"/>
      <c r="F12" s="15" t="s">
        <v>399</v>
      </c>
      <c r="G12" s="336" t="s">
        <v>63</v>
      </c>
      <c r="H12" s="354"/>
      <c r="I12" s="364"/>
      <c r="J12" s="374" t="s">
        <v>332</v>
      </c>
      <c r="K12" s="334"/>
      <c r="L12" s="335"/>
      <c r="M12" s="5"/>
      <c r="O12" s="1" t="s">
        <v>250</v>
      </c>
      <c r="P12" s="1" t="s">
        <v>251</v>
      </c>
      <c r="Q12" s="2">
        <v>0</v>
      </c>
      <c r="R12" s="766">
        <v>5207.341982500001</v>
      </c>
      <c r="S12" s="224">
        <v>6190.9753275000003</v>
      </c>
      <c r="T12" s="224">
        <v>4742.941385000001</v>
      </c>
      <c r="U12" s="224">
        <v>4745.9502250000005</v>
      </c>
      <c r="V12" s="51">
        <v>4569.5012345679015</v>
      </c>
      <c r="W12" s="622">
        <v>4569.5012345679024</v>
      </c>
      <c r="X12" s="627">
        <f>'2020 Collection Forecast'!I53</f>
        <v>4404.2787170653337</v>
      </c>
      <c r="Y12" s="621">
        <f>'2020 Collection Forecast'!J53</f>
        <v>4695.7201595835513</v>
      </c>
      <c r="Z12" s="621">
        <f>'2020 Collection Forecast'!K53</f>
        <v>4672.4096874774232</v>
      </c>
      <c r="AA12" s="621">
        <f>'2020 Collection Forecast'!L53</f>
        <v>4050.8309533651827</v>
      </c>
      <c r="AB12" s="621">
        <f>'2020 Collection Forecast'!M53</f>
        <v>4955.0862535555716</v>
      </c>
      <c r="AC12" s="622">
        <f>'2020 Collection Forecast'!N53</f>
        <v>5327.2873727568222</v>
      </c>
      <c r="AD12" s="2">
        <f t="shared" ref="AD12:AD22" si="1">SUM(Q12:AC12)</f>
        <v>58131.824532939696</v>
      </c>
      <c r="AE12" s="1"/>
      <c r="AF12" s="1"/>
      <c r="AG12" s="1"/>
      <c r="AH12" s="1"/>
      <c r="AI12" s="1"/>
      <c r="AJ12" s="1"/>
      <c r="AK12" s="1"/>
      <c r="AL12" s="2"/>
      <c r="AM12" s="2"/>
      <c r="AN12" s="19"/>
      <c r="AO12" s="245"/>
      <c r="AP12" s="236"/>
      <c r="AU12" s="242"/>
      <c r="AV12" s="242"/>
      <c r="AW12" s="242"/>
      <c r="AX12" s="242"/>
      <c r="AY12" s="242"/>
    </row>
    <row r="13" spans="1:51" x14ac:dyDescent="0.45">
      <c r="B13" s="370"/>
      <c r="C13" s="369"/>
      <c r="D13" s="335"/>
      <c r="F13" s="225"/>
      <c r="G13" s="225"/>
      <c r="H13" s="355"/>
      <c r="I13" s="365"/>
      <c r="J13" s="375"/>
      <c r="K13" s="360"/>
      <c r="L13" s="338"/>
      <c r="M13" s="11"/>
      <c r="O13" s="1" t="s">
        <v>252</v>
      </c>
      <c r="P13" s="1" t="s">
        <v>253</v>
      </c>
      <c r="Q13" s="2">
        <v>0</v>
      </c>
      <c r="R13" s="766">
        <v>11969.1358275</v>
      </c>
      <c r="S13" s="224">
        <v>12957.856487499999</v>
      </c>
      <c r="T13" s="224">
        <v>12096.4572675</v>
      </c>
      <c r="U13" s="224">
        <v>10137.969659999999</v>
      </c>
      <c r="V13" s="51">
        <v>8923.5950617283943</v>
      </c>
      <c r="W13" s="622">
        <v>8923.5950617283961</v>
      </c>
      <c r="X13" s="627">
        <f>'2020 Collection Forecast'!I54</f>
        <v>11560.870625844282</v>
      </c>
      <c r="Y13" s="621">
        <f>'2020 Collection Forecast'!J54</f>
        <v>10861.106958975317</v>
      </c>
      <c r="Z13" s="621">
        <f>'2020 Collection Forecast'!K54</f>
        <v>10977.271870173659</v>
      </c>
      <c r="AA13" s="621">
        <f>'2020 Collection Forecast'!L54</f>
        <v>10341.25612709077</v>
      </c>
      <c r="AB13" s="621">
        <f>'2020 Collection Forecast'!M54</f>
        <v>12522.305005520982</v>
      </c>
      <c r="AC13" s="622">
        <f>'2020 Collection Forecast'!N54</f>
        <v>10719.017737926028</v>
      </c>
      <c r="AD13" s="2">
        <f t="shared" si="1"/>
        <v>131990.43769148784</v>
      </c>
      <c r="AE13" s="1"/>
      <c r="AF13" s="1"/>
      <c r="AG13" s="1"/>
      <c r="AH13" s="1"/>
      <c r="AI13" s="1"/>
      <c r="AJ13" s="1"/>
      <c r="AK13" s="1"/>
      <c r="AL13" s="2"/>
      <c r="AM13" s="2"/>
      <c r="AN13" s="19"/>
      <c r="AO13" s="245"/>
      <c r="AP13" s="236"/>
      <c r="AU13" s="242"/>
      <c r="AV13" s="242"/>
      <c r="AW13" s="242"/>
      <c r="AX13" s="242"/>
      <c r="AY13" s="242"/>
    </row>
    <row r="14" spans="1:51" x14ac:dyDescent="0.45">
      <c r="A14" s="246"/>
      <c r="B14" s="337" t="s">
        <v>181</v>
      </c>
      <c r="C14" s="348">
        <f>D14*K14*0.99</f>
        <v>26218319.400335699</v>
      </c>
      <c r="D14" s="349">
        <v>1931666733</v>
      </c>
      <c r="E14" s="936">
        <f>'Util Rev and Load Data'!C86</f>
        <v>2017308355.0608244</v>
      </c>
      <c r="F14" s="16">
        <f>+E14*K14</f>
        <v>27657297.547883902</v>
      </c>
      <c r="G14" s="16">
        <f>26704239.32-492-3381</f>
        <v>26700366.32</v>
      </c>
      <c r="H14" s="355">
        <f>+G14-C14</f>
        <v>482046.91966430098</v>
      </c>
      <c r="I14" s="365">
        <v>431148.50367801636</v>
      </c>
      <c r="J14" s="375">
        <f>+H14-I14</f>
        <v>50898.415986284614</v>
      </c>
      <c r="K14" s="361">
        <v>1.371E-2</v>
      </c>
      <c r="L14" s="338" t="s">
        <v>67</v>
      </c>
      <c r="M14" s="11"/>
      <c r="O14" s="1" t="s">
        <v>254</v>
      </c>
      <c r="P14" s="1" t="s">
        <v>255</v>
      </c>
      <c r="Q14" s="2">
        <v>0</v>
      </c>
      <c r="R14" s="766">
        <v>73583.191392499997</v>
      </c>
      <c r="S14" s="224">
        <v>64236.873270000004</v>
      </c>
      <c r="T14" s="224">
        <v>49515.618797499999</v>
      </c>
      <c r="U14" s="224">
        <v>34052.338852499997</v>
      </c>
      <c r="V14" s="51">
        <v>31060.14814814815</v>
      </c>
      <c r="W14" s="690">
        <v>33922.953086419751</v>
      </c>
      <c r="X14" s="627">
        <f>'2020 Collection Forecast'!I55</f>
        <v>0</v>
      </c>
      <c r="Y14" s="621">
        <f>'2020 Collection Forecast'!J55</f>
        <v>78146.593254882013</v>
      </c>
      <c r="Z14" s="621">
        <f>'2020 Collection Forecast'!K55</f>
        <v>35259.889810952016</v>
      </c>
      <c r="AA14" s="621">
        <f>'2020 Collection Forecast'!L55</f>
        <v>0</v>
      </c>
      <c r="AB14" s="621">
        <f>'2020 Collection Forecast'!M55</f>
        <v>0</v>
      </c>
      <c r="AC14" s="622">
        <f>'2020 Collection Forecast'!N55</f>
        <v>151807.10416765994</v>
      </c>
      <c r="AD14" s="2">
        <f t="shared" si="1"/>
        <v>551584.7107805619</v>
      </c>
      <c r="AE14" s="1"/>
      <c r="AF14" s="1"/>
      <c r="AG14" s="1"/>
      <c r="AH14" s="1"/>
      <c r="AI14" s="1"/>
      <c r="AJ14" s="1"/>
      <c r="AK14" s="1"/>
      <c r="AL14" s="2"/>
      <c r="AM14" s="2"/>
      <c r="AN14" s="19"/>
      <c r="AO14" s="245"/>
      <c r="AP14" s="236"/>
      <c r="AU14" s="242"/>
      <c r="AV14" s="242"/>
      <c r="AW14" s="242"/>
      <c r="AX14" s="242"/>
      <c r="AY14" s="242"/>
    </row>
    <row r="15" spans="1:51" x14ac:dyDescent="0.45">
      <c r="A15" s="21"/>
      <c r="B15" s="337" t="s">
        <v>182</v>
      </c>
      <c r="C15" s="348">
        <f>D15*K15*0.99</f>
        <v>19873476.93405579</v>
      </c>
      <c r="D15" s="349">
        <v>1839983421.2015471</v>
      </c>
      <c r="E15" s="936">
        <f>'Util Rev and Load Data'!P86</f>
        <v>1817050341.1428823</v>
      </c>
      <c r="F15" s="16">
        <f>+E15*K15</f>
        <v>19824019.221868847</v>
      </c>
      <c r="G15" s="16">
        <f>18766339.92-2376</f>
        <v>18763963.920000002</v>
      </c>
      <c r="H15" s="355">
        <f>+G15-C15</f>
        <v>-1109513.0140557885</v>
      </c>
      <c r="I15" s="365">
        <v>370846.83815880492</v>
      </c>
      <c r="J15" s="375">
        <f>+H15-I15</f>
        <v>-1480359.8522145934</v>
      </c>
      <c r="K15" s="361">
        <v>1.091E-2</v>
      </c>
      <c r="L15" s="338" t="s">
        <v>67</v>
      </c>
      <c r="M15" s="11"/>
      <c r="O15" s="1" t="s">
        <v>256</v>
      </c>
      <c r="P15" s="1" t="s">
        <v>257</v>
      </c>
      <c r="Q15" s="2">
        <v>0</v>
      </c>
      <c r="R15" s="766">
        <v>63084.725090000007</v>
      </c>
      <c r="S15" s="224">
        <v>56193.214610000003</v>
      </c>
      <c r="T15" s="224">
        <v>52472.130714999999</v>
      </c>
      <c r="U15" s="224">
        <v>47976.151750000005</v>
      </c>
      <c r="V15" s="51">
        <v>43916.829629629632</v>
      </c>
      <c r="W15" s="690">
        <v>56400.158024691365</v>
      </c>
      <c r="X15" s="627">
        <f>'2020 Collection Forecast'!I56</f>
        <v>59841.39220360617</v>
      </c>
      <c r="Y15" s="621">
        <f>'2020 Collection Forecast'!J56</f>
        <v>49127.439388484818</v>
      </c>
      <c r="Z15" s="621">
        <f>'2020 Collection Forecast'!K56</f>
        <v>47953.630823857136</v>
      </c>
      <c r="AA15" s="621">
        <f>'2020 Collection Forecast'!L56</f>
        <v>58935.832055242412</v>
      </c>
      <c r="AB15" s="621">
        <f>'2020 Collection Forecast'!M56</f>
        <v>67876.990852475225</v>
      </c>
      <c r="AC15" s="622">
        <f>'2020 Collection Forecast'!N56</f>
        <v>67999.449006554802</v>
      </c>
      <c r="AD15" s="2">
        <f t="shared" si="1"/>
        <v>671777.94414954155</v>
      </c>
      <c r="AE15" s="1"/>
      <c r="AF15" s="1"/>
      <c r="AG15" s="1"/>
      <c r="AH15" s="1"/>
      <c r="AI15" s="1"/>
      <c r="AJ15" s="1"/>
      <c r="AK15" s="1"/>
      <c r="AL15" s="2"/>
      <c r="AM15" s="2"/>
      <c r="AN15" s="19"/>
      <c r="AO15" s="245"/>
      <c r="AP15" s="236"/>
      <c r="AU15" s="242"/>
      <c r="AV15" s="242"/>
      <c r="AW15" s="242"/>
      <c r="AX15" s="242"/>
      <c r="AY15" s="242"/>
    </row>
    <row r="16" spans="1:51" x14ac:dyDescent="0.45">
      <c r="A16" s="21"/>
      <c r="B16" s="339" t="s">
        <v>183</v>
      </c>
      <c r="C16" s="350">
        <f>D16*K16*0.99</f>
        <v>5440235.2797870003</v>
      </c>
      <c r="D16" s="351">
        <v>713660669</v>
      </c>
      <c r="E16" s="937">
        <f>'Util Rev and Load Data'!AA86</f>
        <v>733043458</v>
      </c>
      <c r="F16" s="938">
        <f>+E16*K16</f>
        <v>5644434.6266000001</v>
      </c>
      <c r="G16" s="16">
        <f>5774507.21-731</f>
        <v>5773776.21</v>
      </c>
      <c r="H16" s="939">
        <f>+G16-C16</f>
        <v>333540.93021299969</v>
      </c>
      <c r="I16" s="940">
        <v>102105.44922833517</v>
      </c>
      <c r="J16" s="376">
        <f>+H16-I16</f>
        <v>231435.48098466452</v>
      </c>
      <c r="K16" s="361">
        <v>7.7000000000000002E-3</v>
      </c>
      <c r="L16" s="338" t="s">
        <v>67</v>
      </c>
      <c r="M16" s="11"/>
      <c r="O16" s="1" t="s">
        <v>258</v>
      </c>
      <c r="P16" s="1" t="s">
        <v>259</v>
      </c>
      <c r="Q16" s="2">
        <v>0</v>
      </c>
      <c r="R16" s="766">
        <v>41503.048185000007</v>
      </c>
      <c r="S16" s="224">
        <v>41100.754400000005</v>
      </c>
      <c r="T16" s="224">
        <v>39058.910047500009</v>
      </c>
      <c r="U16" s="224">
        <v>36322.32058</v>
      </c>
      <c r="V16" s="51">
        <v>39137.560493827164</v>
      </c>
      <c r="W16" s="690">
        <v>45650.123456790127</v>
      </c>
      <c r="X16" s="627">
        <f>'2020 Collection Forecast'!I57</f>
        <v>47679.806841270343</v>
      </c>
      <c r="Y16" s="621">
        <f>'2020 Collection Forecast'!J57</f>
        <v>39424.93465782456</v>
      </c>
      <c r="Z16" s="621">
        <f>'2020 Collection Forecast'!K57</f>
        <v>37752.38368716048</v>
      </c>
      <c r="AA16" s="621">
        <f>'2020 Collection Forecast'!L57</f>
        <v>38074.912982859903</v>
      </c>
      <c r="AB16" s="621">
        <f>'2020 Collection Forecast'!M57</f>
        <v>42597.078334566329</v>
      </c>
      <c r="AC16" s="622">
        <f>'2020 Collection Forecast'!N57</f>
        <v>45918.317218505254</v>
      </c>
      <c r="AD16" s="2">
        <f t="shared" si="1"/>
        <v>494220.1508853042</v>
      </c>
      <c r="AE16" s="1"/>
      <c r="AF16" s="1"/>
      <c r="AG16" s="1"/>
      <c r="AH16" s="1"/>
      <c r="AI16" s="1"/>
      <c r="AJ16" s="1"/>
      <c r="AK16" s="1"/>
      <c r="AL16" s="2"/>
      <c r="AM16" s="2"/>
      <c r="AN16" s="19"/>
      <c r="AO16" s="245"/>
      <c r="AP16" s="236"/>
      <c r="AU16" s="242"/>
      <c r="AV16" s="242"/>
      <c r="AW16" s="242"/>
      <c r="AX16" s="242"/>
      <c r="AY16" s="242"/>
    </row>
    <row r="17" spans="1:51" x14ac:dyDescent="0.45">
      <c r="A17" s="21"/>
      <c r="B17" s="340" t="s">
        <v>10</v>
      </c>
      <c r="C17" s="352">
        <f t="shared" ref="C17:I17" si="2">SUM(C14:C16)</f>
        <v>51532031.614178494</v>
      </c>
      <c r="D17" s="353">
        <f t="shared" si="2"/>
        <v>4485310823.2015476</v>
      </c>
      <c r="E17" s="368">
        <f t="shared" si="2"/>
        <v>4567402154.2037067</v>
      </c>
      <c r="F17" s="536">
        <f t="shared" si="2"/>
        <v>53125751.396352746</v>
      </c>
      <c r="G17" s="356">
        <f>SUM(G14:G16)</f>
        <v>51238106.450000003</v>
      </c>
      <c r="H17" s="357">
        <f t="shared" si="2"/>
        <v>-293925.16417848784</v>
      </c>
      <c r="I17" s="366">
        <f t="shared" si="2"/>
        <v>904100.79106515646</v>
      </c>
      <c r="J17" s="377">
        <f>SUM(J14:J16)</f>
        <v>-1198025.9552436443</v>
      </c>
      <c r="K17" s="339"/>
      <c r="L17" s="342"/>
      <c r="M17" s="11"/>
      <c r="O17" s="1" t="s">
        <v>260</v>
      </c>
      <c r="P17" s="1" t="s">
        <v>261</v>
      </c>
      <c r="Q17" s="2">
        <v>0</v>
      </c>
      <c r="R17" s="766">
        <v>26645.5051375</v>
      </c>
      <c r="S17" s="224">
        <v>23792.016297499998</v>
      </c>
      <c r="T17" s="224">
        <v>21869.268562500001</v>
      </c>
      <c r="U17" s="224">
        <v>19667.728047500001</v>
      </c>
      <c r="V17" s="51">
        <v>20264.019753086421</v>
      </c>
      <c r="W17" s="690">
        <v>19665.422222222223</v>
      </c>
      <c r="X17" s="627">
        <f>'2020 Collection Forecast'!I58</f>
        <v>26942.633541968848</v>
      </c>
      <c r="Y17" s="621">
        <f>'2020 Collection Forecast'!J58</f>
        <v>22805.078724336934</v>
      </c>
      <c r="Z17" s="621">
        <f>'2020 Collection Forecast'!K58</f>
        <v>22412.569980013031</v>
      </c>
      <c r="AA17" s="621">
        <f>'2020 Collection Forecast'!L58</f>
        <v>21879.739734697698</v>
      </c>
      <c r="AB17" s="621">
        <f>'2020 Collection Forecast'!M58</f>
        <v>25463.942883201693</v>
      </c>
      <c r="AC17" s="622">
        <f>'2020 Collection Forecast'!N58</f>
        <v>24247.570936719607</v>
      </c>
      <c r="AD17" s="2">
        <f t="shared" si="1"/>
        <v>275655.49582124647</v>
      </c>
      <c r="AE17" s="1"/>
      <c r="AF17" s="1"/>
      <c r="AG17" s="1"/>
      <c r="AH17" s="1"/>
      <c r="AI17" s="1"/>
      <c r="AJ17" s="1"/>
      <c r="AK17" s="1"/>
      <c r="AL17" s="2"/>
      <c r="AM17" s="2"/>
      <c r="AN17" s="19"/>
      <c r="AO17" s="245"/>
      <c r="AP17" s="236"/>
      <c r="AU17" s="242"/>
      <c r="AV17" s="242"/>
      <c r="AW17" s="242"/>
      <c r="AX17" s="242"/>
      <c r="AY17" s="242"/>
    </row>
    <row r="18" spans="1:51" x14ac:dyDescent="0.45">
      <c r="A18" s="21"/>
      <c r="B18" s="337"/>
      <c r="C18" s="11"/>
      <c r="D18" s="11"/>
      <c r="E18" s="11"/>
      <c r="F18" s="5"/>
      <c r="G18" s="490">
        <f>G17/0.99</f>
        <v>51755663.080808081</v>
      </c>
      <c r="H18" s="11"/>
      <c r="I18" s="11"/>
      <c r="J18" s="11"/>
      <c r="K18" s="11"/>
      <c r="L18" s="338"/>
      <c r="M18" s="11"/>
      <c r="O18" s="1" t="s">
        <v>262</v>
      </c>
      <c r="P18" s="1" t="s">
        <v>263</v>
      </c>
      <c r="Q18" s="2">
        <v>0</v>
      </c>
      <c r="R18" s="766">
        <v>12405.180087499999</v>
      </c>
      <c r="S18" s="224">
        <v>11673.259962499998</v>
      </c>
      <c r="T18" s="224">
        <v>11396.49617</v>
      </c>
      <c r="U18" s="224">
        <v>8344.1863499999999</v>
      </c>
      <c r="V18" s="51">
        <v>9150.5481481481493</v>
      </c>
      <c r="W18" s="690">
        <v>10158.923456790124</v>
      </c>
      <c r="X18" s="627">
        <f>'2020 Collection Forecast'!I59</f>
        <v>10625.141901694007</v>
      </c>
      <c r="Y18" s="621">
        <f>'2020 Collection Forecast'!J59</f>
        <v>10448.157682268469</v>
      </c>
      <c r="Z18" s="621">
        <f>'2020 Collection Forecast'!K59</f>
        <v>9283.3878477413</v>
      </c>
      <c r="AA18" s="621">
        <f>'2020 Collection Forecast'!L59</f>
        <v>9693.7389950415618</v>
      </c>
      <c r="AB18" s="621">
        <f>'2020 Collection Forecast'!M59</f>
        <v>10656.365281805858</v>
      </c>
      <c r="AC18" s="622">
        <f>'2020 Collection Forecast'!N59</f>
        <v>11455.636942861993</v>
      </c>
      <c r="AD18" s="2">
        <f t="shared" si="1"/>
        <v>125291.02282635146</v>
      </c>
      <c r="AE18" s="1"/>
      <c r="AF18" s="1"/>
      <c r="AG18" s="1"/>
      <c r="AH18" s="1"/>
      <c r="AI18" s="1"/>
      <c r="AJ18" s="1"/>
      <c r="AK18" s="1"/>
      <c r="AL18" s="2"/>
      <c r="AM18" s="2"/>
      <c r="AN18" s="19"/>
      <c r="AO18" s="245"/>
      <c r="AP18" s="236"/>
      <c r="AU18" s="242"/>
      <c r="AV18" s="242"/>
      <c r="AW18" s="242"/>
      <c r="AX18" s="242"/>
      <c r="AY18" s="242"/>
    </row>
    <row r="19" spans="1:51" x14ac:dyDescent="0.45">
      <c r="A19" s="21"/>
      <c r="B19" s="337" t="s">
        <v>184</v>
      </c>
      <c r="C19" s="5"/>
      <c r="D19" s="5"/>
      <c r="E19" s="5"/>
      <c r="F19" s="226"/>
      <c r="G19" s="531"/>
      <c r="H19" s="27"/>
      <c r="I19" s="11"/>
      <c r="J19" s="11"/>
      <c r="K19" s="11"/>
      <c r="L19" s="338"/>
      <c r="M19" s="11"/>
      <c r="O19" s="1" t="s">
        <v>264</v>
      </c>
      <c r="P19" s="1" t="s">
        <v>265</v>
      </c>
      <c r="Q19" s="2">
        <v>0</v>
      </c>
      <c r="R19" s="766">
        <v>80432.211905000004</v>
      </c>
      <c r="S19" s="224">
        <v>68266.125725000005</v>
      </c>
      <c r="T19" s="224">
        <v>56673.223565</v>
      </c>
      <c r="U19" s="224">
        <v>48925.223024999999</v>
      </c>
      <c r="V19" s="51">
        <v>46159.229629629634</v>
      </c>
      <c r="W19" s="622">
        <v>46159.792592592596</v>
      </c>
      <c r="X19" s="627">
        <f>'2020 Collection Forecast'!I60</f>
        <v>70510.817563438977</v>
      </c>
      <c r="Y19" s="621">
        <f>'2020 Collection Forecast'!J60</f>
        <v>60252.725688235478</v>
      </c>
      <c r="Z19" s="621">
        <f>'2020 Collection Forecast'!K60</f>
        <v>54407.554800527432</v>
      </c>
      <c r="AA19" s="621">
        <f>'2020 Collection Forecast'!L60</f>
        <v>53040.256489311862</v>
      </c>
      <c r="AB19" s="621">
        <f>'2020 Collection Forecast'!M60</f>
        <v>77976.687168619232</v>
      </c>
      <c r="AC19" s="622">
        <f>'2020 Collection Forecast'!N60</f>
        <v>83050.011429894628</v>
      </c>
      <c r="AD19" s="2">
        <f t="shared" si="1"/>
        <v>745853.85958224977</v>
      </c>
      <c r="AE19" s="1"/>
      <c r="AF19" s="1"/>
      <c r="AG19" s="1"/>
      <c r="AH19" s="1"/>
      <c r="AI19" s="1"/>
      <c r="AJ19" s="1"/>
      <c r="AK19" s="1"/>
      <c r="AL19" s="2"/>
      <c r="AM19" s="2"/>
      <c r="AN19" s="19"/>
      <c r="AO19" s="245"/>
      <c r="AP19" s="236"/>
      <c r="AU19" s="242"/>
      <c r="AV19" s="242"/>
      <c r="AW19" s="242"/>
      <c r="AX19" s="242"/>
      <c r="AY19" s="242"/>
    </row>
    <row r="20" spans="1:51" x14ac:dyDescent="0.45">
      <c r="A20" s="21"/>
      <c r="B20" s="339" t="s">
        <v>188</v>
      </c>
      <c r="C20" s="18"/>
      <c r="D20" s="18"/>
      <c r="E20" s="18"/>
      <c r="F20" s="341"/>
      <c r="G20" s="318"/>
      <c r="H20" s="18"/>
      <c r="I20" s="18"/>
      <c r="J20" s="18"/>
      <c r="K20" s="18"/>
      <c r="L20" s="342"/>
      <c r="M20" s="11"/>
      <c r="O20" s="1" t="s">
        <v>266</v>
      </c>
      <c r="P20" s="1" t="s">
        <v>267</v>
      </c>
      <c r="Q20" s="2">
        <v>0</v>
      </c>
      <c r="R20" s="766">
        <v>48680.695389999993</v>
      </c>
      <c r="S20" s="224">
        <v>48759.806107499993</v>
      </c>
      <c r="T20" s="224">
        <v>47705.316559999999</v>
      </c>
      <c r="U20" s="224">
        <v>46250.235597499995</v>
      </c>
      <c r="V20" s="51">
        <v>49661.224691358024</v>
      </c>
      <c r="W20" s="690">
        <v>60865.599999999999</v>
      </c>
      <c r="X20" s="627">
        <f>'2020 Collection Forecast'!I61</f>
        <v>60608.651250054485</v>
      </c>
      <c r="Y20" s="621">
        <f>'2020 Collection Forecast'!J61</f>
        <v>46968.922863514963</v>
      </c>
      <c r="Z20" s="621">
        <f>'2020 Collection Forecast'!K61</f>
        <v>44424.028223514084</v>
      </c>
      <c r="AA20" s="621">
        <f>'2020 Collection Forecast'!L61</f>
        <v>43637.220989917572</v>
      </c>
      <c r="AB20" s="621">
        <f>'2020 Collection Forecast'!M61</f>
        <v>50275.997109246775</v>
      </c>
      <c r="AC20" s="622">
        <f>'2020 Collection Forecast'!N61</f>
        <v>56075.248855945523</v>
      </c>
      <c r="AD20" s="2">
        <f t="shared" si="1"/>
        <v>603912.94763855147</v>
      </c>
      <c r="AE20" s="1"/>
      <c r="AF20" s="1"/>
      <c r="AG20" s="1"/>
      <c r="AH20" s="1"/>
      <c r="AI20" s="1"/>
      <c r="AJ20" s="1"/>
      <c r="AK20" s="1"/>
      <c r="AL20" s="2"/>
      <c r="AM20" s="2"/>
      <c r="AN20" s="19"/>
      <c r="AO20" s="245"/>
      <c r="AP20" s="236"/>
      <c r="AU20" s="242"/>
      <c r="AV20" s="242"/>
      <c r="AW20" s="242"/>
      <c r="AX20" s="242"/>
      <c r="AY20" s="242"/>
    </row>
    <row r="21" spans="1:51" x14ac:dyDescent="0.45">
      <c r="A21" s="21"/>
      <c r="F21" s="280"/>
      <c r="G21" s="225"/>
      <c r="H21" s="11"/>
      <c r="I21" s="16"/>
      <c r="J21" s="21"/>
      <c r="K21" s="21"/>
      <c r="L21" s="21"/>
      <c r="O21" s="1" t="s">
        <v>268</v>
      </c>
      <c r="P21" s="1" t="s">
        <v>274</v>
      </c>
      <c r="Q21" s="2">
        <v>0</v>
      </c>
      <c r="R21" s="766">
        <v>438569.13204500003</v>
      </c>
      <c r="S21" s="224">
        <v>406875.32785250002</v>
      </c>
      <c r="T21" s="224">
        <v>408937.69961999997</v>
      </c>
      <c r="U21" s="224">
        <v>353626.65908249997</v>
      </c>
      <c r="V21" s="51">
        <v>352617.26419753087</v>
      </c>
      <c r="W21" s="690">
        <v>403025.04691358027</v>
      </c>
      <c r="X21" s="627">
        <f>'2020 Collection Forecast'!I62</f>
        <v>438180.96754792554</v>
      </c>
      <c r="Y21" s="621">
        <f>'2020 Collection Forecast'!J62</f>
        <v>368907.06421929505</v>
      </c>
      <c r="Z21" s="621">
        <f>'2020 Collection Forecast'!K62</f>
        <v>339186.95027110376</v>
      </c>
      <c r="AA21" s="621">
        <f>'2020 Collection Forecast'!L62</f>
        <v>357270.97367702465</v>
      </c>
      <c r="AB21" s="621">
        <f>'2020 Collection Forecast'!M62</f>
        <v>410170.72357522568</v>
      </c>
      <c r="AC21" s="622">
        <f>'2020 Collection Forecast'!N62</f>
        <v>433897.35303724458</v>
      </c>
      <c r="AD21" s="2">
        <f t="shared" si="1"/>
        <v>4711265.1620389307</v>
      </c>
      <c r="AE21" s="1"/>
      <c r="AF21" s="1"/>
      <c r="AG21" s="1"/>
      <c r="AH21" s="1"/>
      <c r="AI21" s="1"/>
      <c r="AJ21" s="1"/>
      <c r="AK21" s="1"/>
      <c r="AL21" s="2"/>
      <c r="AM21" s="2"/>
      <c r="AN21" s="19"/>
      <c r="AO21" s="245"/>
      <c r="AP21" s="236"/>
      <c r="AU21" s="242"/>
      <c r="AV21" s="242"/>
      <c r="AW21" s="242"/>
      <c r="AX21" s="242"/>
      <c r="AY21" s="242"/>
    </row>
    <row r="22" spans="1:51" x14ac:dyDescent="0.45">
      <c r="F22" s="279"/>
      <c r="G22" s="11"/>
      <c r="H22" s="11"/>
      <c r="I22" s="11"/>
      <c r="K22" s="833"/>
      <c r="O22" s="1" t="s">
        <v>269</v>
      </c>
      <c r="P22" s="1" t="s">
        <v>270</v>
      </c>
      <c r="Q22" s="2">
        <v>0</v>
      </c>
      <c r="R22" s="766">
        <v>90144.509884999992</v>
      </c>
      <c r="S22" s="224">
        <v>76461.503162500012</v>
      </c>
      <c r="T22" s="224">
        <v>68917.648457499992</v>
      </c>
      <c r="U22" s="224">
        <v>73183.876755000005</v>
      </c>
      <c r="V22" s="51">
        <v>65377.708641975303</v>
      </c>
      <c r="W22" s="690">
        <v>62067.279012345687</v>
      </c>
      <c r="X22" s="627">
        <f>'2020 Collection Forecast'!I63</f>
        <v>67798.937094373832</v>
      </c>
      <c r="Y22" s="621">
        <f>'2020 Collection Forecast'!J63</f>
        <v>71816.20707200258</v>
      </c>
      <c r="Z22" s="621">
        <f>'2020 Collection Forecast'!K63</f>
        <v>64681.074322181172</v>
      </c>
      <c r="AA22" s="621">
        <f>'2020 Collection Forecast'!L63</f>
        <v>64305.243350235076</v>
      </c>
      <c r="AB22" s="621">
        <f>'2020 Collection Forecast'!M63</f>
        <v>65811.45600620372</v>
      </c>
      <c r="AC22" s="622">
        <f>'2020 Collection Forecast'!N63</f>
        <v>74646.466211007908</v>
      </c>
      <c r="AD22" s="2">
        <f t="shared" si="1"/>
        <v>845211.90997032518</v>
      </c>
      <c r="AE22" s="1"/>
      <c r="AF22" s="1"/>
      <c r="AG22" s="1"/>
      <c r="AH22" s="1"/>
      <c r="AI22" s="1"/>
      <c r="AJ22" s="1"/>
      <c r="AK22" s="1"/>
      <c r="AL22" s="2"/>
      <c r="AM22" s="2"/>
      <c r="AN22" s="19"/>
      <c r="AO22" s="245"/>
      <c r="AP22" s="236"/>
      <c r="AU22" s="242"/>
      <c r="AV22" s="242"/>
      <c r="AW22" s="242"/>
      <c r="AX22" s="242"/>
      <c r="AY22" s="242"/>
    </row>
    <row r="23" spans="1:51" x14ac:dyDescent="0.45">
      <c r="B23" s="328">
        <v>2020</v>
      </c>
      <c r="C23" s="329" t="s">
        <v>185</v>
      </c>
      <c r="D23" s="329"/>
      <c r="E23" s="330"/>
      <c r="F23" s="330"/>
      <c r="G23" s="331"/>
      <c r="H23" s="331"/>
      <c r="I23" s="331"/>
      <c r="J23" s="343"/>
      <c r="O23" s="1"/>
      <c r="P23" s="1"/>
      <c r="Q23" s="2"/>
      <c r="R23" s="192"/>
      <c r="S23" s="884"/>
      <c r="T23" s="884"/>
      <c r="U23" s="884"/>
      <c r="V23" s="885"/>
      <c r="W23" s="886"/>
      <c r="X23" s="37"/>
      <c r="Y23" s="9"/>
      <c r="Z23" s="9"/>
      <c r="AA23" s="9"/>
      <c r="AB23" s="9"/>
      <c r="AC23" s="623"/>
      <c r="AD23" s="2"/>
      <c r="AE23" s="1"/>
      <c r="AF23" s="1"/>
      <c r="AG23" s="1"/>
      <c r="AH23" s="1"/>
      <c r="AI23" s="1"/>
      <c r="AJ23" s="1"/>
      <c r="AK23" s="1"/>
      <c r="AL23" s="1"/>
      <c r="AN23" s="19"/>
      <c r="AO23" s="245"/>
      <c r="AT23" s="261"/>
      <c r="AU23" s="262"/>
      <c r="AV23" s="262"/>
      <c r="AW23" s="262"/>
      <c r="AX23" s="262"/>
      <c r="AY23" s="262"/>
    </row>
    <row r="24" spans="1:51" x14ac:dyDescent="0.45">
      <c r="A24" s="5"/>
      <c r="B24" s="334"/>
      <c r="C24" s="5"/>
      <c r="D24" s="5"/>
      <c r="E24" s="5"/>
      <c r="F24" s="5"/>
      <c r="G24" s="15"/>
      <c r="H24" s="5"/>
      <c r="I24" s="5"/>
      <c r="J24" s="344"/>
      <c r="L24" s="5"/>
      <c r="M24" s="5"/>
      <c r="O24" s="533" t="s">
        <v>396</v>
      </c>
      <c r="P24" s="548"/>
      <c r="Q24" s="534">
        <f>SUM(Q7:Q23)</f>
        <v>22012.48</v>
      </c>
      <c r="R24" s="646">
        <f t="shared" ref="R24:AD24" si="3">SUM(R7:R22)</f>
        <v>4292423.6346450001</v>
      </c>
      <c r="S24" s="647">
        <f t="shared" si="3"/>
        <v>3973469.7095100004</v>
      </c>
      <c r="T24" s="647">
        <f t="shared" si="3"/>
        <v>3708433.8012750009</v>
      </c>
      <c r="U24" s="647">
        <f t="shared" si="3"/>
        <v>3402406.0210375004</v>
      </c>
      <c r="V24" s="625">
        <f t="shared" si="3"/>
        <v>3515859.6641975311</v>
      </c>
      <c r="W24" s="626">
        <f t="shared" si="3"/>
        <v>4073589.6197530869</v>
      </c>
      <c r="X24" s="624">
        <f t="shared" si="3"/>
        <v>4300917.2750338856</v>
      </c>
      <c r="Y24" s="625">
        <f t="shared" si="3"/>
        <v>3686138.5220011361</v>
      </c>
      <c r="Z24" s="625">
        <f t="shared" si="3"/>
        <v>3463251.1305235554</v>
      </c>
      <c r="AA24" s="625">
        <f t="shared" si="3"/>
        <v>3574184.989089279</v>
      </c>
      <c r="AB24" s="625">
        <f t="shared" si="3"/>
        <v>4062517.008110499</v>
      </c>
      <c r="AC24" s="626">
        <f t="shared" si="3"/>
        <v>4403973.5250492441</v>
      </c>
      <c r="AD24" s="535">
        <f t="shared" si="3"/>
        <v>46479177.380225711</v>
      </c>
      <c r="AE24" s="613">
        <v>47931808.251672357</v>
      </c>
      <c r="AF24" s="614" t="s">
        <v>300</v>
      </c>
      <c r="AG24" s="1"/>
      <c r="AH24" s="1"/>
      <c r="AI24" s="1"/>
      <c r="AJ24" s="1"/>
      <c r="AK24" s="1"/>
      <c r="AL24" s="1"/>
      <c r="AT24" s="14"/>
      <c r="AU24" s="263"/>
      <c r="AV24" s="263"/>
      <c r="AW24" s="263"/>
      <c r="AX24" s="263"/>
      <c r="AY24" s="263"/>
    </row>
    <row r="25" spans="1:51" x14ac:dyDescent="0.45">
      <c r="A25" s="5"/>
      <c r="B25" s="835" t="s">
        <v>646</v>
      </c>
      <c r="C25" s="1032" t="s">
        <v>369</v>
      </c>
      <c r="D25" s="1033"/>
      <c r="E25" s="345"/>
      <c r="F25" s="1036" t="s">
        <v>620</v>
      </c>
      <c r="G25" s="1037"/>
      <c r="H25" s="1037"/>
      <c r="I25" s="1037"/>
      <c r="J25" s="1038"/>
      <c r="P25" s="553" t="s">
        <v>507</v>
      </c>
      <c r="Q25" s="1"/>
      <c r="R25" s="2">
        <v>4737844.9895063974</v>
      </c>
      <c r="S25" s="2">
        <v>4194184.102087453</v>
      </c>
      <c r="T25" s="2">
        <v>3964755.9872968858</v>
      </c>
      <c r="U25" s="2">
        <v>3558576.2650052533</v>
      </c>
      <c r="V25" s="2">
        <v>3474387.2251948388</v>
      </c>
      <c r="W25" s="19">
        <v>3975422.6455496899</v>
      </c>
      <c r="X25" s="1"/>
      <c r="Y25" s="1"/>
      <c r="Z25" s="1"/>
      <c r="AA25" s="1"/>
      <c r="AB25" s="1" t="s">
        <v>398</v>
      </c>
      <c r="AC25" s="3">
        <f>SUM(X24:AC24)</f>
        <v>23490982.449807595</v>
      </c>
      <c r="AD25" s="2">
        <f>+AC25+W25</f>
        <v>27466405.095357284</v>
      </c>
      <c r="AE25" s="2">
        <f>AD24-AE24</f>
        <v>-1452630.8714466467</v>
      </c>
      <c r="AF25" s="1"/>
      <c r="AG25" s="1"/>
      <c r="AH25" s="1"/>
      <c r="AI25" s="1"/>
      <c r="AJ25" s="1"/>
      <c r="AK25" s="1"/>
      <c r="AL25" s="1"/>
      <c r="AU25" s="242"/>
      <c r="AV25" s="242"/>
      <c r="AW25" s="242"/>
      <c r="AX25" s="242"/>
      <c r="AY25" s="242"/>
    </row>
    <row r="26" spans="1:51" x14ac:dyDescent="0.45">
      <c r="A26" s="5"/>
      <c r="B26" s="835" t="s">
        <v>647</v>
      </c>
      <c r="C26" s="347" t="s">
        <v>177</v>
      </c>
      <c r="D26" s="346" t="s">
        <v>177</v>
      </c>
      <c r="E26" s="23"/>
      <c r="F26" s="15" t="s">
        <v>610</v>
      </c>
      <c r="G26" s="284" t="s">
        <v>329</v>
      </c>
      <c r="H26" s="284" t="s">
        <v>186</v>
      </c>
      <c r="I26" s="284" t="s">
        <v>186</v>
      </c>
      <c r="J26" s="378" t="s">
        <v>330</v>
      </c>
      <c r="K26" s="1027" t="s">
        <v>628</v>
      </c>
      <c r="L26" s="1028" t="s">
        <v>629</v>
      </c>
      <c r="N26" s="5"/>
      <c r="P26" s="1"/>
      <c r="Q26" s="1"/>
      <c r="R26" s="3">
        <f>R24-R25</f>
        <v>-445421.3548613973</v>
      </c>
      <c r="S26" s="3">
        <f t="shared" ref="S26:T26" si="4">S24-S25</f>
        <v>-220714.39257745259</v>
      </c>
      <c r="T26" s="3">
        <f t="shared" si="4"/>
        <v>-256322.1860218849</v>
      </c>
      <c r="U26" s="3">
        <f t="shared" ref="U26:W26" si="5">U24-U25</f>
        <v>-156170.2439677529</v>
      </c>
      <c r="V26" s="3">
        <f t="shared" si="5"/>
        <v>41472.439002692234</v>
      </c>
      <c r="W26" s="3">
        <f t="shared" si="5"/>
        <v>98166.974203397054</v>
      </c>
      <c r="X26" s="1"/>
      <c r="Y26" s="1"/>
      <c r="Z26" s="1"/>
      <c r="AA26" s="1"/>
      <c r="AB26" s="1"/>
      <c r="AC26" s="1"/>
      <c r="AD26" s="1"/>
      <c r="AE26" s="1"/>
      <c r="AF26" s="1"/>
      <c r="AG26" s="1"/>
      <c r="AH26" s="1"/>
      <c r="AI26" s="1"/>
      <c r="AJ26" s="1"/>
      <c r="AK26" s="1"/>
      <c r="AL26" s="1"/>
      <c r="AT26" s="14"/>
      <c r="AU26" s="263"/>
      <c r="AV26" s="263"/>
      <c r="AW26" s="263"/>
      <c r="AX26" s="263"/>
      <c r="AY26" s="263"/>
    </row>
    <row r="27" spans="1:51" x14ac:dyDescent="0.45">
      <c r="A27" s="5"/>
      <c r="B27" s="334"/>
      <c r="C27" s="347" t="s">
        <v>180</v>
      </c>
      <c r="D27" s="346" t="s">
        <v>1</v>
      </c>
      <c r="E27" s="23"/>
      <c r="F27" s="323" t="s">
        <v>294</v>
      </c>
      <c r="G27" s="223" t="s">
        <v>328</v>
      </c>
      <c r="H27" s="223" t="s">
        <v>187</v>
      </c>
      <c r="I27" s="223" t="s">
        <v>10</v>
      </c>
      <c r="J27" s="379" t="s">
        <v>331</v>
      </c>
      <c r="K27" s="1027"/>
      <c r="L27" s="1028"/>
      <c r="O27" s="247" t="s">
        <v>390</v>
      </c>
      <c r="P27" s="247"/>
      <c r="Q27" s="1"/>
      <c r="R27" s="25">
        <f>R24/R25-1</f>
        <v>-9.4013492600103499E-2</v>
      </c>
      <c r="S27" s="25">
        <f t="shared" ref="S27:T27" si="6">S24/S25-1</f>
        <v>-5.2623916167056861E-2</v>
      </c>
      <c r="T27" s="25">
        <f t="shared" si="6"/>
        <v>-6.4650179441848032E-2</v>
      </c>
      <c r="U27" s="25">
        <f t="shared" ref="U27:W27" si="7">U24/U25-1</f>
        <v>-4.3885597030340007E-2</v>
      </c>
      <c r="V27" s="25">
        <f t="shared" si="7"/>
        <v>1.193661970144011E-2</v>
      </c>
      <c r="W27" s="25">
        <f t="shared" si="7"/>
        <v>2.4693468583344425E-2</v>
      </c>
      <c r="X27" s="1"/>
      <c r="Y27" s="1"/>
      <c r="Z27" s="1"/>
      <c r="AA27" s="1"/>
      <c r="AB27" s="1"/>
      <c r="AC27" s="3"/>
      <c r="AD27" s="3"/>
      <c r="AE27" s="1"/>
      <c r="AF27" s="1"/>
      <c r="AG27" s="1"/>
      <c r="AH27" s="1"/>
      <c r="AI27" s="1"/>
      <c r="AJ27" s="1"/>
      <c r="AK27" s="1"/>
      <c r="AL27" s="1"/>
      <c r="AU27" s="241"/>
      <c r="AV27" s="241"/>
      <c r="AW27" s="241"/>
      <c r="AX27" s="241"/>
      <c r="AY27" s="241"/>
    </row>
    <row r="28" spans="1:51" x14ac:dyDescent="0.45">
      <c r="B28" s="347" t="s">
        <v>295</v>
      </c>
      <c r="C28" s="347" t="s">
        <v>401</v>
      </c>
      <c r="D28" s="367"/>
      <c r="E28" s="23"/>
      <c r="F28" s="5"/>
      <c r="G28" s="15"/>
      <c r="H28" s="15"/>
      <c r="I28" s="15"/>
      <c r="J28" s="380" t="s">
        <v>332</v>
      </c>
      <c r="K28" s="1027"/>
      <c r="L28" s="1028"/>
      <c r="O28" s="247" t="s">
        <v>371</v>
      </c>
      <c r="P28" s="247"/>
      <c r="Q28" s="1"/>
      <c r="R28" s="1"/>
      <c r="S28" s="1"/>
      <c r="T28" s="941"/>
      <c r="U28" s="942"/>
      <c r="V28" s="1"/>
      <c r="W28" s="1"/>
      <c r="X28" s="1"/>
      <c r="Y28" s="1"/>
      <c r="Z28" s="1"/>
      <c r="AA28" s="1"/>
      <c r="AB28" s="1"/>
      <c r="AC28" s="1"/>
      <c r="AD28" s="1"/>
      <c r="AE28" s="1"/>
      <c r="AF28" s="1"/>
      <c r="AG28" s="1"/>
      <c r="AH28" s="1"/>
      <c r="AI28" s="1"/>
      <c r="AJ28" s="1"/>
      <c r="AK28" s="1"/>
      <c r="AL28" s="1"/>
      <c r="AT28" s="261"/>
    </row>
    <row r="29" spans="1:51" x14ac:dyDescent="0.45">
      <c r="A29" s="322"/>
      <c r="B29" s="337"/>
      <c r="C29" s="337"/>
      <c r="D29" s="338"/>
      <c r="E29" s="11"/>
      <c r="F29" s="23"/>
      <c r="G29" s="11"/>
      <c r="H29" s="11"/>
      <c r="I29" s="11"/>
      <c r="J29" s="381"/>
      <c r="N29" s="1" t="s">
        <v>221</v>
      </c>
      <c r="O29" s="256" t="s">
        <v>222</v>
      </c>
      <c r="P29" s="247"/>
      <c r="Q29" s="248" t="s">
        <v>296</v>
      </c>
      <c r="R29" s="103"/>
      <c r="S29" s="1"/>
      <c r="T29" s="1"/>
      <c r="U29" s="1"/>
      <c r="V29" s="1"/>
      <c r="W29" s="1"/>
      <c r="X29" s="1"/>
      <c r="Y29" s="1"/>
      <c r="Z29" s="1"/>
      <c r="AA29" s="1"/>
      <c r="AB29" s="1"/>
      <c r="AC29" s="1"/>
      <c r="AD29" s="104" t="s">
        <v>223</v>
      </c>
      <c r="AE29" s="1"/>
      <c r="AF29" s="1"/>
      <c r="AG29" s="1"/>
      <c r="AH29" s="1"/>
      <c r="AI29" s="1"/>
      <c r="AJ29" s="1"/>
      <c r="AK29" s="1"/>
      <c r="AL29" s="1"/>
      <c r="AU29" s="243"/>
    </row>
    <row r="30" spans="1:51" x14ac:dyDescent="0.45">
      <c r="A30" s="11"/>
      <c r="B30" s="337" t="s">
        <v>3</v>
      </c>
      <c r="C30" s="348">
        <v>23727445.759099077</v>
      </c>
      <c r="D30" s="349">
        <v>2017249821</v>
      </c>
      <c r="E30" s="237"/>
      <c r="F30" s="20">
        <v>0.5255250631291003</v>
      </c>
      <c r="G30" s="225">
        <f>G$33*F30</f>
        <v>12080872.592032045</v>
      </c>
      <c r="H30" s="225">
        <f>12365906.824677</f>
        <v>12365906.824677</v>
      </c>
      <c r="I30" s="225">
        <f>+G30+H30</f>
        <v>24446779.416709043</v>
      </c>
      <c r="J30" s="382">
        <f>+I30-C30</f>
        <v>719333.65760996565</v>
      </c>
      <c r="K30" s="888">
        <f>J30/J$33*K$33</f>
        <v>3432.4705659388687</v>
      </c>
      <c r="L30" s="889">
        <f>K30+J30</f>
        <v>722766.12817590451</v>
      </c>
      <c r="O30" s="257" t="s">
        <v>224</v>
      </c>
      <c r="P30" s="249" t="s">
        <v>225</v>
      </c>
      <c r="Q30" s="250" t="s">
        <v>226</v>
      </c>
      <c r="R30" s="251" t="s">
        <v>227</v>
      </c>
      <c r="S30" s="251" t="s">
        <v>228</v>
      </c>
      <c r="T30" s="251" t="s">
        <v>229</v>
      </c>
      <c r="U30" s="251" t="s">
        <v>230</v>
      </c>
      <c r="V30" s="251" t="s">
        <v>231</v>
      </c>
      <c r="W30" s="251" t="s">
        <v>232</v>
      </c>
      <c r="X30" s="251" t="s">
        <v>233</v>
      </c>
      <c r="Y30" s="251" t="s">
        <v>234</v>
      </c>
      <c r="Z30" s="251" t="s">
        <v>235</v>
      </c>
      <c r="AA30" s="251" t="s">
        <v>236</v>
      </c>
      <c r="AB30" s="251" t="s">
        <v>237</v>
      </c>
      <c r="AC30" s="251" t="s">
        <v>238</v>
      </c>
      <c r="AD30" s="251" t="s">
        <v>239</v>
      </c>
      <c r="AE30" s="1"/>
      <c r="AF30" s="1"/>
      <c r="AG30" s="13"/>
      <c r="AH30" s="13"/>
      <c r="AI30" s="769"/>
      <c r="AJ30" s="769"/>
      <c r="AK30" s="769"/>
      <c r="AL30" s="769"/>
      <c r="AM30" s="769"/>
      <c r="AN30" s="769"/>
      <c r="AU30" s="243"/>
    </row>
    <row r="31" spans="1:51" x14ac:dyDescent="0.45">
      <c r="A31" s="11"/>
      <c r="B31" s="337" t="s">
        <v>4</v>
      </c>
      <c r="C31" s="348">
        <v>18796613.696880341</v>
      </c>
      <c r="D31" s="349">
        <v>1854726474.31949</v>
      </c>
      <c r="E31" s="237"/>
      <c r="F31" s="20">
        <v>0.35994683925914212</v>
      </c>
      <c r="G31" s="225">
        <f t="shared" ref="G31:G32" si="8">G$33*F31</f>
        <v>8274528.105477036</v>
      </c>
      <c r="H31" s="225">
        <v>8345774.9477924379</v>
      </c>
      <c r="I31" s="225">
        <f>+H31+G31</f>
        <v>16620303.053269474</v>
      </c>
      <c r="J31" s="382">
        <f>+I31-C31</f>
        <v>-2176310.6436108667</v>
      </c>
      <c r="K31" s="888">
        <f t="shared" ref="K31:K32" si="9">J31/J$33*K$33</f>
        <v>-10384.780619544146</v>
      </c>
      <c r="L31" s="889">
        <f t="shared" ref="L31:L32" si="10">K31+J31</f>
        <v>-2186695.4242304107</v>
      </c>
      <c r="O31" s="247" t="s">
        <v>240</v>
      </c>
      <c r="P31" s="247" t="s">
        <v>241</v>
      </c>
      <c r="Q31" s="252">
        <v>0</v>
      </c>
      <c r="R31" s="252">
        <v>16943</v>
      </c>
      <c r="S31" s="252">
        <v>15784</v>
      </c>
      <c r="T31" s="252">
        <v>14523</v>
      </c>
      <c r="U31" s="252">
        <v>13050</v>
      </c>
      <c r="V31" s="252">
        <v>15102</v>
      </c>
      <c r="W31" s="252">
        <v>13887</v>
      </c>
      <c r="X31" s="252">
        <v>12185</v>
      </c>
      <c r="Y31" s="252">
        <v>14170</v>
      </c>
      <c r="Z31" s="252">
        <v>18072</v>
      </c>
      <c r="AA31" s="252">
        <v>11447</v>
      </c>
      <c r="AB31" s="252">
        <v>13338</v>
      </c>
      <c r="AC31" s="252">
        <v>15941</v>
      </c>
      <c r="AD31" s="252">
        <f t="shared" ref="AD31" si="11">SUM(R31:AC31)</f>
        <v>174442</v>
      </c>
      <c r="AE31" s="1"/>
      <c r="AF31" s="1"/>
      <c r="AG31" s="268"/>
      <c r="AH31" s="268"/>
      <c r="AI31" s="268"/>
      <c r="AJ31" s="268"/>
      <c r="AK31" s="268"/>
      <c r="AL31" s="268"/>
      <c r="AM31" s="268"/>
      <c r="AN31" s="268"/>
      <c r="AT31" s="261"/>
      <c r="AU31" s="264"/>
    </row>
    <row r="32" spans="1:51" x14ac:dyDescent="0.45">
      <c r="A32" s="11"/>
      <c r="B32" s="339" t="s">
        <v>47</v>
      </c>
      <c r="C32" s="350">
        <v>5419855.8450113749</v>
      </c>
      <c r="D32" s="351">
        <v>723172968</v>
      </c>
      <c r="E32" s="238"/>
      <c r="F32" s="325">
        <v>0.11452809761175754</v>
      </c>
      <c r="G32" s="318">
        <f t="shared" si="8"/>
        <v>2632794.2329090363</v>
      </c>
      <c r="H32" s="318">
        <v>2747065.8893620209</v>
      </c>
      <c r="I32" s="318">
        <f>+H32+G32</f>
        <v>5379860.1222710572</v>
      </c>
      <c r="J32" s="383">
        <f>+I32-C32</f>
        <v>-39995.722740317695</v>
      </c>
      <c r="K32" s="888">
        <f t="shared" si="9"/>
        <v>-190.84904427484756</v>
      </c>
      <c r="L32" s="890">
        <f t="shared" si="10"/>
        <v>-40186.571784592539</v>
      </c>
      <c r="O32" s="247" t="s">
        <v>242</v>
      </c>
      <c r="P32" s="247" t="s">
        <v>243</v>
      </c>
      <c r="Q32" s="252">
        <v>0</v>
      </c>
      <c r="R32" s="252">
        <v>29641</v>
      </c>
      <c r="S32" s="252">
        <v>26840</v>
      </c>
      <c r="T32" s="252">
        <v>26108</v>
      </c>
      <c r="U32" s="252">
        <v>28737</v>
      </c>
      <c r="V32" s="252">
        <v>26257</v>
      </c>
      <c r="W32" s="252">
        <v>22042</v>
      </c>
      <c r="X32" s="252">
        <v>26312</v>
      </c>
      <c r="Y32" s="252">
        <v>27616</v>
      </c>
      <c r="Z32" s="252">
        <v>23276</v>
      </c>
      <c r="AA32" s="252">
        <v>23048</v>
      </c>
      <c r="AB32" s="252">
        <v>22425</v>
      </c>
      <c r="AC32" s="252">
        <v>27409</v>
      </c>
      <c r="AD32" s="252">
        <f t="shared" ref="AD32:AD45" si="12">SUM(R32:AC32)</f>
        <v>309711</v>
      </c>
      <c r="AE32" s="1"/>
      <c r="AF32" s="1"/>
      <c r="AG32" s="268"/>
      <c r="AH32" s="268"/>
      <c r="AI32" s="268"/>
      <c r="AJ32" s="268"/>
      <c r="AK32" s="268"/>
      <c r="AL32" s="268"/>
      <c r="AM32" s="268"/>
      <c r="AN32" s="268"/>
      <c r="AU32" s="243"/>
    </row>
    <row r="33" spans="1:40" x14ac:dyDescent="0.45">
      <c r="A33" s="11"/>
      <c r="B33" s="340" t="s">
        <v>10</v>
      </c>
      <c r="C33" s="352">
        <f>SUM(C30:C32)</f>
        <v>47943915.300990798</v>
      </c>
      <c r="D33" s="353">
        <f>SUM(D30:D32)</f>
        <v>4595149263.3194904</v>
      </c>
      <c r="E33" s="327"/>
      <c r="F33" s="327">
        <f>SUM(F30:F32)</f>
        <v>1</v>
      </c>
      <c r="G33" s="891">
        <f>SUM(Q24:W24)</f>
        <v>22988194.930418119</v>
      </c>
      <c r="H33" s="892">
        <f>SUM(H30:H32)</f>
        <v>23458747.661831461</v>
      </c>
      <c r="I33" s="891">
        <f>SUM(I30:I32)</f>
        <v>46446942.592249572</v>
      </c>
      <c r="J33" s="384">
        <f>SUM(J30:J32)</f>
        <v>-1496972.7087412188</v>
      </c>
      <c r="K33" s="893">
        <f>D37</f>
        <v>-7143.159097880125</v>
      </c>
      <c r="L33" s="894">
        <f>SUM(L30:L32)</f>
        <v>-1504115.8678390987</v>
      </c>
      <c r="O33" s="247" t="s">
        <v>244</v>
      </c>
      <c r="P33" s="247" t="s">
        <v>245</v>
      </c>
      <c r="Q33" s="252">
        <v>0</v>
      </c>
      <c r="R33" s="252">
        <v>3949211</v>
      </c>
      <c r="S33" s="252">
        <v>3492664</v>
      </c>
      <c r="T33" s="252">
        <v>3257724</v>
      </c>
      <c r="U33" s="252">
        <v>2900084</v>
      </c>
      <c r="V33" s="252">
        <v>2932397</v>
      </c>
      <c r="W33" s="252">
        <v>3402119</v>
      </c>
      <c r="X33" s="252">
        <v>3555587</v>
      </c>
      <c r="Y33" s="252">
        <v>3127706</v>
      </c>
      <c r="Z33" s="252">
        <v>3005089</v>
      </c>
      <c r="AA33" s="252">
        <v>3140395</v>
      </c>
      <c r="AB33" s="252">
        <v>3529696</v>
      </c>
      <c r="AC33" s="252">
        <v>3746560</v>
      </c>
      <c r="AD33" s="252">
        <f t="shared" si="12"/>
        <v>40039232</v>
      </c>
      <c r="AE33" s="1"/>
      <c r="AF33" s="1"/>
      <c r="AG33" s="268"/>
      <c r="AH33" s="268"/>
      <c r="AI33" s="268"/>
      <c r="AJ33" s="268"/>
      <c r="AK33" s="268"/>
      <c r="AL33" s="268"/>
      <c r="AM33" s="268"/>
      <c r="AN33" s="268"/>
    </row>
    <row r="34" spans="1:40" x14ac:dyDescent="0.45">
      <c r="A34" s="5"/>
      <c r="B34" s="334"/>
      <c r="C34" s="507"/>
      <c r="F34" s="27"/>
      <c r="G34" s="27"/>
      <c r="H34" s="5"/>
      <c r="I34" s="5"/>
      <c r="J34" s="887"/>
      <c r="O34" s="247" t="s">
        <v>246</v>
      </c>
      <c r="P34" s="247" t="s">
        <v>247</v>
      </c>
      <c r="Q34" s="252">
        <v>0</v>
      </c>
      <c r="R34" s="252">
        <v>40142</v>
      </c>
      <c r="S34" s="252">
        <v>42287</v>
      </c>
      <c r="T34" s="252">
        <v>35181</v>
      </c>
      <c r="U34" s="252">
        <v>40583</v>
      </c>
      <c r="V34" s="252">
        <v>31929</v>
      </c>
      <c r="W34" s="252">
        <v>31190</v>
      </c>
      <c r="X34" s="252">
        <v>32785</v>
      </c>
      <c r="Y34" s="252">
        <v>35497</v>
      </c>
      <c r="Z34" s="252">
        <v>32449</v>
      </c>
      <c r="AA34" s="252">
        <v>41647</v>
      </c>
      <c r="AB34" s="252">
        <v>32514</v>
      </c>
      <c r="AC34" s="252">
        <v>37754</v>
      </c>
      <c r="AD34" s="252">
        <f t="shared" si="12"/>
        <v>433958</v>
      </c>
      <c r="AE34" s="1"/>
      <c r="AF34" s="1"/>
      <c r="AG34" s="268"/>
      <c r="AH34" s="268"/>
      <c r="AI34" s="268"/>
      <c r="AJ34" s="268"/>
      <c r="AK34" s="268"/>
      <c r="AL34" s="268"/>
      <c r="AM34" s="268"/>
      <c r="AN34" s="268"/>
    </row>
    <row r="35" spans="1:40" x14ac:dyDescent="0.45">
      <c r="A35" s="5"/>
      <c r="B35" s="334" t="s">
        <v>617</v>
      </c>
      <c r="C35" s="507"/>
      <c r="D35" s="490">
        <f>C33/0.99</f>
        <v>48428197.27372808</v>
      </c>
      <c r="E35" s="821" t="s">
        <v>627</v>
      </c>
      <c r="F35" s="27"/>
      <c r="G35" s="27"/>
      <c r="H35" s="326"/>
      <c r="I35" s="507"/>
      <c r="J35" s="826"/>
      <c r="L35" s="889"/>
      <c r="O35" s="247" t="s">
        <v>250</v>
      </c>
      <c r="P35" s="247" t="s">
        <v>251</v>
      </c>
      <c r="Q35" s="252">
        <v>0</v>
      </c>
      <c r="R35" s="252">
        <v>6112</v>
      </c>
      <c r="S35" s="252">
        <v>7063</v>
      </c>
      <c r="T35" s="252">
        <v>5696</v>
      </c>
      <c r="U35" s="252">
        <v>5725</v>
      </c>
      <c r="V35" s="252">
        <v>4598</v>
      </c>
      <c r="W35" s="252">
        <v>5068</v>
      </c>
      <c r="X35" s="252">
        <v>4575</v>
      </c>
      <c r="Y35" s="252">
        <v>5208</v>
      </c>
      <c r="Z35" s="252">
        <v>5172</v>
      </c>
      <c r="AA35" s="252">
        <v>4473</v>
      </c>
      <c r="AB35" s="252">
        <v>5412</v>
      </c>
      <c r="AC35" s="252">
        <v>5952</v>
      </c>
      <c r="AD35" s="252">
        <f t="shared" si="12"/>
        <v>65054</v>
      </c>
      <c r="AE35" s="1"/>
      <c r="AF35" s="1"/>
      <c r="AG35" s="268"/>
      <c r="AH35" s="268"/>
      <c r="AI35" s="268"/>
      <c r="AJ35" s="268"/>
      <c r="AK35" s="268"/>
      <c r="AL35" s="268"/>
      <c r="AM35" s="268"/>
      <c r="AN35" s="268"/>
    </row>
    <row r="36" spans="1:40" x14ac:dyDescent="0.45">
      <c r="A36" s="5"/>
      <c r="B36" s="815" t="s">
        <v>618</v>
      </c>
      <c r="C36" s="816"/>
      <c r="D36" s="817">
        <f>C33*1.01025</f>
        <v>48435340.43282596</v>
      </c>
      <c r="E36" s="821" t="s">
        <v>661</v>
      </c>
      <c r="F36" s="27"/>
      <c r="G36" s="27"/>
      <c r="H36" s="507"/>
      <c r="I36" s="822"/>
      <c r="J36" s="826"/>
      <c r="K36" s="833"/>
      <c r="L36" s="889"/>
      <c r="O36" s="247" t="s">
        <v>252</v>
      </c>
      <c r="P36" s="247" t="s">
        <v>253</v>
      </c>
      <c r="Q36" s="252">
        <v>0</v>
      </c>
      <c r="R36" s="252">
        <v>15050</v>
      </c>
      <c r="S36" s="252">
        <v>14079</v>
      </c>
      <c r="T36" s="252">
        <v>13243</v>
      </c>
      <c r="U36" s="252">
        <v>12721</v>
      </c>
      <c r="V36" s="252">
        <v>11063</v>
      </c>
      <c r="W36" s="252">
        <v>10631</v>
      </c>
      <c r="X36" s="252">
        <v>12009</v>
      </c>
      <c r="Y36" s="252">
        <v>12046</v>
      </c>
      <c r="Z36" s="252">
        <v>12151</v>
      </c>
      <c r="AA36" s="252">
        <v>11419</v>
      </c>
      <c r="AB36" s="252">
        <v>13677</v>
      </c>
      <c r="AC36" s="252">
        <v>11976</v>
      </c>
      <c r="AD36" s="252">
        <f t="shared" si="12"/>
        <v>150065</v>
      </c>
      <c r="AE36" s="1"/>
      <c r="AF36" s="1"/>
      <c r="AG36" s="268"/>
      <c r="AH36" s="268"/>
      <c r="AI36" s="268"/>
      <c r="AJ36" s="268"/>
      <c r="AK36" s="268"/>
      <c r="AL36" s="268"/>
      <c r="AM36" s="268"/>
      <c r="AN36" s="268"/>
    </row>
    <row r="37" spans="1:40" x14ac:dyDescent="0.45">
      <c r="A37" s="5"/>
      <c r="B37" s="818" t="s">
        <v>619</v>
      </c>
      <c r="C37" s="819"/>
      <c r="D37" s="820">
        <f>D35-D36</f>
        <v>-7143.159097880125</v>
      </c>
      <c r="E37" s="825"/>
      <c r="F37" s="27"/>
      <c r="G37" s="27"/>
      <c r="H37" s="507"/>
      <c r="I37" s="5"/>
      <c r="J37" s="826"/>
      <c r="O37" s="247" t="s">
        <v>254</v>
      </c>
      <c r="P37" s="247" t="s">
        <v>255</v>
      </c>
      <c r="Q37" s="252">
        <v>0</v>
      </c>
      <c r="R37" s="252">
        <v>82367</v>
      </c>
      <c r="S37" s="252">
        <v>65870</v>
      </c>
      <c r="T37" s="252">
        <v>58915</v>
      </c>
      <c r="U37" s="252">
        <v>45142</v>
      </c>
      <c r="V37" s="252">
        <v>39422</v>
      </c>
      <c r="W37" s="252">
        <v>36854</v>
      </c>
      <c r="X37" s="252">
        <v>0</v>
      </c>
      <c r="Y37" s="252">
        <v>86672</v>
      </c>
      <c r="Z37" s="252">
        <v>39030</v>
      </c>
      <c r="AA37" s="252">
        <v>0</v>
      </c>
      <c r="AB37" s="252">
        <v>0</v>
      </c>
      <c r="AC37" s="252">
        <v>169609</v>
      </c>
      <c r="AD37" s="252">
        <f t="shared" si="12"/>
        <v>623881</v>
      </c>
      <c r="AE37" s="1"/>
      <c r="AF37" s="1"/>
      <c r="AG37" s="268"/>
      <c r="AH37" s="268"/>
      <c r="AI37" s="268"/>
      <c r="AJ37" s="268"/>
      <c r="AK37" s="268"/>
      <c r="AL37" s="268"/>
      <c r="AM37" s="268"/>
      <c r="AN37" s="268"/>
    </row>
    <row r="38" spans="1:40" x14ac:dyDescent="0.45">
      <c r="A38" s="5"/>
      <c r="B38" s="334"/>
      <c r="C38" s="507"/>
      <c r="D38" s="490"/>
      <c r="E38" s="490"/>
      <c r="F38" s="27"/>
      <c r="G38" s="27"/>
      <c r="H38" s="507"/>
      <c r="I38" s="5"/>
      <c r="J38" s="335"/>
      <c r="O38" s="247" t="s">
        <v>256</v>
      </c>
      <c r="P38" s="247" t="s">
        <v>257</v>
      </c>
      <c r="Q38" s="252">
        <v>0</v>
      </c>
      <c r="R38" s="252">
        <v>73668</v>
      </c>
      <c r="S38" s="252">
        <v>64787</v>
      </c>
      <c r="T38" s="252">
        <v>60988</v>
      </c>
      <c r="U38" s="252">
        <v>55587</v>
      </c>
      <c r="V38" s="252">
        <v>54304</v>
      </c>
      <c r="W38" s="252">
        <v>49847</v>
      </c>
      <c r="X38" s="252">
        <v>62161</v>
      </c>
      <c r="Y38" s="252">
        <v>54487</v>
      </c>
      <c r="Z38" s="252">
        <v>53081</v>
      </c>
      <c r="AA38" s="252">
        <v>65078</v>
      </c>
      <c r="AB38" s="252">
        <v>74136</v>
      </c>
      <c r="AC38" s="252">
        <v>75973.509999999995</v>
      </c>
      <c r="AD38" s="252">
        <f t="shared" si="12"/>
        <v>744097.51</v>
      </c>
      <c r="AE38" s="1"/>
      <c r="AF38" s="1"/>
      <c r="AG38" s="268"/>
      <c r="AH38" s="268"/>
      <c r="AI38" s="268"/>
      <c r="AJ38" s="268"/>
      <c r="AK38" s="268"/>
      <c r="AL38" s="268"/>
      <c r="AM38" s="268"/>
      <c r="AN38" s="268"/>
    </row>
    <row r="39" spans="1:40" x14ac:dyDescent="0.45">
      <c r="A39" s="5"/>
      <c r="B39" s="337" t="s">
        <v>312</v>
      </c>
      <c r="C39" s="5"/>
      <c r="D39" s="5"/>
      <c r="E39" s="5"/>
      <c r="F39" s="27"/>
      <c r="G39" s="27"/>
      <c r="H39" s="5"/>
      <c r="I39" s="507"/>
      <c r="J39" s="508"/>
      <c r="O39" s="247" t="s">
        <v>258</v>
      </c>
      <c r="P39" s="247" t="s">
        <v>259</v>
      </c>
      <c r="Q39" s="252">
        <v>0</v>
      </c>
      <c r="R39" s="252">
        <v>48040</v>
      </c>
      <c r="S39" s="252">
        <v>45282</v>
      </c>
      <c r="T39" s="252">
        <v>43383</v>
      </c>
      <c r="U39" s="252">
        <v>40454</v>
      </c>
      <c r="V39" s="252">
        <v>40160</v>
      </c>
      <c r="W39" s="252">
        <v>44615</v>
      </c>
      <c r="X39" s="252">
        <v>49528</v>
      </c>
      <c r="Y39" s="252">
        <v>43726</v>
      </c>
      <c r="Z39" s="252">
        <v>41789</v>
      </c>
      <c r="AA39" s="252">
        <v>42043</v>
      </c>
      <c r="AB39" s="252">
        <v>46525</v>
      </c>
      <c r="AC39" s="252">
        <v>51303</v>
      </c>
      <c r="AD39" s="252">
        <f t="shared" si="12"/>
        <v>536848</v>
      </c>
      <c r="AE39" s="1"/>
      <c r="AF39" s="1"/>
      <c r="AG39" s="268"/>
      <c r="AH39" s="268"/>
      <c r="AI39" s="268"/>
      <c r="AJ39" s="268"/>
      <c r="AK39" s="268"/>
      <c r="AL39" s="268"/>
      <c r="AM39" s="268"/>
      <c r="AN39" s="268"/>
    </row>
    <row r="40" spans="1:40" x14ac:dyDescent="0.45">
      <c r="A40" s="5"/>
      <c r="B40" s="339" t="s">
        <v>313</v>
      </c>
      <c r="C40" s="18"/>
      <c r="D40" s="18"/>
      <c r="E40" s="18"/>
      <c r="F40" s="319"/>
      <c r="G40" s="319"/>
      <c r="H40" s="18"/>
      <c r="I40" s="7"/>
      <c r="J40" s="342"/>
      <c r="O40" s="247" t="s">
        <v>260</v>
      </c>
      <c r="P40" s="247" t="s">
        <v>261</v>
      </c>
      <c r="Q40" s="252">
        <v>0</v>
      </c>
      <c r="R40" s="252">
        <v>28369</v>
      </c>
      <c r="S40" s="252">
        <v>26083</v>
      </c>
      <c r="T40" s="252">
        <v>25215</v>
      </c>
      <c r="U40" s="252">
        <v>24486</v>
      </c>
      <c r="V40" s="252">
        <v>22482</v>
      </c>
      <c r="W40" s="252">
        <v>23486</v>
      </c>
      <c r="X40" s="252">
        <v>27987</v>
      </c>
      <c r="Y40" s="252">
        <v>25293</v>
      </c>
      <c r="Z40" s="252">
        <v>24809</v>
      </c>
      <c r="AA40" s="252">
        <v>24160</v>
      </c>
      <c r="AB40" s="252">
        <v>27812</v>
      </c>
      <c r="AC40" s="252">
        <v>27091</v>
      </c>
      <c r="AD40" s="252">
        <f t="shared" si="12"/>
        <v>307273</v>
      </c>
      <c r="AE40" s="1"/>
      <c r="AF40" s="1"/>
      <c r="AG40" s="268"/>
      <c r="AH40" s="268"/>
      <c r="AI40" s="268"/>
      <c r="AJ40" s="268"/>
      <c r="AK40" s="268"/>
      <c r="AL40" s="268"/>
      <c r="AM40" s="268"/>
      <c r="AN40" s="268"/>
    </row>
    <row r="41" spans="1:40" x14ac:dyDescent="0.45">
      <c r="A41" s="5"/>
      <c r="B41" s="5"/>
      <c r="C41" s="11"/>
      <c r="D41" s="11"/>
      <c r="E41" s="11"/>
      <c r="F41" s="27"/>
      <c r="G41" s="27"/>
      <c r="H41" s="11"/>
      <c r="I41" s="5"/>
      <c r="J41" s="11"/>
      <c r="O41" s="247" t="s">
        <v>262</v>
      </c>
      <c r="P41" s="247" t="s">
        <v>263</v>
      </c>
      <c r="Q41" s="252">
        <v>0</v>
      </c>
      <c r="R41" s="252">
        <v>13586</v>
      </c>
      <c r="S41" s="252">
        <v>13710</v>
      </c>
      <c r="T41" s="252">
        <v>12516</v>
      </c>
      <c r="U41" s="252">
        <v>12052</v>
      </c>
      <c r="V41" s="252">
        <v>10737</v>
      </c>
      <c r="W41" s="252">
        <v>10700</v>
      </c>
      <c r="X41" s="252">
        <v>11037</v>
      </c>
      <c r="Y41" s="252">
        <v>11588</v>
      </c>
      <c r="Z41" s="252">
        <v>10276</v>
      </c>
      <c r="AA41" s="252">
        <v>10704</v>
      </c>
      <c r="AB41" s="252">
        <v>11639</v>
      </c>
      <c r="AC41" s="252">
        <v>12799</v>
      </c>
      <c r="AD41" s="252">
        <f t="shared" si="12"/>
        <v>141344</v>
      </c>
      <c r="AE41" s="1"/>
      <c r="AF41" s="1"/>
      <c r="AG41" s="268"/>
      <c r="AH41" s="268"/>
      <c r="AI41" s="268"/>
      <c r="AJ41" s="268"/>
      <c r="AK41" s="268"/>
      <c r="AL41" s="268"/>
      <c r="AM41" s="268"/>
      <c r="AN41" s="268"/>
    </row>
    <row r="42" spans="1:40" x14ac:dyDescent="0.45">
      <c r="A42" s="5"/>
      <c r="B42" s="881"/>
      <c r="C42" s="16"/>
      <c r="D42" s="882"/>
      <c r="E42" s="11"/>
      <c r="F42" s="20"/>
      <c r="G42" s="27"/>
      <c r="H42" s="20"/>
      <c r="I42" s="5"/>
      <c r="J42" s="11"/>
      <c r="O42" s="247" t="s">
        <v>264</v>
      </c>
      <c r="P42" s="247" t="s">
        <v>265</v>
      </c>
      <c r="Q42" s="252">
        <v>0</v>
      </c>
      <c r="R42" s="252">
        <v>91460</v>
      </c>
      <c r="S42" s="252">
        <v>75251</v>
      </c>
      <c r="T42" s="252">
        <v>69561</v>
      </c>
      <c r="U42" s="252">
        <v>86160</v>
      </c>
      <c r="V42" s="252">
        <v>27937</v>
      </c>
      <c r="W42" s="252">
        <v>63380</v>
      </c>
      <c r="X42" s="252">
        <v>73244</v>
      </c>
      <c r="Y42" s="252">
        <v>66826</v>
      </c>
      <c r="Z42" s="252">
        <v>60225</v>
      </c>
      <c r="AA42" s="252">
        <v>58568</v>
      </c>
      <c r="AB42" s="252">
        <v>85167</v>
      </c>
      <c r="AC42" s="252">
        <v>92789</v>
      </c>
      <c r="AD42" s="252">
        <f t="shared" si="12"/>
        <v>850568</v>
      </c>
      <c r="AE42" s="1"/>
      <c r="AF42" s="1"/>
      <c r="AG42" s="268"/>
      <c r="AH42" s="268"/>
      <c r="AI42" s="268"/>
      <c r="AJ42" s="268"/>
      <c r="AK42" s="268"/>
      <c r="AL42" s="268"/>
      <c r="AM42" s="268"/>
      <c r="AN42" s="268"/>
    </row>
    <row r="43" spans="1:40" x14ac:dyDescent="0.45">
      <c r="A43" s="5"/>
      <c r="B43" s="883"/>
      <c r="C43" s="11"/>
      <c r="D43" s="11"/>
      <c r="F43" s="20"/>
      <c r="G43" s="27"/>
      <c r="I43" s="5"/>
      <c r="J43" s="11"/>
      <c r="O43" s="247" t="s">
        <v>266</v>
      </c>
      <c r="P43" s="247" t="s">
        <v>267</v>
      </c>
      <c r="Q43" s="252">
        <v>0</v>
      </c>
      <c r="R43" s="252">
        <v>55974</v>
      </c>
      <c r="S43" s="252">
        <v>55230</v>
      </c>
      <c r="T43" s="252">
        <v>54182</v>
      </c>
      <c r="U43" s="252">
        <v>50958</v>
      </c>
      <c r="V43" s="252">
        <v>49387</v>
      </c>
      <c r="W43" s="252">
        <v>58955</v>
      </c>
      <c r="X43" s="252">
        <v>62958</v>
      </c>
      <c r="Y43" s="252">
        <v>52093</v>
      </c>
      <c r="Z43" s="252">
        <v>49174</v>
      </c>
      <c r="AA43" s="252">
        <v>48185</v>
      </c>
      <c r="AB43" s="252">
        <v>54912</v>
      </c>
      <c r="AC43" s="252">
        <v>62651</v>
      </c>
      <c r="AD43" s="252">
        <f t="shared" si="12"/>
        <v>654659</v>
      </c>
      <c r="AE43" s="1"/>
      <c r="AF43" s="1"/>
      <c r="AG43" s="268"/>
      <c r="AH43" s="268"/>
      <c r="AI43" s="268"/>
      <c r="AJ43" s="268"/>
      <c r="AK43" s="268"/>
      <c r="AL43" s="268"/>
      <c r="AM43" s="268"/>
      <c r="AN43" s="268"/>
    </row>
    <row r="44" spans="1:40" x14ac:dyDescent="0.45">
      <c r="B44" s="5"/>
      <c r="C44" s="5"/>
      <c r="D44" s="5"/>
      <c r="F44" s="20"/>
      <c r="G44" s="27"/>
      <c r="I44" s="5"/>
      <c r="J44" s="11"/>
      <c r="O44" s="247" t="s">
        <v>268</v>
      </c>
      <c r="P44" s="247" t="s">
        <v>274</v>
      </c>
      <c r="Q44" s="252">
        <v>0</v>
      </c>
      <c r="R44" s="252">
        <v>500284</v>
      </c>
      <c r="S44" s="252">
        <v>445810</v>
      </c>
      <c r="T44" s="252">
        <v>457939</v>
      </c>
      <c r="U44" s="252">
        <v>396244</v>
      </c>
      <c r="V44" s="252">
        <v>375054</v>
      </c>
      <c r="W44" s="252">
        <v>407616</v>
      </c>
      <c r="X44" s="252">
        <v>455166</v>
      </c>
      <c r="Y44" s="252">
        <v>409153</v>
      </c>
      <c r="Z44" s="252">
        <v>375454</v>
      </c>
      <c r="AA44" s="252">
        <v>394505</v>
      </c>
      <c r="AB44" s="252">
        <v>447993</v>
      </c>
      <c r="AC44" s="252">
        <v>484779</v>
      </c>
      <c r="AD44" s="252">
        <f t="shared" si="12"/>
        <v>5149997</v>
      </c>
      <c r="AE44" s="1"/>
      <c r="AF44" s="1"/>
      <c r="AG44" s="268"/>
      <c r="AH44" s="268"/>
      <c r="AI44" s="268"/>
      <c r="AJ44" s="268"/>
      <c r="AK44" s="268"/>
      <c r="AL44" s="268"/>
      <c r="AM44" s="268"/>
      <c r="AN44" s="268"/>
    </row>
    <row r="45" spans="1:40" x14ac:dyDescent="0.45">
      <c r="I45" s="5"/>
      <c r="J45" s="11"/>
      <c r="O45" s="247" t="s">
        <v>269</v>
      </c>
      <c r="P45" s="247" t="s">
        <v>270</v>
      </c>
      <c r="Q45" s="252">
        <v>0</v>
      </c>
      <c r="R45" s="252">
        <v>96217</v>
      </c>
      <c r="S45" s="252">
        <v>79164</v>
      </c>
      <c r="T45" s="252">
        <v>90223</v>
      </c>
      <c r="U45" s="252">
        <v>78795</v>
      </c>
      <c r="V45" s="252">
        <v>72751</v>
      </c>
      <c r="W45" s="252">
        <v>68719</v>
      </c>
      <c r="X45" s="252">
        <v>70427</v>
      </c>
      <c r="Y45" s="252">
        <v>79651</v>
      </c>
      <c r="Z45" s="252">
        <v>71597</v>
      </c>
      <c r="AA45" s="252">
        <v>71007</v>
      </c>
      <c r="AB45" s="252">
        <v>71880</v>
      </c>
      <c r="AC45" s="252">
        <v>83400</v>
      </c>
      <c r="AD45" s="252">
        <f t="shared" si="12"/>
        <v>933831</v>
      </c>
      <c r="AE45" s="1"/>
      <c r="AF45" s="1"/>
      <c r="AG45" s="268"/>
      <c r="AH45" s="268"/>
      <c r="AI45" s="268"/>
      <c r="AJ45" s="268"/>
      <c r="AK45" s="268"/>
      <c r="AL45" s="268"/>
      <c r="AM45" s="268"/>
      <c r="AN45" s="268"/>
    </row>
    <row r="46" spans="1:40" x14ac:dyDescent="0.45">
      <c r="I46" s="5"/>
      <c r="K46" s="11"/>
      <c r="L46" s="11"/>
      <c r="M46" s="11"/>
      <c r="O46" s="247"/>
      <c r="P46" s="247"/>
      <c r="Q46" s="247"/>
      <c r="R46" s="252"/>
      <c r="S46" s="247"/>
      <c r="T46" s="247"/>
      <c r="U46" s="247"/>
      <c r="V46" s="247"/>
      <c r="W46" s="247"/>
      <c r="X46" s="247"/>
      <c r="Y46" s="247"/>
      <c r="Z46" s="247"/>
      <c r="AA46" s="247"/>
      <c r="AB46" s="247"/>
      <c r="AC46" s="247"/>
      <c r="AD46" s="252"/>
      <c r="AE46" s="1"/>
      <c r="AF46" s="1"/>
      <c r="AG46" s="268"/>
      <c r="AH46" s="268"/>
      <c r="AI46" s="268"/>
      <c r="AJ46" s="268"/>
      <c r="AK46" s="268"/>
      <c r="AL46" s="268"/>
      <c r="AM46" s="268"/>
      <c r="AN46" s="268"/>
    </row>
    <row r="47" spans="1:40" x14ac:dyDescent="0.45">
      <c r="I47" s="5"/>
      <c r="K47" s="11"/>
      <c r="L47" s="11"/>
      <c r="M47" s="11"/>
      <c r="O47" s="253" t="s">
        <v>396</v>
      </c>
      <c r="P47" s="254"/>
      <c r="Q47" s="254"/>
      <c r="R47" s="255">
        <f t="shared" ref="R47:AD47" si="13">SUM(R31:R45)</f>
        <v>5047064</v>
      </c>
      <c r="S47" s="255">
        <f t="shared" si="13"/>
        <v>4469904</v>
      </c>
      <c r="T47" s="255">
        <f t="shared" si="13"/>
        <v>4225397</v>
      </c>
      <c r="U47" s="255">
        <f t="shared" si="13"/>
        <v>3790778</v>
      </c>
      <c r="V47" s="255">
        <f t="shared" si="13"/>
        <v>3713580</v>
      </c>
      <c r="W47" s="255">
        <f t="shared" si="13"/>
        <v>4249109</v>
      </c>
      <c r="X47" s="255">
        <f t="shared" si="13"/>
        <v>4455961</v>
      </c>
      <c r="Y47" s="255">
        <f t="shared" si="13"/>
        <v>4051732</v>
      </c>
      <c r="Z47" s="255">
        <f t="shared" si="13"/>
        <v>3821644</v>
      </c>
      <c r="AA47" s="255">
        <f t="shared" si="13"/>
        <v>3946679</v>
      </c>
      <c r="AB47" s="255">
        <f t="shared" si="13"/>
        <v>4437126</v>
      </c>
      <c r="AC47" s="255">
        <f t="shared" si="13"/>
        <v>4905986.51</v>
      </c>
      <c r="AD47" s="255">
        <f t="shared" si="13"/>
        <v>51114960.509999998</v>
      </c>
      <c r="AE47" s="1"/>
      <c r="AF47" s="1"/>
      <c r="AG47" s="268"/>
      <c r="AH47" s="268"/>
      <c r="AI47" s="268"/>
      <c r="AJ47" s="268"/>
      <c r="AK47" s="268"/>
      <c r="AL47" s="268"/>
      <c r="AM47" s="268"/>
      <c r="AN47" s="268"/>
    </row>
    <row r="48" spans="1:40" x14ac:dyDescent="0.45">
      <c r="I48" s="5"/>
      <c r="K48" s="11"/>
      <c r="L48" s="11"/>
      <c r="M48" s="11"/>
      <c r="R48" s="236">
        <f>R47/$AD47</f>
        <v>9.8739467851346685E-2</v>
      </c>
      <c r="S48" s="236">
        <f t="shared" ref="S48:AC48" si="14">S47/$AD47</f>
        <v>8.7448057386751182E-2</v>
      </c>
      <c r="T48" s="236">
        <f t="shared" si="14"/>
        <v>8.2664585042051514E-2</v>
      </c>
      <c r="U48" s="236">
        <f t="shared" si="14"/>
        <v>7.41618102054169E-2</v>
      </c>
      <c r="V48" s="236">
        <f t="shared" si="14"/>
        <v>7.2651528299106968E-2</v>
      </c>
      <c r="W48" s="236">
        <f t="shared" si="14"/>
        <v>8.3128480538857408E-2</v>
      </c>
      <c r="X48" s="236">
        <f t="shared" si="14"/>
        <v>8.7175280104701394E-2</v>
      </c>
      <c r="Y48" s="236">
        <f t="shared" si="14"/>
        <v>7.9267047447044978E-2</v>
      </c>
      <c r="Z48" s="236">
        <f t="shared" si="14"/>
        <v>7.4765664726520589E-2</v>
      </c>
      <c r="AA48" s="236">
        <f t="shared" si="14"/>
        <v>7.7211817452698256E-2</v>
      </c>
      <c r="AB48" s="236">
        <f t="shared" si="14"/>
        <v>8.6806796987193846E-2</v>
      </c>
      <c r="AC48" s="236">
        <f t="shared" si="14"/>
        <v>9.5979463958310307E-2</v>
      </c>
      <c r="AE48" s="1"/>
      <c r="AF48" s="1"/>
      <c r="AG48" s="268"/>
      <c r="AH48" s="268"/>
      <c r="AI48" s="268"/>
      <c r="AJ48" s="268"/>
      <c r="AK48" s="268"/>
      <c r="AL48" s="268"/>
      <c r="AM48" s="268"/>
      <c r="AN48" s="268"/>
    </row>
    <row r="49" spans="1:40" x14ac:dyDescent="0.45">
      <c r="I49" s="5"/>
      <c r="K49" s="5"/>
      <c r="L49" s="5"/>
      <c r="M49" s="5"/>
      <c r="O49" s="15"/>
      <c r="P49" s="11"/>
      <c r="Q49" s="11"/>
      <c r="R49" s="770"/>
      <c r="S49" s="21"/>
      <c r="T49" s="21"/>
      <c r="U49" s="21"/>
      <c r="V49" s="21"/>
      <c r="W49" s="21"/>
      <c r="X49" s="21"/>
      <c r="Y49" s="21"/>
      <c r="Z49" s="21"/>
      <c r="AB49" s="553" t="s">
        <v>415</v>
      </c>
      <c r="AC49" s="19">
        <f>SUM(X47:AC47)-22427</f>
        <v>25596701.509999998</v>
      </c>
      <c r="AE49" s="1"/>
      <c r="AF49" s="1"/>
      <c r="AG49" s="268"/>
      <c r="AH49" s="268"/>
      <c r="AI49" s="268"/>
      <c r="AJ49" s="268"/>
      <c r="AK49" s="268"/>
      <c r="AL49" s="268"/>
      <c r="AM49" s="268"/>
      <c r="AN49" s="268"/>
    </row>
    <row r="50" spans="1:40" x14ac:dyDescent="0.45">
      <c r="I50" s="5"/>
      <c r="K50" s="5"/>
      <c r="L50" s="5"/>
      <c r="M50" s="5"/>
      <c r="O50" s="15"/>
      <c r="P50" s="11"/>
      <c r="Q50" s="11"/>
      <c r="R50" s="771"/>
      <c r="S50" s="21"/>
      <c r="T50" s="21"/>
      <c r="U50" s="21"/>
      <c r="V50" s="21"/>
      <c r="W50" s="21"/>
      <c r="X50" s="21"/>
      <c r="Y50" s="21"/>
      <c r="Z50" s="21"/>
      <c r="AB50" s="553" t="s">
        <v>416</v>
      </c>
      <c r="AC50" s="19">
        <f>AC49/0.99</f>
        <v>25855254.05050505</v>
      </c>
      <c r="AD50" s="279">
        <v>25928190.689999998</v>
      </c>
      <c r="AE50" s="1"/>
      <c r="AF50" s="1"/>
      <c r="AG50" s="268"/>
      <c r="AH50" s="268"/>
      <c r="AI50" s="268"/>
      <c r="AJ50" s="268"/>
      <c r="AK50" s="268"/>
      <c r="AL50" s="268"/>
      <c r="AM50" s="268"/>
      <c r="AN50" s="268"/>
    </row>
    <row r="51" spans="1:40" x14ac:dyDescent="0.45">
      <c r="I51" s="5"/>
      <c r="O51" s="772"/>
      <c r="P51" s="21"/>
      <c r="Q51" s="21"/>
      <c r="R51" s="752"/>
      <c r="S51" s="752"/>
      <c r="T51" s="752"/>
      <c r="U51" s="752"/>
      <c r="V51" s="752"/>
      <c r="W51" s="752"/>
      <c r="X51" s="752"/>
      <c r="Y51" s="21"/>
      <c r="Z51" s="21"/>
      <c r="AB51" s="553" t="s">
        <v>413</v>
      </c>
      <c r="AC51" s="19">
        <f>AC50*0.98975</f>
        <v>25590237.696487375</v>
      </c>
      <c r="AE51" s="1"/>
      <c r="AF51" s="1"/>
      <c r="AG51" s="13"/>
      <c r="AH51" s="13"/>
      <c r="AI51" s="13"/>
      <c r="AJ51" s="13"/>
      <c r="AK51" s="13"/>
      <c r="AL51" s="13"/>
      <c r="AM51" s="11"/>
      <c r="AN51" s="11"/>
    </row>
    <row r="52" spans="1:40" x14ac:dyDescent="0.45">
      <c r="I52" s="5"/>
      <c r="O52" s="21"/>
      <c r="P52" s="773"/>
      <c r="Q52" s="21"/>
      <c r="R52" s="752"/>
      <c r="S52" s="752"/>
      <c r="T52" s="752"/>
      <c r="U52" s="752"/>
      <c r="V52" s="752"/>
      <c r="W52" s="752"/>
      <c r="X52" s="752"/>
      <c r="Y52" s="21"/>
      <c r="Z52" s="21"/>
      <c r="AB52" s="553" t="s">
        <v>414</v>
      </c>
      <c r="AC52" s="19">
        <f>AC49-AC51</f>
        <v>6463.8135126233101</v>
      </c>
      <c r="AE52" s="1"/>
      <c r="AF52" s="1"/>
      <c r="AG52" s="1"/>
      <c r="AH52" s="1"/>
      <c r="AI52" s="1"/>
      <c r="AJ52" s="1"/>
      <c r="AK52" s="1"/>
      <c r="AL52" s="1"/>
    </row>
    <row r="53" spans="1:40" x14ac:dyDescent="0.45">
      <c r="I53" s="5"/>
      <c r="O53" s="21"/>
      <c r="P53" s="752"/>
      <c r="Q53" s="21"/>
      <c r="R53" s="774"/>
      <c r="S53" s="774"/>
      <c r="T53" s="774"/>
      <c r="U53" s="774"/>
      <c r="V53" s="774"/>
      <c r="W53" s="774"/>
      <c r="X53" s="21"/>
      <c r="Y53" s="21"/>
      <c r="Z53" s="21"/>
      <c r="AE53" s="1"/>
      <c r="AF53" s="1"/>
      <c r="AG53" s="1"/>
      <c r="AH53" s="1"/>
      <c r="AI53" s="1"/>
      <c r="AJ53" s="1"/>
      <c r="AK53" s="1"/>
      <c r="AL53" s="1"/>
    </row>
    <row r="54" spans="1:40" x14ac:dyDescent="0.45">
      <c r="I54" s="5"/>
      <c r="O54" s="21"/>
      <c r="P54" s="752"/>
      <c r="Q54" s="21"/>
      <c r="R54" s="752"/>
      <c r="S54" s="752"/>
      <c r="T54" s="752"/>
      <c r="U54" s="752"/>
      <c r="V54" s="752"/>
      <c r="W54" s="752"/>
      <c r="X54" s="21"/>
      <c r="Y54" s="21"/>
      <c r="Z54" s="21"/>
      <c r="AE54" s="1"/>
      <c r="AF54" s="1"/>
    </row>
    <row r="55" spans="1:40" x14ac:dyDescent="0.45">
      <c r="I55" s="5"/>
      <c r="N55" s="5"/>
      <c r="O55" s="21"/>
      <c r="P55" s="773"/>
      <c r="Q55" s="21"/>
      <c r="R55" s="775"/>
      <c r="S55" s="775"/>
      <c r="T55" s="775"/>
      <c r="U55" s="775"/>
      <c r="V55" s="775"/>
      <c r="W55" s="775"/>
      <c r="X55" s="21"/>
      <c r="Y55" s="21"/>
      <c r="Z55" s="21"/>
      <c r="AE55" s="36">
        <f>AD50-AC50</f>
        <v>72936.639494948089</v>
      </c>
      <c r="AF55" s="1"/>
    </row>
    <row r="56" spans="1:40" x14ac:dyDescent="0.45">
      <c r="I56" s="5"/>
      <c r="N56" s="5"/>
      <c r="O56" s="21"/>
      <c r="P56" s="773"/>
      <c r="Q56" s="21"/>
      <c r="R56" s="776"/>
      <c r="S56" s="776"/>
      <c r="T56" s="775"/>
      <c r="U56" s="775"/>
      <c r="V56" s="775"/>
      <c r="W56" s="775"/>
      <c r="X56" s="21"/>
      <c r="Y56" s="21"/>
      <c r="Z56" s="21"/>
      <c r="AE56" s="1"/>
      <c r="AF56" s="1"/>
    </row>
    <row r="57" spans="1:40" x14ac:dyDescent="0.45">
      <c r="I57" s="5"/>
      <c r="N57" s="5"/>
      <c r="O57" s="21"/>
      <c r="P57" s="752"/>
      <c r="Q57" s="21"/>
      <c r="R57" s="775"/>
      <c r="S57" s="775"/>
      <c r="T57" s="775"/>
      <c r="U57" s="775"/>
      <c r="V57" s="775"/>
      <c r="W57" s="775"/>
      <c r="X57" s="21"/>
      <c r="Y57" s="21"/>
      <c r="Z57" s="21"/>
    </row>
    <row r="58" spans="1:40" x14ac:dyDescent="0.45">
      <c r="I58" s="5"/>
      <c r="N58" s="5"/>
      <c r="O58" s="21"/>
      <c r="P58" s="752"/>
      <c r="Q58" s="21"/>
      <c r="R58" s="775"/>
      <c r="S58" s="775"/>
      <c r="T58" s="775"/>
      <c r="U58" s="775"/>
      <c r="V58" s="775"/>
      <c r="W58" s="775"/>
      <c r="X58" s="21"/>
      <c r="Y58" s="21"/>
      <c r="Z58" s="21"/>
    </row>
    <row r="59" spans="1:40" x14ac:dyDescent="0.45">
      <c r="C59" s="5"/>
      <c r="D59" s="5"/>
      <c r="E59" s="5"/>
      <c r="F59" s="5"/>
      <c r="G59" s="5"/>
      <c r="H59" s="5"/>
      <c r="I59" s="5"/>
      <c r="N59" s="5"/>
      <c r="O59" s="21"/>
      <c r="P59" s="752"/>
      <c r="Q59" s="21"/>
      <c r="R59" s="775"/>
      <c r="S59" s="775"/>
      <c r="T59" s="775"/>
      <c r="U59" s="775"/>
      <c r="V59" s="775"/>
      <c r="W59" s="775"/>
      <c r="X59" s="21"/>
      <c r="Y59" s="21"/>
      <c r="Z59" s="21"/>
    </row>
    <row r="60" spans="1:40" x14ac:dyDescent="0.45">
      <c r="B60" s="5"/>
      <c r="C60" s="5"/>
      <c r="D60" s="5"/>
      <c r="E60" s="5"/>
      <c r="F60" s="5"/>
      <c r="G60" s="5"/>
      <c r="H60" s="5"/>
      <c r="I60" s="5"/>
      <c r="O60" s="21"/>
      <c r="P60" s="773"/>
      <c r="Q60" s="21"/>
      <c r="R60" s="776"/>
      <c r="S60" s="776"/>
      <c r="T60" s="775"/>
      <c r="U60" s="775"/>
      <c r="V60" s="775"/>
      <c r="W60" s="775"/>
      <c r="X60" s="21"/>
      <c r="Y60" s="21"/>
      <c r="Z60" s="21"/>
    </row>
    <row r="61" spans="1:40" x14ac:dyDescent="0.45">
      <c r="A61" s="5"/>
      <c r="B61" s="5"/>
      <c r="C61" s="5"/>
      <c r="D61" s="5"/>
      <c r="E61" s="5"/>
      <c r="F61" s="5"/>
      <c r="G61" s="5"/>
      <c r="H61" s="5"/>
      <c r="I61" s="5"/>
      <c r="O61" s="21"/>
      <c r="P61" s="752"/>
      <c r="Q61" s="21"/>
      <c r="R61" s="775"/>
      <c r="S61" s="775"/>
      <c r="T61" s="775"/>
      <c r="U61" s="775"/>
      <c r="V61" s="775"/>
      <c r="W61" s="775"/>
      <c r="X61" s="21"/>
      <c r="Y61" s="21"/>
      <c r="Z61" s="21"/>
    </row>
    <row r="62" spans="1:40" x14ac:dyDescent="0.45">
      <c r="A62" s="5"/>
      <c r="B62" s="5"/>
      <c r="C62" s="5"/>
      <c r="D62" s="5"/>
      <c r="E62" s="5"/>
      <c r="F62" s="5"/>
      <c r="G62" s="5"/>
      <c r="H62" s="5"/>
      <c r="I62" s="5"/>
      <c r="O62" s="21"/>
      <c r="P62" s="752"/>
      <c r="Q62" s="21"/>
      <c r="R62" s="775"/>
      <c r="S62" s="775"/>
      <c r="T62" s="775"/>
      <c r="U62" s="775"/>
      <c r="V62" s="775"/>
      <c r="W62" s="775"/>
      <c r="X62" s="21"/>
      <c r="Y62" s="21"/>
      <c r="Z62" s="21"/>
    </row>
    <row r="63" spans="1:40" x14ac:dyDescent="0.45">
      <c r="A63" s="5"/>
      <c r="B63" s="5"/>
      <c r="C63" s="5"/>
      <c r="D63" s="5"/>
      <c r="E63" s="5"/>
      <c r="F63" s="5"/>
      <c r="G63" s="5"/>
      <c r="H63" s="5"/>
      <c r="I63" s="5"/>
      <c r="O63" s="21"/>
      <c r="P63" s="787"/>
      <c r="Q63" s="11"/>
      <c r="R63" s="788"/>
      <c r="S63" s="788"/>
      <c r="T63" s="789"/>
      <c r="U63" s="789"/>
      <c r="V63" s="789"/>
      <c r="W63" s="789"/>
      <c r="X63" s="11"/>
      <c r="Y63" s="21"/>
      <c r="Z63" s="21"/>
    </row>
    <row r="64" spans="1:40" x14ac:dyDescent="0.45">
      <c r="A64" s="5"/>
      <c r="B64" s="5"/>
      <c r="C64" s="5"/>
      <c r="D64" s="5"/>
      <c r="E64" s="5"/>
      <c r="F64" s="5"/>
      <c r="G64" s="5"/>
      <c r="H64" s="5"/>
      <c r="I64" s="5"/>
      <c r="O64" s="21"/>
      <c r="P64" s="790"/>
      <c r="Q64" s="11"/>
      <c r="R64" s="789"/>
      <c r="S64" s="789"/>
      <c r="T64" s="789"/>
      <c r="U64" s="789"/>
      <c r="V64" s="789"/>
      <c r="W64" s="789"/>
      <c r="X64" s="11"/>
      <c r="Y64" s="21"/>
      <c r="Z64" s="21"/>
    </row>
    <row r="65" spans="1:26" x14ac:dyDescent="0.45">
      <c r="A65" s="5"/>
      <c r="B65" s="5"/>
      <c r="C65" s="5"/>
      <c r="D65" s="5"/>
      <c r="E65" s="5"/>
      <c r="F65" s="5"/>
      <c r="G65" s="5"/>
      <c r="H65" s="5"/>
      <c r="I65" s="5"/>
      <c r="O65" s="21"/>
      <c r="P65" s="790"/>
      <c r="Q65" s="11"/>
      <c r="R65" s="789"/>
      <c r="S65" s="789"/>
      <c r="T65" s="789"/>
      <c r="U65" s="789"/>
      <c r="V65" s="789"/>
      <c r="W65" s="789"/>
      <c r="X65" s="11"/>
      <c r="Y65" s="21"/>
      <c r="Z65" s="21"/>
    </row>
    <row r="66" spans="1:26" x14ac:dyDescent="0.45">
      <c r="A66" s="5"/>
      <c r="B66" s="5"/>
      <c r="O66" s="21"/>
      <c r="P66" s="790"/>
      <c r="Q66" s="11"/>
      <c r="R66" s="788"/>
      <c r="S66" s="788"/>
      <c r="T66" s="788"/>
      <c r="U66" s="788"/>
      <c r="V66" s="788"/>
      <c r="W66" s="788"/>
      <c r="X66" s="11"/>
      <c r="Y66" s="21"/>
      <c r="Z66" s="21"/>
    </row>
    <row r="67" spans="1:26" x14ac:dyDescent="0.45">
      <c r="A67" s="5"/>
      <c r="O67" s="21"/>
      <c r="P67" s="11"/>
      <c r="Q67" s="11"/>
      <c r="R67" s="791"/>
      <c r="S67" s="791"/>
      <c r="T67" s="791"/>
      <c r="U67" s="791"/>
      <c r="V67" s="791"/>
      <c r="W67" s="791"/>
      <c r="X67" s="791"/>
      <c r="Y67" s="21"/>
      <c r="Z67" s="21"/>
    </row>
    <row r="68" spans="1:26" x14ac:dyDescent="0.45">
      <c r="O68" s="21"/>
      <c r="P68" s="11"/>
      <c r="Q68" s="11"/>
      <c r="R68" s="791"/>
      <c r="S68" s="791"/>
      <c r="T68" s="791"/>
      <c r="U68" s="791"/>
      <c r="V68" s="791"/>
      <c r="W68" s="791"/>
      <c r="X68" s="791"/>
      <c r="Y68" s="21"/>
      <c r="Z68" s="21"/>
    </row>
    <row r="69" spans="1:26" x14ac:dyDescent="0.45">
      <c r="O69" s="21"/>
      <c r="P69" s="11"/>
      <c r="Q69" s="11"/>
      <c r="R69" s="791"/>
      <c r="S69" s="791"/>
      <c r="T69" s="791"/>
      <c r="U69" s="791"/>
      <c r="V69" s="791"/>
      <c r="W69" s="791"/>
      <c r="X69" s="791"/>
      <c r="Y69" s="21"/>
      <c r="Z69" s="21"/>
    </row>
    <row r="70" spans="1:26" x14ac:dyDescent="0.45">
      <c r="O70" s="21"/>
      <c r="P70" s="11"/>
      <c r="Q70" s="11"/>
      <c r="R70" s="791"/>
      <c r="S70" s="791"/>
      <c r="T70" s="791"/>
      <c r="U70" s="791"/>
      <c r="V70" s="791"/>
      <c r="W70" s="791"/>
      <c r="X70" s="791"/>
      <c r="Y70" s="21"/>
      <c r="Z70" s="21"/>
    </row>
    <row r="71" spans="1:26" x14ac:dyDescent="0.45">
      <c r="O71" s="21"/>
      <c r="P71" s="11"/>
      <c r="Q71" s="11"/>
      <c r="R71" s="11"/>
      <c r="S71" s="11"/>
      <c r="T71" s="11"/>
      <c r="U71" s="11"/>
      <c r="V71" s="11"/>
      <c r="W71" s="11"/>
      <c r="X71" s="11"/>
      <c r="Y71" s="21"/>
      <c r="Z71" s="21"/>
    </row>
    <row r="72" spans="1:26" x14ac:dyDescent="0.45">
      <c r="O72" s="21"/>
      <c r="P72" s="11"/>
      <c r="Q72" s="11"/>
      <c r="R72" s="792"/>
      <c r="S72" s="792"/>
      <c r="T72" s="792"/>
      <c r="U72" s="792"/>
      <c r="V72" s="792"/>
      <c r="W72" s="792"/>
      <c r="X72" s="792"/>
      <c r="Y72" s="782"/>
      <c r="Z72" s="21"/>
    </row>
    <row r="73" spans="1:26" x14ac:dyDescent="0.45">
      <c r="O73" s="21"/>
      <c r="P73" s="11"/>
      <c r="Q73" s="11"/>
      <c r="R73" s="792"/>
      <c r="S73" s="792"/>
      <c r="T73" s="792"/>
      <c r="U73" s="792"/>
      <c r="V73" s="792"/>
      <c r="W73" s="792"/>
      <c r="X73" s="792"/>
      <c r="Y73" s="782"/>
      <c r="Z73" s="21"/>
    </row>
    <row r="74" spans="1:26" x14ac:dyDescent="0.45">
      <c r="O74" s="21"/>
      <c r="P74" s="11"/>
      <c r="Q74" s="11"/>
      <c r="R74" s="792"/>
      <c r="S74" s="792"/>
      <c r="T74" s="792"/>
      <c r="U74" s="792"/>
      <c r="V74" s="792"/>
      <c r="W74" s="792"/>
      <c r="X74" s="792"/>
      <c r="Y74" s="782"/>
      <c r="Z74" s="21"/>
    </row>
    <row r="75" spans="1:26" x14ac:dyDescent="0.45">
      <c r="O75" s="21"/>
      <c r="P75" s="11"/>
      <c r="Q75" s="11"/>
      <c r="R75" s="791"/>
      <c r="S75" s="791"/>
      <c r="T75" s="791"/>
      <c r="U75" s="791"/>
      <c r="V75" s="791"/>
      <c r="W75" s="791"/>
      <c r="X75" s="791"/>
      <c r="Y75" s="21"/>
      <c r="Z75" s="21"/>
    </row>
    <row r="76" spans="1:26" x14ac:dyDescent="0.45">
      <c r="O76" s="21"/>
      <c r="P76" s="11"/>
      <c r="Q76" s="11"/>
      <c r="R76" s="11"/>
      <c r="S76" s="11"/>
      <c r="T76" s="11"/>
      <c r="U76" s="11"/>
      <c r="V76" s="11"/>
      <c r="W76" s="11"/>
      <c r="X76" s="11"/>
      <c r="Y76" s="21"/>
      <c r="Z76" s="21"/>
    </row>
    <row r="77" spans="1:26" x14ac:dyDescent="0.45">
      <c r="O77" s="21"/>
      <c r="P77" s="11"/>
      <c r="Q77" s="11"/>
      <c r="R77" s="27"/>
      <c r="S77" s="27"/>
      <c r="T77" s="27"/>
      <c r="U77" s="27"/>
      <c r="V77" s="27"/>
      <c r="W77" s="27"/>
      <c r="X77" s="27"/>
      <c r="Y77" s="21"/>
      <c r="Z77" s="21"/>
    </row>
    <row r="78" spans="1:26" x14ac:dyDescent="0.45">
      <c r="O78" s="21"/>
      <c r="P78" s="21"/>
      <c r="Q78" s="21"/>
      <c r="R78" s="770"/>
      <c r="S78" s="770"/>
      <c r="T78" s="770"/>
      <c r="U78" s="770"/>
      <c r="V78" s="770"/>
      <c r="W78" s="770"/>
      <c r="X78" s="770"/>
      <c r="Y78" s="21"/>
      <c r="Z78" s="21"/>
    </row>
    <row r="79" spans="1:26" x14ac:dyDescent="0.45">
      <c r="O79" s="21"/>
      <c r="P79" s="21"/>
      <c r="Q79" s="21"/>
      <c r="R79" s="21"/>
      <c r="S79" s="21"/>
      <c r="T79" s="21"/>
      <c r="U79" s="21"/>
      <c r="V79" s="21"/>
      <c r="W79" s="21"/>
      <c r="X79" s="21"/>
      <c r="Y79" s="21"/>
      <c r="Z79" s="21"/>
    </row>
    <row r="80" spans="1:26" x14ac:dyDescent="0.45">
      <c r="O80" s="21"/>
      <c r="P80" s="21"/>
      <c r="Q80" s="246"/>
      <c r="R80" s="783"/>
      <c r="S80" s="21"/>
      <c r="T80" s="21"/>
      <c r="U80" s="21"/>
      <c r="V80" s="21"/>
      <c r="W80" s="784"/>
      <c r="X80" s="21"/>
      <c r="Y80" s="21"/>
      <c r="Z80" s="21"/>
    </row>
    <row r="81" spans="15:26" x14ac:dyDescent="0.45">
      <c r="O81" s="21"/>
      <c r="P81" s="21"/>
      <c r="Q81" s="21"/>
      <c r="R81" s="21"/>
      <c r="S81" s="21"/>
      <c r="T81" s="21"/>
      <c r="U81" s="21"/>
      <c r="V81" s="21"/>
      <c r="W81" s="21"/>
      <c r="X81" s="21"/>
      <c r="Y81" s="21"/>
      <c r="Z81" s="21"/>
    </row>
    <row r="82" spans="15:26" x14ac:dyDescent="0.45">
      <c r="O82" s="21"/>
      <c r="P82" s="21"/>
      <c r="Q82" s="21"/>
      <c r="R82" s="21"/>
      <c r="S82" s="21"/>
      <c r="T82" s="21"/>
      <c r="U82" s="21"/>
      <c r="V82" s="21"/>
      <c r="W82" s="21"/>
      <c r="X82" s="21"/>
      <c r="Y82" s="21"/>
      <c r="Z82" s="21"/>
    </row>
    <row r="83" spans="15:26" x14ac:dyDescent="0.45">
      <c r="O83" s="21"/>
      <c r="P83" s="21"/>
      <c r="Q83" s="21"/>
      <c r="R83" s="21"/>
      <c r="S83" s="21"/>
      <c r="T83" s="21"/>
      <c r="U83" s="21"/>
      <c r="V83" s="21"/>
      <c r="W83" s="21"/>
      <c r="X83" s="21"/>
      <c r="Y83" s="21"/>
      <c r="Z83" s="21"/>
    </row>
    <row r="84" spans="15:26" x14ac:dyDescent="0.45">
      <c r="O84" s="21"/>
      <c r="P84" s="773"/>
      <c r="Q84" s="21"/>
      <c r="R84" s="775"/>
      <c r="S84" s="775"/>
      <c r="T84" s="775"/>
      <c r="U84" s="775"/>
      <c r="V84" s="775"/>
      <c r="W84" s="775"/>
      <c r="X84" s="21"/>
      <c r="Y84" s="21"/>
      <c r="Z84" s="21"/>
    </row>
    <row r="85" spans="15:26" x14ac:dyDescent="0.45">
      <c r="O85" s="21"/>
      <c r="P85" s="773"/>
      <c r="Q85" s="21"/>
      <c r="R85" s="776"/>
      <c r="S85" s="776"/>
      <c r="T85" s="775"/>
      <c r="U85" s="775"/>
      <c r="V85" s="775"/>
      <c r="W85" s="775"/>
      <c r="X85" s="21"/>
      <c r="Y85" s="21"/>
      <c r="Z85" s="21"/>
    </row>
    <row r="86" spans="15:26" x14ac:dyDescent="0.45">
      <c r="O86" s="21"/>
      <c r="P86" s="752"/>
      <c r="Q86" s="21"/>
      <c r="R86" s="775"/>
      <c r="S86" s="775"/>
      <c r="T86" s="775"/>
      <c r="U86" s="775"/>
      <c r="V86" s="775"/>
      <c r="W86" s="775"/>
      <c r="X86" s="21"/>
      <c r="Y86" s="21"/>
      <c r="Z86" s="21"/>
    </row>
    <row r="87" spans="15:26" x14ac:dyDescent="0.45">
      <c r="O87" s="21"/>
      <c r="P87" s="752"/>
      <c r="Q87" s="21"/>
      <c r="R87" s="775"/>
      <c r="S87" s="775"/>
      <c r="T87" s="775"/>
      <c r="U87" s="775"/>
      <c r="V87" s="775"/>
      <c r="W87" s="775"/>
      <c r="X87" s="21"/>
      <c r="Y87" s="21"/>
      <c r="Z87" s="21"/>
    </row>
    <row r="88" spans="15:26" x14ac:dyDescent="0.45">
      <c r="O88" s="21"/>
      <c r="P88" s="752"/>
      <c r="Q88" s="21"/>
      <c r="R88" s="775"/>
      <c r="S88" s="775"/>
      <c r="T88" s="775"/>
      <c r="U88" s="775"/>
      <c r="V88" s="775"/>
      <c r="W88" s="775"/>
      <c r="X88" s="21"/>
      <c r="Y88" s="21"/>
      <c r="Z88" s="21"/>
    </row>
    <row r="89" spans="15:26" x14ac:dyDescent="0.45">
      <c r="O89" s="21"/>
      <c r="P89" s="773"/>
      <c r="Q89" s="21"/>
      <c r="R89" s="776"/>
      <c r="S89" s="776"/>
      <c r="T89" s="775"/>
      <c r="U89" s="775"/>
      <c r="V89" s="775"/>
      <c r="W89" s="775"/>
      <c r="X89" s="21"/>
      <c r="Y89" s="21"/>
      <c r="Z89" s="21"/>
    </row>
    <row r="90" spans="15:26" x14ac:dyDescent="0.45">
      <c r="O90" s="21"/>
      <c r="P90" s="752"/>
      <c r="Q90" s="21"/>
      <c r="R90" s="775"/>
      <c r="S90" s="775"/>
      <c r="T90" s="775"/>
      <c r="U90" s="775"/>
      <c r="V90" s="775"/>
      <c r="W90" s="775"/>
      <c r="X90" s="21"/>
      <c r="Y90" s="21"/>
      <c r="Z90" s="21"/>
    </row>
    <row r="91" spans="15:26" x14ac:dyDescent="0.45">
      <c r="O91" s="21"/>
      <c r="P91" s="752"/>
      <c r="Q91" s="21"/>
      <c r="R91" s="775"/>
      <c r="S91" s="775"/>
      <c r="T91" s="775"/>
      <c r="U91" s="775"/>
      <c r="V91" s="775"/>
      <c r="W91" s="775"/>
      <c r="X91" s="21"/>
      <c r="Y91" s="21"/>
      <c r="Z91" s="21"/>
    </row>
    <row r="92" spans="15:26" x14ac:dyDescent="0.45">
      <c r="O92" s="21"/>
      <c r="P92" s="773"/>
      <c r="Q92" s="21"/>
      <c r="R92" s="776"/>
      <c r="S92" s="776"/>
      <c r="T92" s="775"/>
      <c r="U92" s="775"/>
      <c r="V92" s="775"/>
      <c r="W92" s="775"/>
      <c r="X92" s="21"/>
      <c r="Y92" s="21"/>
      <c r="Z92" s="21"/>
    </row>
    <row r="93" spans="15:26" x14ac:dyDescent="0.45">
      <c r="O93" s="21"/>
      <c r="P93" s="777"/>
      <c r="Q93" s="21"/>
      <c r="R93" s="778"/>
      <c r="S93" s="778"/>
      <c r="T93" s="778"/>
      <c r="U93" s="778"/>
      <c r="V93" s="778"/>
      <c r="W93" s="778"/>
      <c r="X93" s="21"/>
      <c r="Y93" s="21"/>
      <c r="Z93" s="21"/>
    </row>
    <row r="94" spans="15:26" x14ac:dyDescent="0.45">
      <c r="O94" s="21"/>
      <c r="P94" s="752"/>
      <c r="Q94" s="21"/>
      <c r="R94" s="775"/>
      <c r="S94" s="775"/>
      <c r="T94" s="775"/>
      <c r="U94" s="775"/>
      <c r="V94" s="775"/>
      <c r="W94" s="775"/>
      <c r="X94" s="21"/>
      <c r="Y94" s="21"/>
      <c r="Z94" s="21"/>
    </row>
    <row r="95" spans="15:26" x14ac:dyDescent="0.45">
      <c r="O95" s="21"/>
      <c r="P95" s="21"/>
      <c r="Q95" s="21"/>
      <c r="R95" s="21"/>
      <c r="S95" s="21"/>
      <c r="T95" s="21"/>
      <c r="U95" s="21"/>
      <c r="V95" s="21"/>
      <c r="W95" s="21"/>
      <c r="X95" s="21"/>
      <c r="Y95" s="21"/>
      <c r="Z95" s="21"/>
    </row>
    <row r="96" spans="15:26" x14ac:dyDescent="0.45">
      <c r="O96" s="21"/>
      <c r="P96" s="21"/>
      <c r="Q96" s="11"/>
      <c r="R96" s="779"/>
      <c r="S96" s="779"/>
      <c r="T96" s="779"/>
      <c r="U96" s="779"/>
      <c r="V96" s="779"/>
      <c r="W96" s="779"/>
      <c r="X96" s="779"/>
      <c r="Y96" s="785"/>
      <c r="Z96" s="21"/>
    </row>
    <row r="97" spans="15:26" x14ac:dyDescent="0.45">
      <c r="O97" s="21"/>
      <c r="P97" s="21"/>
      <c r="Q97" s="21"/>
      <c r="R97" s="779"/>
      <c r="S97" s="779"/>
      <c r="T97" s="779"/>
      <c r="U97" s="779"/>
      <c r="V97" s="779"/>
      <c r="W97" s="779"/>
      <c r="X97" s="779"/>
      <c r="Y97" s="785"/>
      <c r="Z97" s="21"/>
    </row>
    <row r="98" spans="15:26" x14ac:dyDescent="0.45">
      <c r="O98" s="21"/>
      <c r="P98" s="21"/>
      <c r="Q98" s="21"/>
      <c r="R98" s="780"/>
      <c r="S98" s="780"/>
      <c r="T98" s="780"/>
      <c r="U98" s="780"/>
      <c r="V98" s="780"/>
      <c r="W98" s="780"/>
      <c r="X98" s="780"/>
      <c r="Y98" s="785"/>
      <c r="Z98" s="21"/>
    </row>
    <row r="99" spans="15:26" x14ac:dyDescent="0.45">
      <c r="O99" s="21"/>
      <c r="P99" s="21"/>
      <c r="Q99" s="21"/>
      <c r="R99" s="779"/>
      <c r="S99" s="779"/>
      <c r="T99" s="779"/>
      <c r="U99" s="779"/>
      <c r="V99" s="779"/>
      <c r="W99" s="779"/>
      <c r="X99" s="779"/>
      <c r="Y99" s="786"/>
      <c r="Z99" s="21"/>
    </row>
    <row r="100" spans="15:26" x14ac:dyDescent="0.45">
      <c r="O100" s="21"/>
      <c r="P100" s="21"/>
      <c r="Q100" s="21"/>
      <c r="R100" s="21"/>
      <c r="S100" s="21"/>
      <c r="T100" s="21"/>
      <c r="U100" s="21"/>
      <c r="V100" s="21"/>
      <c r="W100" s="21"/>
      <c r="X100" s="21"/>
      <c r="Y100" s="21"/>
      <c r="Z100" s="21"/>
    </row>
    <row r="101" spans="15:26" x14ac:dyDescent="0.45">
      <c r="O101" s="21"/>
      <c r="P101" s="21"/>
      <c r="Q101" s="21"/>
      <c r="R101" s="781"/>
      <c r="S101" s="781"/>
      <c r="T101" s="781"/>
      <c r="U101" s="781"/>
      <c r="V101" s="781"/>
      <c r="W101" s="781"/>
      <c r="X101" s="781"/>
      <c r="Y101" s="21"/>
      <c r="Z101" s="21"/>
    </row>
    <row r="102" spans="15:26" x14ac:dyDescent="0.45">
      <c r="O102" s="21"/>
      <c r="P102" s="21"/>
      <c r="Q102" s="21"/>
      <c r="R102" s="779"/>
      <c r="S102" s="779"/>
      <c r="T102" s="779"/>
      <c r="U102" s="779"/>
      <c r="V102" s="779"/>
      <c r="W102" s="779"/>
      <c r="X102" s="21"/>
      <c r="Y102" s="21"/>
      <c r="Z102" s="21"/>
    </row>
    <row r="103" spans="15:26" x14ac:dyDescent="0.45">
      <c r="O103" s="21"/>
      <c r="P103" s="21"/>
      <c r="Q103" s="21"/>
      <c r="R103" s="21"/>
      <c r="S103" s="21"/>
      <c r="T103" s="21"/>
      <c r="U103" s="21"/>
      <c r="V103" s="21"/>
      <c r="W103" s="21"/>
      <c r="X103" s="21"/>
      <c r="Y103" s="21"/>
      <c r="Z103" s="21"/>
    </row>
    <row r="104" spans="15:26" x14ac:dyDescent="0.45">
      <c r="O104" s="21"/>
      <c r="P104" s="21"/>
      <c r="Q104" s="21"/>
      <c r="R104" s="21"/>
      <c r="S104" s="21"/>
      <c r="T104" s="21"/>
      <c r="U104" s="21"/>
      <c r="V104" s="21"/>
      <c r="W104" s="21"/>
      <c r="X104" s="21"/>
      <c r="Y104" s="21"/>
      <c r="Z104" s="21"/>
    </row>
    <row r="108" spans="15:26" x14ac:dyDescent="0.45">
      <c r="R108" s="236"/>
      <c r="S108" s="236"/>
      <c r="T108" s="236"/>
      <c r="U108" s="236"/>
      <c r="V108" s="236"/>
      <c r="W108" s="236"/>
      <c r="X108" s="236"/>
    </row>
  </sheetData>
  <mergeCells count="8">
    <mergeCell ref="K26:K28"/>
    <mergeCell ref="L26:L28"/>
    <mergeCell ref="X5:AC5"/>
    <mergeCell ref="C25:D25"/>
    <mergeCell ref="C9:D9"/>
    <mergeCell ref="F25:J25"/>
    <mergeCell ref="E9:H9"/>
    <mergeCell ref="R5:W5"/>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4A05-1294-4494-ABEF-0CFA7260B756}">
  <dimension ref="A3:U68"/>
  <sheetViews>
    <sheetView workbookViewId="0">
      <pane xSplit="1" ySplit="6" topLeftCell="B32" activePane="bottomRight" state="frozen"/>
      <selection pane="topRight" activeCell="B1" sqref="B1"/>
      <selection pane="bottomLeft" activeCell="A7" sqref="A7"/>
      <selection pane="bottomRight" activeCell="I48" sqref="I48"/>
    </sheetView>
  </sheetViews>
  <sheetFormatPr defaultRowHeight="12.75" x14ac:dyDescent="0.35"/>
  <cols>
    <col min="1" max="1" width="38.73046875" bestFit="1" customWidth="1"/>
    <col min="2" max="2" width="12.73046875" bestFit="1" customWidth="1"/>
    <col min="3" max="3" width="12.86328125" bestFit="1" customWidth="1"/>
    <col min="4" max="8" width="12.73046875" bestFit="1" customWidth="1"/>
    <col min="9" max="9" width="12.265625" customWidth="1"/>
    <col min="10" max="14" width="12.73046875" bestFit="1" customWidth="1"/>
    <col min="15" max="15" width="13.86328125" bestFit="1" customWidth="1"/>
    <col min="16" max="16" width="11.265625" customWidth="1"/>
  </cols>
  <sheetData>
    <row r="3" spans="1:21" x14ac:dyDescent="0.35">
      <c r="J3" s="659" t="s">
        <v>505</v>
      </c>
    </row>
    <row r="4" spans="1:21" ht="13.15" thickBot="1" x14ac:dyDescent="0.4"/>
    <row r="5" spans="1:21" ht="13.15" x14ac:dyDescent="0.4">
      <c r="B5" s="1044" t="s">
        <v>300</v>
      </c>
      <c r="C5" s="1042"/>
      <c r="D5" s="1042"/>
      <c r="E5" s="1042"/>
      <c r="F5" s="1043"/>
      <c r="G5" s="1042" t="s">
        <v>178</v>
      </c>
      <c r="H5" s="1042"/>
      <c r="I5" s="1042"/>
      <c r="J5" s="1042"/>
      <c r="K5" s="1043"/>
      <c r="L5" s="1042" t="s">
        <v>502</v>
      </c>
      <c r="M5" s="1042"/>
      <c r="N5" s="1042"/>
      <c r="O5" s="1042"/>
      <c r="P5" s="1043"/>
      <c r="Q5" s="1042" t="s">
        <v>501</v>
      </c>
      <c r="R5" s="1042"/>
      <c r="S5" s="1042"/>
      <c r="T5" s="1042"/>
      <c r="U5" s="1043"/>
    </row>
    <row r="6" spans="1:21" ht="13.15" x14ac:dyDescent="0.4">
      <c r="B6" s="652" t="s">
        <v>287</v>
      </c>
      <c r="C6" s="650" t="s">
        <v>288</v>
      </c>
      <c r="D6" s="650" t="s">
        <v>289</v>
      </c>
      <c r="E6" s="650" t="s">
        <v>290</v>
      </c>
      <c r="F6" s="660" t="s">
        <v>500</v>
      </c>
      <c r="G6" s="650" t="s">
        <v>287</v>
      </c>
      <c r="H6" s="650" t="s">
        <v>288</v>
      </c>
      <c r="I6" s="650" t="s">
        <v>289</v>
      </c>
      <c r="J6" s="650" t="s">
        <v>290</v>
      </c>
      <c r="K6" s="660" t="s">
        <v>500</v>
      </c>
      <c r="L6" s="650" t="s">
        <v>287</v>
      </c>
      <c r="M6" s="650" t="s">
        <v>288</v>
      </c>
      <c r="N6" s="650" t="s">
        <v>289</v>
      </c>
      <c r="O6" s="650" t="s">
        <v>290</v>
      </c>
      <c r="P6" s="660" t="s">
        <v>500</v>
      </c>
      <c r="Q6" s="650" t="s">
        <v>287</v>
      </c>
      <c r="R6" s="650" t="s">
        <v>288</v>
      </c>
      <c r="S6" s="650" t="s">
        <v>289</v>
      </c>
      <c r="T6" s="650" t="s">
        <v>290</v>
      </c>
      <c r="U6" s="664" t="s">
        <v>500</v>
      </c>
    </row>
    <row r="7" spans="1:21" ht="14.25" x14ac:dyDescent="0.45">
      <c r="A7" s="1" t="s">
        <v>241</v>
      </c>
      <c r="B7" s="653">
        <f>C28</f>
        <v>15851.696410600056</v>
      </c>
      <c r="C7" s="617">
        <f t="shared" ref="C7:D7" si="0">D28</f>
        <v>14767.34793985193</v>
      </c>
      <c r="D7" s="617">
        <f t="shared" si="0"/>
        <v>13587.569318960313</v>
      </c>
      <c r="E7" s="617">
        <f t="shared" ref="E7" si="1">F28</f>
        <v>12209.445680123399</v>
      </c>
      <c r="F7" s="661">
        <f>SUM(B7:E7)</f>
        <v>56416.059349535695</v>
      </c>
      <c r="G7" s="617">
        <f>'EEC Collection True-Up'!R7</f>
        <v>16030.436387500002</v>
      </c>
      <c r="H7" s="617">
        <f>'EEC Collection True-Up'!S7</f>
        <v>14020.04629</v>
      </c>
      <c r="I7" s="617">
        <v>13200.7</v>
      </c>
      <c r="J7" s="617">
        <f>'EEC Collection True-Up'!U7</f>
        <v>12043.23841</v>
      </c>
      <c r="K7" s="661">
        <f>SUM(G7:J7)</f>
        <v>55294.421087500006</v>
      </c>
      <c r="L7" s="617">
        <f>G7-B7</f>
        <v>178.73997689994576</v>
      </c>
      <c r="M7" s="617">
        <f>H7-C7</f>
        <v>-747.30164985193005</v>
      </c>
      <c r="N7" s="617">
        <f>I7-D7</f>
        <v>-386.86931896031274</v>
      </c>
      <c r="O7" s="617">
        <f>J7-E7</f>
        <v>-166.20727012339921</v>
      </c>
      <c r="P7" s="661">
        <f>K7-F7</f>
        <v>-1121.638262035689</v>
      </c>
      <c r="Q7" s="648">
        <f t="shared" ref="Q7:Q23" si="2">G7/B7-1</f>
        <v>1.1275763317068144E-2</v>
      </c>
      <c r="R7" s="648">
        <f t="shared" ref="R7:R23" si="3">H7/C7-1</f>
        <v>-5.0605000498107233E-2</v>
      </c>
      <c r="S7" s="648">
        <f t="shared" ref="S7:S23" si="4">I7/D7-1</f>
        <v>-2.8472297721452544E-2</v>
      </c>
      <c r="T7" s="648">
        <f t="shared" ref="T7:T23" si="5">J7/E7-1</f>
        <v>-1.3613007050269244E-2</v>
      </c>
      <c r="U7" s="665">
        <f t="shared" ref="U7:U23" si="6">K7/F7-1</f>
        <v>-1.9881542152499154E-2</v>
      </c>
    </row>
    <row r="8" spans="1:21" ht="14.25" x14ac:dyDescent="0.45">
      <c r="A8" s="1" t="s">
        <v>243</v>
      </c>
      <c r="B8" s="653">
        <f t="shared" ref="B8:D8" si="7">C29</f>
        <v>27731.814513757672</v>
      </c>
      <c r="C8" s="617">
        <f t="shared" si="7"/>
        <v>25111.227743640764</v>
      </c>
      <c r="D8" s="617">
        <f t="shared" si="7"/>
        <v>24426.376077905108</v>
      </c>
      <c r="E8" s="617">
        <f t="shared" ref="E8" si="8">F29</f>
        <v>26886.041418368284</v>
      </c>
      <c r="F8" s="661">
        <f t="shared" ref="F8:F22" si="9">SUM(B8:E8)</f>
        <v>104155.45975367184</v>
      </c>
      <c r="G8" s="617">
        <f>'EEC Collection True-Up'!R8</f>
        <v>26166.179110000001</v>
      </c>
      <c r="H8" s="617">
        <f>'EEC Collection True-Up'!S8</f>
        <v>23132.773514999997</v>
      </c>
      <c r="I8" s="617">
        <v>24254.87</v>
      </c>
      <c r="J8" s="617">
        <f>'EEC Collection True-Up'!U8</f>
        <v>25837.116927499999</v>
      </c>
      <c r="K8" s="661">
        <f t="shared" ref="K8:K22" si="10">SUM(G8:J8)</f>
        <v>99390.9395525</v>
      </c>
      <c r="L8" s="617">
        <f t="shared" ref="L8:L22" si="11">G8-B8</f>
        <v>-1565.6354037576712</v>
      </c>
      <c r="M8" s="617">
        <f t="shared" ref="M8:M22" si="12">H8-C8</f>
        <v>-1978.4542286407668</v>
      </c>
      <c r="N8" s="617">
        <f t="shared" ref="N8:N22" si="13">I8-D8</f>
        <v>-171.50607790510912</v>
      </c>
      <c r="O8" s="617">
        <f t="shared" ref="O8:P23" si="14">J8-E8</f>
        <v>-1048.9244908682849</v>
      </c>
      <c r="P8" s="661">
        <f t="shared" si="14"/>
        <v>-4764.5202011718357</v>
      </c>
      <c r="Q8" s="648">
        <f t="shared" si="2"/>
        <v>-5.645629149080611E-2</v>
      </c>
      <c r="R8" s="648">
        <f t="shared" si="3"/>
        <v>-7.8787634313969179E-2</v>
      </c>
      <c r="S8" s="648">
        <f t="shared" si="4"/>
        <v>-7.0213476349545445E-3</v>
      </c>
      <c r="T8" s="648">
        <f t="shared" si="5"/>
        <v>-3.9013719965173776E-2</v>
      </c>
      <c r="U8" s="665">
        <f t="shared" si="6"/>
        <v>-4.574431539585111E-2</v>
      </c>
    </row>
    <row r="9" spans="1:21" ht="14.25" x14ac:dyDescent="0.45">
      <c r="A9" s="1" t="s">
        <v>245</v>
      </c>
      <c r="B9" s="653">
        <f t="shared" ref="B9:D9" si="15">C30</f>
        <v>3694841.1635130881</v>
      </c>
      <c r="C9" s="617">
        <f t="shared" si="15"/>
        <v>3267700.489419349</v>
      </c>
      <c r="D9" s="617">
        <f t="shared" si="15"/>
        <v>3047893.0435888362</v>
      </c>
      <c r="E9" s="617">
        <f t="shared" ref="E9" si="16">F30</f>
        <v>2713288.7406739453</v>
      </c>
      <c r="F9" s="661">
        <f t="shared" si="9"/>
        <v>12723723.437195219</v>
      </c>
      <c r="G9" s="617">
        <f>'EEC Collection True-Up'!R9</f>
        <v>3306619.8173825</v>
      </c>
      <c r="H9" s="617">
        <f>'EEC Collection True-Up'!S9</f>
        <v>3073265.3909524996</v>
      </c>
      <c r="I9" s="617">
        <v>2854568.85</v>
      </c>
      <c r="J9" s="617">
        <f>'EEC Collection True-Up'!U9</f>
        <v>2631865.3462649998</v>
      </c>
      <c r="K9" s="661">
        <f t="shared" si="10"/>
        <v>11866319.404599998</v>
      </c>
      <c r="L9" s="617">
        <f t="shared" si="11"/>
        <v>-388221.34613058809</v>
      </c>
      <c r="M9" s="617">
        <f t="shared" si="12"/>
        <v>-194435.09846684942</v>
      </c>
      <c r="N9" s="617">
        <f t="shared" si="13"/>
        <v>-193324.19358883612</v>
      </c>
      <c r="O9" s="617">
        <f t="shared" si="14"/>
        <v>-81423.39440894546</v>
      </c>
      <c r="P9" s="661">
        <f t="shared" si="14"/>
        <v>-857404.03259522095</v>
      </c>
      <c r="Q9" s="648">
        <f t="shared" si="2"/>
        <v>-0.10507118681157701</v>
      </c>
      <c r="R9" s="648">
        <f t="shared" si="3"/>
        <v>-5.9502117497126972E-2</v>
      </c>
      <c r="S9" s="648">
        <f t="shared" si="4"/>
        <v>-6.3428798459804425E-2</v>
      </c>
      <c r="T9" s="648">
        <f t="shared" si="5"/>
        <v>-3.000911520707561E-2</v>
      </c>
      <c r="U9" s="665">
        <f t="shared" si="6"/>
        <v>-6.7386251896105698E-2</v>
      </c>
    </row>
    <row r="10" spans="1:21" ht="14.25" x14ac:dyDescent="0.45">
      <c r="A10" s="1" t="s">
        <v>247</v>
      </c>
      <c r="B10" s="653">
        <f t="shared" ref="B10:D10" si="17">C31</f>
        <v>37556.442030001032</v>
      </c>
      <c r="C10" s="617">
        <f t="shared" si="17"/>
        <v>39563.281952136254</v>
      </c>
      <c r="D10" s="617">
        <f t="shared" si="17"/>
        <v>32914.981492139559</v>
      </c>
      <c r="E10" s="617">
        <f t="shared" ref="E10" si="18">F31</f>
        <v>37969.037090915546</v>
      </c>
      <c r="F10" s="661">
        <f t="shared" si="9"/>
        <v>148003.7425651924</v>
      </c>
      <c r="G10" s="617">
        <f>'EEC Collection True-Up'!R10</f>
        <v>37307.161419999997</v>
      </c>
      <c r="H10" s="617">
        <f>'EEC Collection True-Up'!S10</f>
        <v>34072.648522500007</v>
      </c>
      <c r="I10" s="617">
        <v>32350.940000000002</v>
      </c>
      <c r="J10" s="617">
        <f>'EEC Collection True-Up'!U10</f>
        <v>38787.6987525</v>
      </c>
      <c r="K10" s="661">
        <f t="shared" si="10"/>
        <v>142518.448695</v>
      </c>
      <c r="L10" s="617">
        <f t="shared" si="11"/>
        <v>-249.2806100010348</v>
      </c>
      <c r="M10" s="617">
        <f t="shared" si="12"/>
        <v>-5490.6334296362475</v>
      </c>
      <c r="N10" s="617">
        <f t="shared" si="13"/>
        <v>-564.04149213955679</v>
      </c>
      <c r="O10" s="617">
        <f t="shared" si="14"/>
        <v>818.66166158445412</v>
      </c>
      <c r="P10" s="661">
        <f t="shared" si="14"/>
        <v>-5485.2938701923995</v>
      </c>
      <c r="Q10" s="648">
        <f t="shared" si="2"/>
        <v>-6.6374927050305566E-3</v>
      </c>
      <c r="R10" s="648">
        <f t="shared" si="3"/>
        <v>-0.13878104036664163</v>
      </c>
      <c r="S10" s="648">
        <f t="shared" si="4"/>
        <v>-1.7136315032540872E-2</v>
      </c>
      <c r="T10" s="648">
        <f t="shared" si="5"/>
        <v>2.1561296369570826E-2</v>
      </c>
      <c r="U10" s="665">
        <f t="shared" si="6"/>
        <v>-3.7061859214649551E-2</v>
      </c>
    </row>
    <row r="11" spans="1:21" ht="14.25" x14ac:dyDescent="0.45">
      <c r="A11" s="1" t="s">
        <v>249</v>
      </c>
      <c r="B11" s="653">
        <f t="shared" ref="B11:D11" si="19">C32</f>
        <v>15863.859076794815</v>
      </c>
      <c r="C11" s="617">
        <f t="shared" si="19"/>
        <v>12187.927116855748</v>
      </c>
      <c r="D11" s="617">
        <f t="shared" si="19"/>
        <v>11518.044886436715</v>
      </c>
      <c r="E11" s="617">
        <f t="shared" ref="E11" si="20">F32</f>
        <v>11963.385587106353</v>
      </c>
      <c r="F11" s="661">
        <f t="shared" si="9"/>
        <v>51533.216667193628</v>
      </c>
      <c r="G11" s="617">
        <f>'EEC Collection True-Up'!R11</f>
        <v>14075.363417499999</v>
      </c>
      <c r="H11" s="617">
        <f>'EEC Collection True-Up'!S11</f>
        <v>12471.137027500001</v>
      </c>
      <c r="I11" s="617">
        <v>22010.27</v>
      </c>
      <c r="J11" s="658">
        <v>11963.385587106353</v>
      </c>
      <c r="K11" s="661">
        <f t="shared" si="10"/>
        <v>60520.156032106359</v>
      </c>
      <c r="L11" s="617">
        <f t="shared" si="11"/>
        <v>-1788.4956592948165</v>
      </c>
      <c r="M11" s="617">
        <f t="shared" si="12"/>
        <v>283.20991064425289</v>
      </c>
      <c r="N11" s="617">
        <f t="shared" si="13"/>
        <v>10492.225113563285</v>
      </c>
      <c r="O11" s="617">
        <f t="shared" si="14"/>
        <v>0</v>
      </c>
      <c r="P11" s="661">
        <f t="shared" si="14"/>
        <v>8986.9393649127305</v>
      </c>
      <c r="Q11" s="648">
        <f t="shared" si="2"/>
        <v>-0.11274026393180558</v>
      </c>
      <c r="R11" s="648">
        <f t="shared" si="3"/>
        <v>2.3236921908777797E-2</v>
      </c>
      <c r="S11" s="648">
        <f t="shared" si="4"/>
        <v>0.91093802958856296</v>
      </c>
      <c r="T11" s="648">
        <f t="shared" si="5"/>
        <v>0</v>
      </c>
      <c r="U11" s="665">
        <f t="shared" si="6"/>
        <v>0.17439119748629772</v>
      </c>
    </row>
    <row r="12" spans="1:21" ht="14.25" x14ac:dyDescent="0.45">
      <c r="A12" s="1" t="s">
        <v>251</v>
      </c>
      <c r="B12" s="653">
        <f t="shared" ref="B12:D12" si="21">C33</f>
        <v>5718.3242909512801</v>
      </c>
      <c r="C12" s="617">
        <f t="shared" si="21"/>
        <v>6608.0701025832614</v>
      </c>
      <c r="D12" s="617">
        <f t="shared" si="21"/>
        <v>5329.1189727189931</v>
      </c>
      <c r="E12" s="617">
        <f t="shared" ref="E12" si="22">F33</f>
        <v>5356.2510742303803</v>
      </c>
      <c r="F12" s="661">
        <f t="shared" si="9"/>
        <v>23011.764440483916</v>
      </c>
      <c r="G12" s="617">
        <f>'EEC Collection True-Up'!R12</f>
        <v>5207.341982500001</v>
      </c>
      <c r="H12" s="617">
        <f>'EEC Collection True-Up'!S12</f>
        <v>6190.9753275000003</v>
      </c>
      <c r="I12" s="617">
        <v>4742.9400000000005</v>
      </c>
      <c r="J12" s="617">
        <f>'EEC Collection True-Up'!U12</f>
        <v>4745.9502250000005</v>
      </c>
      <c r="K12" s="661">
        <f t="shared" si="10"/>
        <v>20887.207535000001</v>
      </c>
      <c r="L12" s="617">
        <f t="shared" si="11"/>
        <v>-510.9823084512791</v>
      </c>
      <c r="M12" s="617">
        <f t="shared" si="12"/>
        <v>-417.09477508326108</v>
      </c>
      <c r="N12" s="617">
        <f t="shared" si="13"/>
        <v>-586.17897271899255</v>
      </c>
      <c r="O12" s="617">
        <f t="shared" si="14"/>
        <v>-610.30084923037975</v>
      </c>
      <c r="P12" s="661">
        <f t="shared" si="14"/>
        <v>-2124.5569054839143</v>
      </c>
      <c r="Q12" s="648">
        <f t="shared" si="2"/>
        <v>-8.9358749600798482E-2</v>
      </c>
      <c r="R12" s="648">
        <f t="shared" si="3"/>
        <v>-6.3118999739456227E-2</v>
      </c>
      <c r="S12" s="648">
        <f t="shared" si="4"/>
        <v>-0.1099954749968578</v>
      </c>
      <c r="T12" s="648">
        <f t="shared" si="5"/>
        <v>-0.11394179264049376</v>
      </c>
      <c r="U12" s="665">
        <f t="shared" si="6"/>
        <v>-9.2324815464660537E-2</v>
      </c>
    </row>
    <row r="13" spans="1:21" ht="14.25" x14ac:dyDescent="0.45">
      <c r="A13" s="1" t="s">
        <v>253</v>
      </c>
      <c r="B13" s="653">
        <f t="shared" ref="B13:D13" si="23">C34</f>
        <v>14080.625094701696</v>
      </c>
      <c r="C13" s="617">
        <f t="shared" si="23"/>
        <v>13172.167488923933</v>
      </c>
      <c r="D13" s="617">
        <f t="shared" si="23"/>
        <v>12390.014493630202</v>
      </c>
      <c r="E13" s="617">
        <f t="shared" ref="E13" si="24">F34</f>
        <v>11901.636666425267</v>
      </c>
      <c r="F13" s="661">
        <f t="shared" si="9"/>
        <v>51544.443743681099</v>
      </c>
      <c r="G13" s="617">
        <f>'EEC Collection True-Up'!R13</f>
        <v>11969.1358275</v>
      </c>
      <c r="H13" s="617">
        <f>'EEC Collection True-Up'!S13</f>
        <v>12957.856487499999</v>
      </c>
      <c r="I13" s="617">
        <v>12096.46</v>
      </c>
      <c r="J13" s="617">
        <f>'EEC Collection True-Up'!U13</f>
        <v>10137.969659999999</v>
      </c>
      <c r="K13" s="661">
        <f t="shared" si="10"/>
        <v>47161.421975000005</v>
      </c>
      <c r="L13" s="617">
        <f t="shared" si="11"/>
        <v>-2111.4892672016958</v>
      </c>
      <c r="M13" s="617">
        <f t="shared" si="12"/>
        <v>-214.3110014239337</v>
      </c>
      <c r="N13" s="617">
        <f t="shared" si="13"/>
        <v>-293.55449363020307</v>
      </c>
      <c r="O13" s="617">
        <f t="shared" si="14"/>
        <v>-1763.6670064252685</v>
      </c>
      <c r="P13" s="661">
        <f t="shared" si="14"/>
        <v>-4383.0217686810938</v>
      </c>
      <c r="Q13" s="648">
        <f t="shared" si="2"/>
        <v>-0.14995706888014604</v>
      </c>
      <c r="R13" s="648">
        <f t="shared" si="3"/>
        <v>-1.6269987578288903E-2</v>
      </c>
      <c r="S13" s="648">
        <f t="shared" si="4"/>
        <v>-2.3692828913244757E-2</v>
      </c>
      <c r="T13" s="648">
        <f t="shared" si="5"/>
        <v>-0.14818693057574217</v>
      </c>
      <c r="U13" s="665">
        <f t="shared" si="6"/>
        <v>-8.5033835857786566E-2</v>
      </c>
    </row>
    <row r="14" spans="1:21" ht="14.25" x14ac:dyDescent="0.45">
      <c r="A14" s="1" t="s">
        <v>255</v>
      </c>
      <c r="B14" s="653">
        <f t="shared" ref="B14:D14" si="25">C35</f>
        <v>77061.717420285349</v>
      </c>
      <c r="C14" s="617">
        <f t="shared" si="25"/>
        <v>61627.294019136258</v>
      </c>
      <c r="D14" s="617">
        <f t="shared" si="25"/>
        <v>55120.267604940222</v>
      </c>
      <c r="E14" s="617">
        <f t="shared" ref="E14" si="26">F35</f>
        <v>42234.390566446775</v>
      </c>
      <c r="F14" s="661">
        <f t="shared" si="9"/>
        <v>236043.6696108086</v>
      </c>
      <c r="G14" s="617">
        <f>'EEC Collection True-Up'!R14</f>
        <v>73583.191392499997</v>
      </c>
      <c r="H14" s="617">
        <f>'EEC Collection True-Up'!S14</f>
        <v>64236.873270000004</v>
      </c>
      <c r="I14" s="617">
        <v>49515.62</v>
      </c>
      <c r="J14" s="617">
        <f>'EEC Collection True-Up'!U14</f>
        <v>34052.338852499997</v>
      </c>
      <c r="K14" s="661">
        <f t="shared" si="10"/>
        <v>221388.02351499998</v>
      </c>
      <c r="L14" s="617">
        <f t="shared" si="11"/>
        <v>-3478.5260277853522</v>
      </c>
      <c r="M14" s="617">
        <f t="shared" si="12"/>
        <v>2609.579250863746</v>
      </c>
      <c r="N14" s="617">
        <f t="shared" si="13"/>
        <v>-5604.647604940219</v>
      </c>
      <c r="O14" s="617">
        <f t="shared" si="14"/>
        <v>-8182.0517139467775</v>
      </c>
      <c r="P14" s="661">
        <f t="shared" si="14"/>
        <v>-14655.646095808625</v>
      </c>
      <c r="Q14" s="648">
        <f t="shared" si="2"/>
        <v>-4.5139482277742227E-2</v>
      </c>
      <c r="R14" s="648">
        <f t="shared" si="3"/>
        <v>4.2344537309287444E-2</v>
      </c>
      <c r="S14" s="648">
        <f t="shared" si="4"/>
        <v>-0.10168034097929335</v>
      </c>
      <c r="T14" s="648">
        <f t="shared" si="5"/>
        <v>-0.19372960291859953</v>
      </c>
      <c r="U14" s="665">
        <f t="shared" si="6"/>
        <v>-6.2088706382056436E-2</v>
      </c>
    </row>
    <row r="15" spans="1:21" ht="14.25" x14ac:dyDescent="0.45">
      <c r="A15" s="1" t="s">
        <v>257</v>
      </c>
      <c r="B15" s="653">
        <f t="shared" ref="B15:D15" si="27">C36</f>
        <v>68923.022556577038</v>
      </c>
      <c r="C15" s="617">
        <f t="shared" si="27"/>
        <v>60614.05036614211</v>
      </c>
      <c r="D15" s="617">
        <f t="shared" si="27"/>
        <v>57059.745068150631</v>
      </c>
      <c r="E15" s="617">
        <f t="shared" ref="E15" si="28">F36</f>
        <v>52006.62505908194</v>
      </c>
      <c r="F15" s="661">
        <f t="shared" si="9"/>
        <v>238603.44304995172</v>
      </c>
      <c r="G15" s="617">
        <f>'EEC Collection True-Up'!R15</f>
        <v>63084.725090000007</v>
      </c>
      <c r="H15" s="617">
        <f>'EEC Collection True-Up'!S15</f>
        <v>56193.214610000003</v>
      </c>
      <c r="I15" s="617">
        <v>52472.130000000005</v>
      </c>
      <c r="J15" s="617">
        <f>'EEC Collection True-Up'!U15</f>
        <v>47976.151750000005</v>
      </c>
      <c r="K15" s="661">
        <f t="shared" si="10"/>
        <v>219726.22145000001</v>
      </c>
      <c r="L15" s="617">
        <f t="shared" si="11"/>
        <v>-5838.2974665770307</v>
      </c>
      <c r="M15" s="617">
        <f t="shared" si="12"/>
        <v>-4420.8357561421071</v>
      </c>
      <c r="N15" s="617">
        <f t="shared" si="13"/>
        <v>-4587.615068150626</v>
      </c>
      <c r="O15" s="617">
        <f t="shared" si="14"/>
        <v>-4030.4733090819354</v>
      </c>
      <c r="P15" s="661">
        <f t="shared" si="14"/>
        <v>-18877.221599951707</v>
      </c>
      <c r="Q15" s="648">
        <f t="shared" si="2"/>
        <v>-8.4707507738572163E-2</v>
      </c>
      <c r="R15" s="648">
        <f t="shared" si="3"/>
        <v>-7.2934174988106504E-2</v>
      </c>
      <c r="S15" s="648">
        <f t="shared" si="4"/>
        <v>-8.0400202676533139E-2</v>
      </c>
      <c r="T15" s="648">
        <f t="shared" si="5"/>
        <v>-7.7499228309914958E-2</v>
      </c>
      <c r="U15" s="665">
        <f t="shared" si="6"/>
        <v>-7.9115461866993031E-2</v>
      </c>
    </row>
    <row r="16" spans="1:21" ht="14.25" x14ac:dyDescent="0.45">
      <c r="A16" s="1" t="s">
        <v>259</v>
      </c>
      <c r="B16" s="653">
        <f t="shared" ref="B16:D16" si="29">C37</f>
        <v>44945.729538170723</v>
      </c>
      <c r="C16" s="617">
        <f t="shared" si="29"/>
        <v>42365.373125467253</v>
      </c>
      <c r="D16" s="617">
        <f t="shared" si="29"/>
        <v>40588.688271325162</v>
      </c>
      <c r="E16" s="617">
        <f t="shared" ref="E16" si="30">F37</f>
        <v>37848.346018675242</v>
      </c>
      <c r="F16" s="661">
        <f t="shared" si="9"/>
        <v>165748.1369536384</v>
      </c>
      <c r="G16" s="617">
        <f>'EEC Collection True-Up'!R16</f>
        <v>41503.048185000007</v>
      </c>
      <c r="H16" s="617">
        <f>'EEC Collection True-Up'!S16</f>
        <v>41100.754400000005</v>
      </c>
      <c r="I16" s="617">
        <v>39058.910000000003</v>
      </c>
      <c r="J16" s="617">
        <f>'EEC Collection True-Up'!U16</f>
        <v>36322.32058</v>
      </c>
      <c r="K16" s="661">
        <f t="shared" si="10"/>
        <v>157985.03316500003</v>
      </c>
      <c r="L16" s="617">
        <f t="shared" si="11"/>
        <v>-3442.6813531707157</v>
      </c>
      <c r="M16" s="617">
        <f t="shared" si="12"/>
        <v>-1264.6187254672477</v>
      </c>
      <c r="N16" s="617">
        <f t="shared" si="13"/>
        <v>-1529.7782713251581</v>
      </c>
      <c r="O16" s="617">
        <f t="shared" si="14"/>
        <v>-1526.0254386752422</v>
      </c>
      <c r="P16" s="661">
        <f t="shared" si="14"/>
        <v>-7763.103788638371</v>
      </c>
      <c r="Q16" s="648">
        <f t="shared" si="2"/>
        <v>-7.6596406122343086E-2</v>
      </c>
      <c r="R16" s="648">
        <f t="shared" si="3"/>
        <v>-2.9850291220662961E-2</v>
      </c>
      <c r="S16" s="648">
        <f t="shared" si="4"/>
        <v>-3.7689768664091239E-2</v>
      </c>
      <c r="T16" s="648">
        <f t="shared" si="5"/>
        <v>-4.0319474936164057E-2</v>
      </c>
      <c r="U16" s="665">
        <f t="shared" si="6"/>
        <v>-4.6836748402244721E-2</v>
      </c>
    </row>
    <row r="17" spans="1:21" ht="14.25" x14ac:dyDescent="0.45">
      <c r="A17" s="1" t="s">
        <v>261</v>
      </c>
      <c r="B17" s="653">
        <f t="shared" ref="B17:D17" si="31">C38</f>
        <v>26541.744406085876</v>
      </c>
      <c r="C17" s="617">
        <f t="shared" si="31"/>
        <v>24402.986335222882</v>
      </c>
      <c r="D17" s="617">
        <f t="shared" si="31"/>
        <v>23590.894469295898</v>
      </c>
      <c r="E17" s="617">
        <f t="shared" ref="E17" si="32">F38</f>
        <v>22908.849572682113</v>
      </c>
      <c r="F17" s="661">
        <f t="shared" si="9"/>
        <v>97444.474783286772</v>
      </c>
      <c r="G17" s="617">
        <f>'EEC Collection True-Up'!R17</f>
        <v>26645.5051375</v>
      </c>
      <c r="H17" s="617">
        <f>'EEC Collection True-Up'!S17</f>
        <v>23792.016297499998</v>
      </c>
      <c r="I17" s="617">
        <v>21869.27</v>
      </c>
      <c r="J17" s="617">
        <f>'EEC Collection True-Up'!U17</f>
        <v>19667.728047500001</v>
      </c>
      <c r="K17" s="661">
        <f t="shared" si="10"/>
        <v>91974.519482500007</v>
      </c>
      <c r="L17" s="617">
        <f t="shared" si="11"/>
        <v>103.76073141412417</v>
      </c>
      <c r="M17" s="617">
        <f t="shared" si="12"/>
        <v>-610.97003772288372</v>
      </c>
      <c r="N17" s="617">
        <f t="shared" si="13"/>
        <v>-1721.6244692958971</v>
      </c>
      <c r="O17" s="617">
        <f t="shared" si="14"/>
        <v>-3241.1215251821122</v>
      </c>
      <c r="P17" s="661">
        <f t="shared" si="14"/>
        <v>-5469.9553007867653</v>
      </c>
      <c r="Q17" s="648">
        <f t="shared" si="2"/>
        <v>3.9093410676629414E-3</v>
      </c>
      <c r="R17" s="648">
        <f t="shared" si="3"/>
        <v>-2.5036691383997556E-2</v>
      </c>
      <c r="S17" s="648">
        <f t="shared" si="4"/>
        <v>-7.2978346435173647E-2</v>
      </c>
      <c r="T17" s="648">
        <f t="shared" si="5"/>
        <v>-0.14147901730722523</v>
      </c>
      <c r="U17" s="665">
        <f t="shared" si="6"/>
        <v>-5.6134073409003005E-2</v>
      </c>
    </row>
    <row r="18" spans="1:21" ht="14.25" x14ac:dyDescent="0.45">
      <c r="A18" s="1" t="s">
        <v>263</v>
      </c>
      <c r="B18" s="653">
        <f t="shared" ref="B18:D18" si="33">C39</f>
        <v>12710.921763230381</v>
      </c>
      <c r="C18" s="617">
        <f t="shared" si="33"/>
        <v>12826.934886934236</v>
      </c>
      <c r="D18" s="617">
        <f t="shared" si="33"/>
        <v>11709.840776430992</v>
      </c>
      <c r="E18" s="617">
        <f t="shared" ref="E18" si="34">F39</f>
        <v>11275.727152248828</v>
      </c>
      <c r="F18" s="661">
        <f t="shared" si="9"/>
        <v>48523.424578844439</v>
      </c>
      <c r="G18" s="617">
        <f>'EEC Collection True-Up'!R18</f>
        <v>12405.180087499999</v>
      </c>
      <c r="H18" s="617">
        <f>'EEC Collection True-Up'!S18</f>
        <v>11673.259962499998</v>
      </c>
      <c r="I18" s="617">
        <v>11396.5</v>
      </c>
      <c r="J18" s="617">
        <f>'EEC Collection True-Up'!U18</f>
        <v>8344.1863499999999</v>
      </c>
      <c r="K18" s="661">
        <f t="shared" si="10"/>
        <v>43819.126399999994</v>
      </c>
      <c r="L18" s="617">
        <f t="shared" si="11"/>
        <v>-305.74167573038176</v>
      </c>
      <c r="M18" s="617">
        <f t="shared" si="12"/>
        <v>-1153.6749244342373</v>
      </c>
      <c r="N18" s="617">
        <f t="shared" si="13"/>
        <v>-313.34077643099226</v>
      </c>
      <c r="O18" s="617">
        <f t="shared" si="14"/>
        <v>-2931.5408022488282</v>
      </c>
      <c r="P18" s="661">
        <f t="shared" si="14"/>
        <v>-4704.2981788444449</v>
      </c>
      <c r="Q18" s="648">
        <f t="shared" si="2"/>
        <v>-2.4053462166278017E-2</v>
      </c>
      <c r="R18" s="648">
        <f t="shared" si="3"/>
        <v>-8.9941590458168852E-2</v>
      </c>
      <c r="S18" s="648">
        <f t="shared" si="4"/>
        <v>-2.6758756366838887E-2</v>
      </c>
      <c r="T18" s="648">
        <f t="shared" si="5"/>
        <v>-0.25998685163858037</v>
      </c>
      <c r="U18" s="665">
        <f t="shared" si="6"/>
        <v>-9.6949014206541673E-2</v>
      </c>
    </row>
    <row r="19" spans="1:21" ht="14.25" x14ac:dyDescent="0.45">
      <c r="A19" s="1" t="s">
        <v>265</v>
      </c>
      <c r="B19" s="653">
        <f t="shared" ref="B19:D19" si="35">C40</f>
        <v>85569.034628665584</v>
      </c>
      <c r="C19" s="617">
        <f t="shared" si="35"/>
        <v>70404.061063215777</v>
      </c>
      <c r="D19" s="617">
        <f t="shared" si="35"/>
        <v>65080.555628740505</v>
      </c>
      <c r="E19" s="617">
        <f t="shared" ref="E19" si="36">F40</f>
        <v>80610.409180033108</v>
      </c>
      <c r="F19" s="661">
        <f t="shared" si="9"/>
        <v>301664.06050065497</v>
      </c>
      <c r="G19" s="617">
        <f>'EEC Collection True-Up'!R19</f>
        <v>80432.211905000004</v>
      </c>
      <c r="H19" s="617">
        <f>'EEC Collection True-Up'!S19</f>
        <v>68266.125725000005</v>
      </c>
      <c r="I19" s="617">
        <v>56673.22</v>
      </c>
      <c r="J19" s="617">
        <f>'EEC Collection True-Up'!U19</f>
        <v>48925.223024999999</v>
      </c>
      <c r="K19" s="661">
        <f t="shared" si="10"/>
        <v>254296.78065500001</v>
      </c>
      <c r="L19" s="617">
        <f t="shared" si="11"/>
        <v>-5136.8227236655803</v>
      </c>
      <c r="M19" s="617">
        <f t="shared" si="12"/>
        <v>-2137.9353382157715</v>
      </c>
      <c r="N19" s="617">
        <f t="shared" si="13"/>
        <v>-8407.335628740504</v>
      </c>
      <c r="O19" s="617">
        <f t="shared" si="14"/>
        <v>-31685.186155033109</v>
      </c>
      <c r="P19" s="661">
        <f t="shared" si="14"/>
        <v>-47367.279845654964</v>
      </c>
      <c r="Q19" s="648">
        <f t="shared" si="2"/>
        <v>-6.0031327289799097E-2</v>
      </c>
      <c r="R19" s="648">
        <f t="shared" si="3"/>
        <v>-3.0366647973561034E-2</v>
      </c>
      <c r="S19" s="648">
        <f t="shared" si="4"/>
        <v>-0.12918352567087954</v>
      </c>
      <c r="T19" s="648">
        <f t="shared" si="5"/>
        <v>-0.39306569061407781</v>
      </c>
      <c r="U19" s="665">
        <f t="shared" si="6"/>
        <v>-0.15701996375385963</v>
      </c>
    </row>
    <row r="20" spans="1:21" ht="14.25" x14ac:dyDescent="0.45">
      <c r="A20" s="1" t="s">
        <v>267</v>
      </c>
      <c r="B20" s="653">
        <f t="shared" ref="B20:D20" si="37">C41</f>
        <v>52368.698275802832</v>
      </c>
      <c r="C20" s="617">
        <f t="shared" si="37"/>
        <v>51672.619533579717</v>
      </c>
      <c r="D20" s="617">
        <f t="shared" si="37"/>
        <v>50692.121520340683</v>
      </c>
      <c r="E20" s="617">
        <f t="shared" ref="E20" si="38">F41</f>
        <v>47675.780304040469</v>
      </c>
      <c r="F20" s="661">
        <f t="shared" si="9"/>
        <v>202409.21963376369</v>
      </c>
      <c r="G20" s="617">
        <f>'EEC Collection True-Up'!R20</f>
        <v>48680.695389999993</v>
      </c>
      <c r="H20" s="617">
        <f>'EEC Collection True-Up'!S20</f>
        <v>48759.806107499993</v>
      </c>
      <c r="I20" s="617">
        <v>47705.31</v>
      </c>
      <c r="J20" s="617">
        <f>'EEC Collection True-Up'!U20</f>
        <v>46250.235597499995</v>
      </c>
      <c r="K20" s="661">
        <f t="shared" si="10"/>
        <v>191396.04709499999</v>
      </c>
      <c r="L20" s="617">
        <f t="shared" si="11"/>
        <v>-3688.0028858028381</v>
      </c>
      <c r="M20" s="617">
        <f t="shared" si="12"/>
        <v>-2912.8134260797233</v>
      </c>
      <c r="N20" s="617">
        <f t="shared" si="13"/>
        <v>-2986.8115203406851</v>
      </c>
      <c r="O20" s="617">
        <f t="shared" si="14"/>
        <v>-1425.5447065404733</v>
      </c>
      <c r="P20" s="661">
        <f t="shared" si="14"/>
        <v>-11013.172538763698</v>
      </c>
      <c r="Q20" s="648">
        <f t="shared" si="2"/>
        <v>-7.0423802905692945E-2</v>
      </c>
      <c r="R20" s="648">
        <f t="shared" si="3"/>
        <v>-5.6370539221198501E-2</v>
      </c>
      <c r="S20" s="648">
        <f t="shared" si="4"/>
        <v>-5.8920625745407018E-2</v>
      </c>
      <c r="T20" s="648">
        <f t="shared" si="5"/>
        <v>-2.9900815412971071E-2</v>
      </c>
      <c r="U20" s="665">
        <f t="shared" si="6"/>
        <v>-5.4410429320812415E-2</v>
      </c>
    </row>
    <row r="21" spans="1:21" ht="14.25" x14ac:dyDescent="0.45">
      <c r="A21" s="1" t="s">
        <v>274</v>
      </c>
      <c r="B21" s="653">
        <f t="shared" ref="B21:D21" si="39">C42</f>
        <v>468060.56112144474</v>
      </c>
      <c r="C21" s="617">
        <f t="shared" si="39"/>
        <v>417095.2474065756</v>
      </c>
      <c r="D21" s="617">
        <f t="shared" si="39"/>
        <v>428443.01496628573</v>
      </c>
      <c r="E21" s="617">
        <f t="shared" ref="E21" si="40">F42</f>
        <v>370721.80797508167</v>
      </c>
      <c r="F21" s="661">
        <f t="shared" si="9"/>
        <v>1684320.6314693878</v>
      </c>
      <c r="G21" s="617">
        <f>'EEC Collection True-Up'!R21</f>
        <v>438569.13204500003</v>
      </c>
      <c r="H21" s="617">
        <f>'EEC Collection True-Up'!S21</f>
        <v>406875.32785250002</v>
      </c>
      <c r="I21" s="617">
        <v>408937.69999999995</v>
      </c>
      <c r="J21" s="617">
        <f>'EEC Collection True-Up'!U21</f>
        <v>353626.65908249997</v>
      </c>
      <c r="K21" s="661">
        <f t="shared" si="10"/>
        <v>1608008.81898</v>
      </c>
      <c r="L21" s="617">
        <f t="shared" si="11"/>
        <v>-29491.429076444707</v>
      </c>
      <c r="M21" s="617">
        <f t="shared" si="12"/>
        <v>-10219.919554075575</v>
      </c>
      <c r="N21" s="617">
        <f t="shared" si="13"/>
        <v>-19505.314966285776</v>
      </c>
      <c r="O21" s="617">
        <f t="shared" si="14"/>
        <v>-17095.148892581696</v>
      </c>
      <c r="P21" s="661">
        <f t="shared" si="14"/>
        <v>-76311.812489387812</v>
      </c>
      <c r="Q21" s="648">
        <f t="shared" si="2"/>
        <v>-6.3007720637229148E-2</v>
      </c>
      <c r="R21" s="648">
        <f t="shared" si="3"/>
        <v>-2.4502603704120829E-2</v>
      </c>
      <c r="S21" s="648">
        <f t="shared" si="4"/>
        <v>-4.5526042635613218E-2</v>
      </c>
      <c r="T21" s="648">
        <f t="shared" si="5"/>
        <v>-4.6113146097223279E-2</v>
      </c>
      <c r="U21" s="665">
        <f t="shared" si="6"/>
        <v>-4.53071767118437E-2</v>
      </c>
    </row>
    <row r="22" spans="1:21" s="518" customFormat="1" ht="14.25" x14ac:dyDescent="0.45">
      <c r="A22" s="67" t="s">
        <v>270</v>
      </c>
      <c r="B22" s="654">
        <f t="shared" ref="B22:D22" si="41">C43</f>
        <v>90019.634866240071</v>
      </c>
      <c r="C22" s="618">
        <f t="shared" si="41"/>
        <v>74065.023587838208</v>
      </c>
      <c r="D22" s="618">
        <f t="shared" si="41"/>
        <v>84411.710160748902</v>
      </c>
      <c r="E22" s="618">
        <f t="shared" ref="E22" si="42">F43</f>
        <v>73719.790985848522</v>
      </c>
      <c r="F22" s="662">
        <f t="shared" si="9"/>
        <v>322216.15960067569</v>
      </c>
      <c r="G22" s="618">
        <f>'EEC Collection True-Up'!R22</f>
        <v>90144.509884999992</v>
      </c>
      <c r="H22" s="618">
        <f>'EEC Collection True-Up'!S22</f>
        <v>76461.503162500012</v>
      </c>
      <c r="I22" s="618">
        <v>68917.650000000009</v>
      </c>
      <c r="J22" s="618">
        <f>'EEC Collection True-Up'!U22</f>
        <v>73183.876755000005</v>
      </c>
      <c r="K22" s="662">
        <f t="shared" si="10"/>
        <v>308707.53980250005</v>
      </c>
      <c r="L22" s="618">
        <f t="shared" si="11"/>
        <v>124.87501875992166</v>
      </c>
      <c r="M22" s="618">
        <f t="shared" si="12"/>
        <v>2396.4795746618038</v>
      </c>
      <c r="N22" s="618">
        <f t="shared" si="13"/>
        <v>-15494.060160748893</v>
      </c>
      <c r="O22" s="618">
        <f t="shared" si="14"/>
        <v>-535.91423084851704</v>
      </c>
      <c r="P22" s="662">
        <f t="shared" si="14"/>
        <v>-13508.619798175641</v>
      </c>
      <c r="Q22" s="649">
        <f t="shared" si="2"/>
        <v>1.3871975702353101E-3</v>
      </c>
      <c r="R22" s="649">
        <f t="shared" si="3"/>
        <v>3.2356427616871963E-2</v>
      </c>
      <c r="S22" s="649">
        <f t="shared" si="4"/>
        <v>-0.183553444554587</v>
      </c>
      <c r="T22" s="649">
        <f t="shared" si="5"/>
        <v>-7.2696113714075805E-3</v>
      </c>
      <c r="U22" s="666">
        <f t="shared" si="6"/>
        <v>-4.1924091625066051E-2</v>
      </c>
    </row>
    <row r="23" spans="1:21" s="244" customFormat="1" ht="14.65" thickBot="1" x14ac:dyDescent="0.5">
      <c r="A23" s="10" t="s">
        <v>10</v>
      </c>
      <c r="B23" s="655">
        <f>SUM(B7:B22)</f>
        <v>4737844.9895063974</v>
      </c>
      <c r="C23" s="656">
        <f t="shared" ref="C23" si="43">SUM(C7:C22)</f>
        <v>4194184.1020874535</v>
      </c>
      <c r="D23" s="656">
        <f t="shared" ref="D23:N23" si="44">SUM(D7:D22)</f>
        <v>3964755.9872968863</v>
      </c>
      <c r="E23" s="656">
        <f t="shared" si="44"/>
        <v>3558576.2650052533</v>
      </c>
      <c r="F23" s="663">
        <f t="shared" si="44"/>
        <v>16455361.343895989</v>
      </c>
      <c r="G23" s="656">
        <f t="shared" si="44"/>
        <v>4292423.6346450001</v>
      </c>
      <c r="H23" s="656">
        <f t="shared" si="44"/>
        <v>3973469.7095100004</v>
      </c>
      <c r="I23" s="656">
        <f t="shared" si="44"/>
        <v>3719771.3400000003</v>
      </c>
      <c r="J23" s="656">
        <f t="shared" si="44"/>
        <v>3403729.4258671068</v>
      </c>
      <c r="K23" s="663">
        <f t="shared" si="44"/>
        <v>15389394.110022105</v>
      </c>
      <c r="L23" s="656">
        <f t="shared" si="44"/>
        <v>-445421.35486139718</v>
      </c>
      <c r="M23" s="656">
        <f t="shared" si="44"/>
        <v>-220714.39257745328</v>
      </c>
      <c r="N23" s="656">
        <f t="shared" si="44"/>
        <v>-244984.64729688579</v>
      </c>
      <c r="O23" s="656">
        <f t="shared" si="14"/>
        <v>-154846.83913814649</v>
      </c>
      <c r="P23" s="663">
        <f t="shared" si="14"/>
        <v>-1065967.2338738833</v>
      </c>
      <c r="Q23" s="657">
        <f t="shared" si="2"/>
        <v>-9.4013492600103499E-2</v>
      </c>
      <c r="R23" s="657">
        <f t="shared" si="3"/>
        <v>-5.2623916167056972E-2</v>
      </c>
      <c r="S23" s="657">
        <f t="shared" si="4"/>
        <v>-6.1790598988139211E-2</v>
      </c>
      <c r="T23" s="657">
        <f t="shared" si="5"/>
        <v>-4.3513705371695299E-2</v>
      </c>
      <c r="U23" s="667">
        <f t="shared" si="6"/>
        <v>-6.477932702883471E-2</v>
      </c>
    </row>
    <row r="26" spans="1:21" ht="13.15" x14ac:dyDescent="0.4">
      <c r="A26" s="244" t="s">
        <v>503</v>
      </c>
    </row>
    <row r="27" spans="1:21" ht="13.15" x14ac:dyDescent="0.4">
      <c r="A27" s="539" t="s">
        <v>311</v>
      </c>
      <c r="B27" s="583" t="s">
        <v>226</v>
      </c>
      <c r="C27" s="583" t="s">
        <v>227</v>
      </c>
      <c r="D27" s="583" t="s">
        <v>228</v>
      </c>
      <c r="E27" s="583" t="s">
        <v>229</v>
      </c>
      <c r="F27" s="583" t="s">
        <v>230</v>
      </c>
      <c r="G27" s="583" t="s">
        <v>231</v>
      </c>
      <c r="H27" s="583" t="s">
        <v>232</v>
      </c>
      <c r="I27" s="583" t="s">
        <v>233</v>
      </c>
      <c r="J27" s="583" t="s">
        <v>234</v>
      </c>
      <c r="K27" s="583" t="s">
        <v>235</v>
      </c>
      <c r="L27" s="583" t="s">
        <v>236</v>
      </c>
      <c r="M27" s="583" t="s">
        <v>237</v>
      </c>
      <c r="N27" s="583" t="s">
        <v>238</v>
      </c>
      <c r="O27" s="583" t="s">
        <v>239</v>
      </c>
    </row>
    <row r="28" spans="1:21" ht="13.15" x14ac:dyDescent="0.4">
      <c r="A28" t="s">
        <v>241</v>
      </c>
      <c r="C28" s="537">
        <v>15851.696410600056</v>
      </c>
      <c r="D28" s="537">
        <v>14767.34793985193</v>
      </c>
      <c r="E28" s="537">
        <v>13587.569318960313</v>
      </c>
      <c r="F28" s="537">
        <v>12209.445680123399</v>
      </c>
      <c r="G28" s="537">
        <v>14129.275759480732</v>
      </c>
      <c r="H28" s="537">
        <v>12992.534265124415</v>
      </c>
      <c r="I28" s="537">
        <v>11400.160583318286</v>
      </c>
      <c r="J28" s="537">
        <v>13257.306152287245</v>
      </c>
      <c r="K28" s="537">
        <v>16907.977190129506</v>
      </c>
      <c r="L28" s="537">
        <v>10709.695379338891</v>
      </c>
      <c r="M28" s="537">
        <v>12478.895515822673</v>
      </c>
      <c r="N28" s="537">
        <v>14914.235523896326</v>
      </c>
      <c r="O28" s="543">
        <f>SUM(C28:N28)</f>
        <v>163206.13971893373</v>
      </c>
    </row>
    <row r="29" spans="1:21" ht="13.15" x14ac:dyDescent="0.4">
      <c r="A29" t="s">
        <v>243</v>
      </c>
      <c r="C29" s="537">
        <v>27731.814513757672</v>
      </c>
      <c r="D29" s="537">
        <v>25111.227743640764</v>
      </c>
      <c r="E29" s="537">
        <v>24426.376077905108</v>
      </c>
      <c r="F29" s="537">
        <v>26886.041418368284</v>
      </c>
      <c r="G29" s="537">
        <v>24565.778944291193</v>
      </c>
      <c r="H29" s="537">
        <v>20622.268328067428</v>
      </c>
      <c r="I29" s="537">
        <v>24617.236378192098</v>
      </c>
      <c r="J29" s="537">
        <v>25837.245356497147</v>
      </c>
      <c r="K29" s="537">
        <v>21776.786026862235</v>
      </c>
      <c r="L29" s="537">
        <v>21563.471573600309</v>
      </c>
      <c r="M29" s="537">
        <v>20980.599185959174</v>
      </c>
      <c r="N29" s="537">
        <v>25643.578287088287</v>
      </c>
      <c r="O29" s="543">
        <f t="shared" ref="O29:O43" si="45">SUM(C29:N29)</f>
        <v>289762.4238342297</v>
      </c>
    </row>
    <row r="30" spans="1:21" ht="13.15" x14ac:dyDescent="0.4">
      <c r="A30" t="s">
        <v>245</v>
      </c>
      <c r="C30" s="537">
        <v>3694841.1635130881</v>
      </c>
      <c r="D30" s="537">
        <v>3267700.489419349</v>
      </c>
      <c r="E30" s="537">
        <v>3047893.0435888362</v>
      </c>
      <c r="F30" s="537">
        <v>2713288.7406739453</v>
      </c>
      <c r="G30" s="537">
        <v>2743520.4508855795</v>
      </c>
      <c r="H30" s="537">
        <v>3182987.5193728535</v>
      </c>
      <c r="I30" s="537">
        <v>3326570.6005711043</v>
      </c>
      <c r="J30" s="537">
        <v>2926249.5410265159</v>
      </c>
      <c r="K30" s="537">
        <v>2811530.3378878422</v>
      </c>
      <c r="L30" s="537">
        <v>2938121.2388223074</v>
      </c>
      <c r="M30" s="537">
        <v>3302347.2474596812</v>
      </c>
      <c r="N30" s="537">
        <v>3505242.9737412347</v>
      </c>
      <c r="O30" s="543">
        <f t="shared" si="45"/>
        <v>37460293.346962333</v>
      </c>
    </row>
    <row r="31" spans="1:21" ht="13.15" x14ac:dyDescent="0.4">
      <c r="A31" t="s">
        <v>247</v>
      </c>
      <c r="C31" s="537">
        <v>37556.442030001032</v>
      </c>
      <c r="D31" s="537">
        <v>39563.281952136254</v>
      </c>
      <c r="E31" s="537">
        <v>32914.981492139559</v>
      </c>
      <c r="F31" s="537">
        <v>37969.037090915546</v>
      </c>
      <c r="G31" s="537">
        <v>29872.443764035248</v>
      </c>
      <c r="H31" s="537">
        <v>29181.042970348564</v>
      </c>
      <c r="I31" s="537">
        <v>30673.308553474762</v>
      </c>
      <c r="J31" s="537">
        <v>33210.627839642933</v>
      </c>
      <c r="K31" s="537">
        <v>30358.950411825605</v>
      </c>
      <c r="L31" s="537">
        <v>38964.5045394712</v>
      </c>
      <c r="M31" s="537">
        <v>30419.763742799401</v>
      </c>
      <c r="N31" s="537">
        <v>35322.253808994537</v>
      </c>
      <c r="O31" s="543">
        <f t="shared" si="45"/>
        <v>406006.63819578465</v>
      </c>
    </row>
    <row r="32" spans="1:21" ht="13.15" x14ac:dyDescent="0.4">
      <c r="A32" t="s">
        <v>249</v>
      </c>
      <c r="C32" s="537">
        <v>15863.859076794815</v>
      </c>
      <c r="D32" s="537">
        <v>12187.927116855748</v>
      </c>
      <c r="E32" s="537">
        <v>11518.044886436715</v>
      </c>
      <c r="F32" s="537">
        <v>11963.385587106353</v>
      </c>
      <c r="G32" s="537">
        <v>0</v>
      </c>
      <c r="H32" s="537">
        <v>0</v>
      </c>
      <c r="I32" s="537">
        <v>10919.267473771662</v>
      </c>
      <c r="J32" s="537">
        <v>34192.061442589249</v>
      </c>
      <c r="K32" s="537">
        <v>11142.873413813768</v>
      </c>
      <c r="L32" s="537">
        <v>0</v>
      </c>
      <c r="M32" s="537">
        <v>0</v>
      </c>
      <c r="N32" s="537">
        <v>13496.639355308878</v>
      </c>
      <c r="O32" s="543">
        <f t="shared" si="45"/>
        <v>121284.05835267718</v>
      </c>
    </row>
    <row r="33" spans="1:15" ht="13.15" x14ac:dyDescent="0.4">
      <c r="A33" t="s">
        <v>251</v>
      </c>
      <c r="C33" s="537">
        <v>5718.3242909512801</v>
      </c>
      <c r="D33" s="537">
        <v>6608.0701025832614</v>
      </c>
      <c r="E33" s="537">
        <v>5329.1189727189931</v>
      </c>
      <c r="F33" s="537">
        <v>5356.2510742303803</v>
      </c>
      <c r="G33" s="537">
        <v>4301.8414741155084</v>
      </c>
      <c r="H33" s="537">
        <v>4741.5686365414085</v>
      </c>
      <c r="I33" s="537">
        <v>4280.3229108478581</v>
      </c>
      <c r="J33" s="537">
        <v>4872.5511955618895</v>
      </c>
      <c r="K33" s="537">
        <v>4838.8699660994798</v>
      </c>
      <c r="L33" s="537">
        <v>4184.8927607043643</v>
      </c>
      <c r="M33" s="537">
        <v>5063.4114958488763</v>
      </c>
      <c r="N33" s="537">
        <v>5568.6299377850155</v>
      </c>
      <c r="O33" s="543">
        <f t="shared" si="45"/>
        <v>60863.852817988321</v>
      </c>
    </row>
    <row r="34" spans="1:15" ht="13.15" x14ac:dyDescent="0.4">
      <c r="A34" t="s">
        <v>253</v>
      </c>
      <c r="C34" s="537">
        <v>14080.625094701696</v>
      </c>
      <c r="D34" s="537">
        <v>13172.167488923933</v>
      </c>
      <c r="E34" s="537">
        <v>12390.014493630202</v>
      </c>
      <c r="F34" s="537">
        <v>11901.636666425267</v>
      </c>
      <c r="G34" s="537">
        <v>10350.428931739858</v>
      </c>
      <c r="H34" s="537">
        <v>9946.2541781909476</v>
      </c>
      <c r="I34" s="537">
        <v>11235.496794835395</v>
      </c>
      <c r="J34" s="537">
        <v>11270.113614005093</v>
      </c>
      <c r="K34" s="537">
        <v>11368.350533270452</v>
      </c>
      <c r="L34" s="537">
        <v>10683.498867534794</v>
      </c>
      <c r="M34" s="537">
        <v>12796.060426593695</v>
      </c>
      <c r="N34" s="537">
        <v>11204.62233449485</v>
      </c>
      <c r="O34" s="543">
        <f t="shared" si="45"/>
        <v>140399.26942434619</v>
      </c>
    </row>
    <row r="35" spans="1:15" ht="13.15" x14ac:dyDescent="0.4">
      <c r="A35" t="s">
        <v>255</v>
      </c>
      <c r="C35" s="537">
        <v>77061.717420285349</v>
      </c>
      <c r="D35" s="537">
        <v>61627.294019136258</v>
      </c>
      <c r="E35" s="537">
        <v>55120.267604940222</v>
      </c>
      <c r="F35" s="537">
        <v>42234.390566446775</v>
      </c>
      <c r="G35" s="537">
        <v>36882.817440752842</v>
      </c>
      <c r="H35" s="537">
        <v>34480.22307243431</v>
      </c>
      <c r="I35" s="537">
        <v>0</v>
      </c>
      <c r="J35" s="537">
        <v>81089.431110165155</v>
      </c>
      <c r="K35" s="537">
        <v>36516.066275495497</v>
      </c>
      <c r="L35" s="537">
        <v>0</v>
      </c>
      <c r="M35" s="537">
        <v>0</v>
      </c>
      <c r="N35" s="537">
        <v>158684.43466360529</v>
      </c>
      <c r="O35" s="543">
        <f t="shared" si="45"/>
        <v>583696.64217326173</v>
      </c>
    </row>
    <row r="36" spans="1:15" ht="13.15" x14ac:dyDescent="0.4">
      <c r="A36" t="s">
        <v>257</v>
      </c>
      <c r="C36" s="537">
        <v>68923.022556577038</v>
      </c>
      <c r="D36" s="537">
        <v>60614.05036614211</v>
      </c>
      <c r="E36" s="537">
        <v>57059.745068150631</v>
      </c>
      <c r="F36" s="537">
        <v>52006.62505908194</v>
      </c>
      <c r="G36" s="537">
        <v>50806.263464629956</v>
      </c>
      <c r="H36" s="537">
        <v>46636.340139242224</v>
      </c>
      <c r="I36" s="537">
        <v>58157.191794800812</v>
      </c>
      <c r="J36" s="537">
        <v>50977.476381063876</v>
      </c>
      <c r="K36" s="537">
        <v>49662.03725261533</v>
      </c>
      <c r="L36" s="537">
        <v>60886.306970963247</v>
      </c>
      <c r="M36" s="537">
        <v>69360.878539588375</v>
      </c>
      <c r="N36" s="537">
        <v>71080.033982629233</v>
      </c>
      <c r="O36" s="543">
        <f t="shared" si="45"/>
        <v>696169.97157548473</v>
      </c>
    </row>
    <row r="37" spans="1:15" ht="13.15" x14ac:dyDescent="0.4">
      <c r="A37" t="s">
        <v>259</v>
      </c>
      <c r="C37" s="537">
        <v>44945.729538170723</v>
      </c>
      <c r="D37" s="537">
        <v>42365.373125467253</v>
      </c>
      <c r="E37" s="537">
        <v>40588.688271325162</v>
      </c>
      <c r="F37" s="537">
        <v>37848.346018675242</v>
      </c>
      <c r="G37" s="537">
        <v>37573.282644732237</v>
      </c>
      <c r="H37" s="537">
        <v>41741.334790705398</v>
      </c>
      <c r="I37" s="537">
        <v>46337.887022616989</v>
      </c>
      <c r="J37" s="537">
        <v>40909.595540925344</v>
      </c>
      <c r="K37" s="537">
        <v>39097.358277906256</v>
      </c>
      <c r="L37" s="537">
        <v>39334.998063557701</v>
      </c>
      <c r="M37" s="537">
        <v>43528.31113162767</v>
      </c>
      <c r="N37" s="537">
        <v>47998.558753055215</v>
      </c>
      <c r="O37" s="543">
        <f t="shared" si="45"/>
        <v>502269.4631787652</v>
      </c>
    </row>
    <row r="38" spans="1:15" ht="13.15" x14ac:dyDescent="0.4">
      <c r="A38" t="s">
        <v>261</v>
      </c>
      <c r="C38" s="537">
        <v>26541.744406085876</v>
      </c>
      <c r="D38" s="537">
        <v>24402.986335222882</v>
      </c>
      <c r="E38" s="537">
        <v>23590.894469295898</v>
      </c>
      <c r="F38" s="537">
        <v>22908.849572682113</v>
      </c>
      <c r="G38" s="537">
        <v>21033.927799274654</v>
      </c>
      <c r="H38" s="537">
        <v>21973.25986539296</v>
      </c>
      <c r="I38" s="537">
        <v>26184.349137901419</v>
      </c>
      <c r="J38" s="537">
        <v>23663.870466464454</v>
      </c>
      <c r="K38" s="537">
        <v>23211.045048136504</v>
      </c>
      <c r="L38" s="537">
        <v>22603.847328105843</v>
      </c>
      <c r="M38" s="537">
        <v>26020.62093912582</v>
      </c>
      <c r="N38" s="537">
        <v>25346.060760170338</v>
      </c>
      <c r="O38" s="543">
        <f t="shared" si="45"/>
        <v>287481.45612785878</v>
      </c>
    </row>
    <row r="39" spans="1:15" ht="13.15" x14ac:dyDescent="0.4">
      <c r="A39" t="s">
        <v>263</v>
      </c>
      <c r="C39" s="537">
        <v>12710.921763230381</v>
      </c>
      <c r="D39" s="537">
        <v>12826.934886934236</v>
      </c>
      <c r="E39" s="537">
        <v>11709.840776430992</v>
      </c>
      <c r="F39" s="537">
        <v>11275.727152248828</v>
      </c>
      <c r="G39" s="537">
        <v>10045.426687163595</v>
      </c>
      <c r="H39" s="537">
        <v>10010.809867993898</v>
      </c>
      <c r="I39" s="537">
        <v>10326.103599350341</v>
      </c>
      <c r="J39" s="537">
        <v>10841.613528066662</v>
      </c>
      <c r="K39" s="537">
        <v>9614.1198321032989</v>
      </c>
      <c r="L39" s="537">
        <v>10014.552226823052</v>
      </c>
      <c r="M39" s="537">
        <v>10889.328603138409</v>
      </c>
      <c r="N39" s="537">
        <v>11974.61266359382</v>
      </c>
      <c r="O39" s="543">
        <f t="shared" si="45"/>
        <v>132239.99158707753</v>
      </c>
    </row>
    <row r="40" spans="1:15" ht="13.15" x14ac:dyDescent="0.4">
      <c r="A40" t="s">
        <v>265</v>
      </c>
      <c r="C40" s="537">
        <v>85569.034628665584</v>
      </c>
      <c r="D40" s="537">
        <v>70404.061063215777</v>
      </c>
      <c r="E40" s="537">
        <v>65080.555628740505</v>
      </c>
      <c r="F40" s="537">
        <v>80610.409180033108</v>
      </c>
      <c r="G40" s="537">
        <v>26137.56965253696</v>
      </c>
      <c r="H40" s="537">
        <v>59297.675647986282</v>
      </c>
      <c r="I40" s="537">
        <v>68526.332520686454</v>
      </c>
      <c r="J40" s="537">
        <v>62521.717779304694</v>
      </c>
      <c r="K40" s="537">
        <v>56345.890121489021</v>
      </c>
      <c r="L40" s="537">
        <v>54795.617976510883</v>
      </c>
      <c r="M40" s="537">
        <v>79681.368600694972</v>
      </c>
      <c r="N40" s="537">
        <v>86812.433349652856</v>
      </c>
      <c r="O40" s="543">
        <f t="shared" si="45"/>
        <v>795782.66614951706</v>
      </c>
    </row>
    <row r="41" spans="1:15" ht="13.15" x14ac:dyDescent="0.4">
      <c r="A41" t="s">
        <v>267</v>
      </c>
      <c r="C41" s="537">
        <v>52368.698275802832</v>
      </c>
      <c r="D41" s="537">
        <v>51672.619533579717</v>
      </c>
      <c r="E41" s="537">
        <v>50692.121520340683</v>
      </c>
      <c r="F41" s="537">
        <v>47675.780304040469</v>
      </c>
      <c r="G41" s="537">
        <v>46205.968873889215</v>
      </c>
      <c r="H41" s="537">
        <v>55157.691193231796</v>
      </c>
      <c r="I41" s="537">
        <v>58902.856791510269</v>
      </c>
      <c r="J41" s="537">
        <v>48737.674621813654</v>
      </c>
      <c r="K41" s="537">
        <v>46006.688266236626</v>
      </c>
      <c r="L41" s="537">
        <v>45081.390045727654</v>
      </c>
      <c r="M41" s="537">
        <v>51375.102006661764</v>
      </c>
      <c r="N41" s="537">
        <v>58615.630751372482</v>
      </c>
      <c r="O41" s="543">
        <f t="shared" si="45"/>
        <v>612492.22218420706</v>
      </c>
    </row>
    <row r="42" spans="1:15" ht="13.15" x14ac:dyDescent="0.4">
      <c r="A42" t="s">
        <v>491</v>
      </c>
      <c r="C42" s="537">
        <v>468060.56112144474</v>
      </c>
      <c r="D42" s="537">
        <v>417095.2474065756</v>
      </c>
      <c r="E42" s="537">
        <v>428443.01496628573</v>
      </c>
      <c r="F42" s="537">
        <v>370721.80797508167</v>
      </c>
      <c r="G42" s="537">
        <v>350896.66207762458</v>
      </c>
      <c r="H42" s="537">
        <v>381361.33412637387</v>
      </c>
      <c r="I42" s="537">
        <v>425848.62470797292</v>
      </c>
      <c r="J42" s="537">
        <v>382799.33550647734</v>
      </c>
      <c r="K42" s="537">
        <v>351270.89796054026</v>
      </c>
      <c r="L42" s="537">
        <v>369094.8174741058</v>
      </c>
      <c r="M42" s="537">
        <v>419137.63973758783</v>
      </c>
      <c r="N42" s="537">
        <v>453554.24270992639</v>
      </c>
      <c r="O42" s="543">
        <f t="shared" si="45"/>
        <v>4818284.1857699966</v>
      </c>
    </row>
    <row r="43" spans="1:15" s="518" customFormat="1" ht="13.15" x14ac:dyDescent="0.4">
      <c r="A43" s="518" t="s">
        <v>270</v>
      </c>
      <c r="C43" s="541">
        <v>90019.634866240071</v>
      </c>
      <c r="D43" s="541">
        <v>74065.023587838208</v>
      </c>
      <c r="E43" s="541">
        <v>84411.710160748902</v>
      </c>
      <c r="F43" s="541">
        <v>73719.790985848522</v>
      </c>
      <c r="G43" s="541">
        <v>68065.086794992894</v>
      </c>
      <c r="H43" s="541">
        <v>64292.789095203043</v>
      </c>
      <c r="I43" s="541">
        <v>65890.776315252922</v>
      </c>
      <c r="J43" s="541">
        <v>74520.655775288033</v>
      </c>
      <c r="K43" s="541">
        <v>66985.416272781207</v>
      </c>
      <c r="L43" s="541">
        <v>66433.418345480619</v>
      </c>
      <c r="M43" s="541">
        <v>67250.188159944053</v>
      </c>
      <c r="N43" s="541">
        <v>78028.181587915038</v>
      </c>
      <c r="O43" s="628">
        <f t="shared" si="45"/>
        <v>873682.6719475335</v>
      </c>
    </row>
    <row r="44" spans="1:15" s="244" customFormat="1" ht="13.15" x14ac:dyDescent="0.4">
      <c r="A44" s="244" t="s">
        <v>316</v>
      </c>
      <c r="B44" s="244">
        <v>0</v>
      </c>
      <c r="C44" s="543">
        <f>SUM(C28:C43)</f>
        <v>4737844.9895063974</v>
      </c>
      <c r="D44" s="543">
        <f t="shared" ref="D44:O44" si="46">SUM(D28:D43)</f>
        <v>4194184.1020874535</v>
      </c>
      <c r="E44" s="543">
        <f t="shared" si="46"/>
        <v>3964755.9872968863</v>
      </c>
      <c r="F44" s="543">
        <f t="shared" si="46"/>
        <v>3558576.2650052533</v>
      </c>
      <c r="G44" s="543">
        <f t="shared" si="46"/>
        <v>3474387.2251948388</v>
      </c>
      <c r="H44" s="543">
        <f t="shared" si="46"/>
        <v>3975422.6455496894</v>
      </c>
      <c r="I44" s="543">
        <f t="shared" si="46"/>
        <v>4179870.5151556367</v>
      </c>
      <c r="J44" s="543">
        <f t="shared" si="46"/>
        <v>3824950.8173366692</v>
      </c>
      <c r="K44" s="543">
        <f t="shared" si="46"/>
        <v>3586633.6647371473</v>
      </c>
      <c r="L44" s="543">
        <f t="shared" si="46"/>
        <v>3692472.2503742315</v>
      </c>
      <c r="M44" s="543">
        <f t="shared" si="46"/>
        <v>4151329.4155450738</v>
      </c>
      <c r="N44" s="543">
        <f t="shared" si="46"/>
        <v>4603487.1222107224</v>
      </c>
      <c r="O44" s="543">
        <f t="shared" si="46"/>
        <v>47943915</v>
      </c>
    </row>
    <row r="45" spans="1:15" x14ac:dyDescent="0.35">
      <c r="C45" s="538"/>
      <c r="D45" s="538"/>
      <c r="E45" s="538"/>
      <c r="F45" s="538"/>
      <c r="G45" s="538"/>
      <c r="H45" s="538"/>
      <c r="I45" s="538"/>
      <c r="J45" s="538"/>
      <c r="K45" s="538"/>
      <c r="L45" s="538"/>
      <c r="M45" s="538"/>
      <c r="N45" s="538"/>
    </row>
    <row r="46" spans="1:15" ht="13.15" x14ac:dyDescent="0.4">
      <c r="A46" s="244" t="s">
        <v>504</v>
      </c>
      <c r="E46" s="670" t="s">
        <v>506</v>
      </c>
      <c r="F46" s="768" t="s">
        <v>607</v>
      </c>
      <c r="G46" s="834" t="s">
        <v>644</v>
      </c>
      <c r="H46" s="538"/>
      <c r="I46" s="565"/>
      <c r="J46" s="565"/>
      <c r="K46" s="565"/>
      <c r="L46" s="565"/>
      <c r="M46" s="565"/>
      <c r="N46" s="565"/>
    </row>
    <row r="47" spans="1:15" ht="13.15" x14ac:dyDescent="0.4">
      <c r="A47" s="539" t="s">
        <v>311</v>
      </c>
      <c r="B47" s="583" t="s">
        <v>226</v>
      </c>
      <c r="C47" s="583" t="s">
        <v>227</v>
      </c>
      <c r="D47" s="583" t="s">
        <v>228</v>
      </c>
      <c r="E47" s="583" t="s">
        <v>229</v>
      </c>
      <c r="F47" s="583" t="s">
        <v>230</v>
      </c>
      <c r="G47" s="583" t="s">
        <v>231</v>
      </c>
      <c r="H47" s="583" t="s">
        <v>232</v>
      </c>
      <c r="I47" s="583" t="s">
        <v>233</v>
      </c>
      <c r="J47" s="583" t="s">
        <v>234</v>
      </c>
      <c r="K47" s="583" t="s">
        <v>235</v>
      </c>
      <c r="L47" s="583" t="s">
        <v>236</v>
      </c>
      <c r="M47" s="583" t="s">
        <v>237</v>
      </c>
      <c r="N47" s="583" t="s">
        <v>238</v>
      </c>
      <c r="O47" s="583" t="s">
        <v>239</v>
      </c>
    </row>
    <row r="48" spans="1:15" ht="13.15" x14ac:dyDescent="0.4">
      <c r="A48" t="s">
        <v>241</v>
      </c>
      <c r="B48" s="668">
        <v>0</v>
      </c>
      <c r="C48" s="668">
        <v>16030.436387500002</v>
      </c>
      <c r="D48" s="668">
        <v>14020.04629</v>
      </c>
      <c r="E48" s="668">
        <v>13200.701547499999</v>
      </c>
      <c r="F48" s="668">
        <v>12043.23841</v>
      </c>
      <c r="G48" s="668">
        <v>11818.350617283952</v>
      </c>
      <c r="H48" s="668">
        <v>14035.259259259261</v>
      </c>
      <c r="I48" s="537">
        <f>I28/0.99*0.98975*I$66</f>
        <v>11730.30298741882</v>
      </c>
      <c r="J48" s="537">
        <f t="shared" ref="J48:N48" si="47">J28/0.99*0.98975*J$66</f>
        <v>12776.181770602709</v>
      </c>
      <c r="K48" s="537">
        <f t="shared" si="47"/>
        <v>16326.331761812064</v>
      </c>
      <c r="L48" s="537">
        <f t="shared" si="47"/>
        <v>10366.613441352838</v>
      </c>
      <c r="M48" s="537">
        <f t="shared" si="47"/>
        <v>12211.925434206249</v>
      </c>
      <c r="N48" s="537">
        <f t="shared" si="47"/>
        <v>14267.857528413395</v>
      </c>
      <c r="O48" s="543">
        <f>SUM(B48:N48)</f>
        <v>158827.24543534926</v>
      </c>
    </row>
    <row r="49" spans="1:15" ht="13.15" x14ac:dyDescent="0.4">
      <c r="A49" t="s">
        <v>243</v>
      </c>
      <c r="B49" s="668">
        <v>0</v>
      </c>
      <c r="C49" s="668">
        <v>26166.179110000001</v>
      </c>
      <c r="D49" s="668">
        <v>23132.773514999997</v>
      </c>
      <c r="E49" s="668">
        <v>24254.872885000004</v>
      </c>
      <c r="F49" s="668">
        <v>25837.116927499999</v>
      </c>
      <c r="G49" s="668">
        <v>20412.483950617283</v>
      </c>
      <c r="H49" s="668">
        <v>22446.854320987655</v>
      </c>
      <c r="I49" s="537">
        <f t="shared" ref="I49:N49" si="48">I29/0.99*0.98975*I$66</f>
        <v>25330.138055393018</v>
      </c>
      <c r="J49" s="537">
        <f t="shared" si="48"/>
        <v>24899.579095057474</v>
      </c>
      <c r="K49" s="537">
        <f t="shared" si="48"/>
        <v>21027.650403272328</v>
      </c>
      <c r="L49" s="537">
        <f t="shared" si="48"/>
        <v>20872.69211114704</v>
      </c>
      <c r="M49" s="537">
        <f t="shared" si="48"/>
        <v>20531.74597856314</v>
      </c>
      <c r="N49" s="537">
        <f t="shared" si="48"/>
        <v>24532.19415320762</v>
      </c>
      <c r="O49" s="543">
        <f t="shared" ref="O49:O63" si="49">SUM(B49:N49)</f>
        <v>279444.28050574556</v>
      </c>
    </row>
    <row r="50" spans="1:15" ht="13.15" x14ac:dyDescent="0.4">
      <c r="A50" t="s">
        <v>245</v>
      </c>
      <c r="B50" s="668">
        <v>0</v>
      </c>
      <c r="C50" s="668">
        <v>3306619.8173825</v>
      </c>
      <c r="D50" s="668">
        <v>3073265.3909524996</v>
      </c>
      <c r="E50" s="668">
        <v>2854568.8552000001</v>
      </c>
      <c r="F50" s="668">
        <v>2631865.3462649998</v>
      </c>
      <c r="G50" s="668">
        <v>2772306.6074074074</v>
      </c>
      <c r="H50" s="668">
        <v>3246512.9185185186</v>
      </c>
      <c r="I50" s="537">
        <f t="shared" ref="I50:N50" si="50">I30/0.99*0.98975*I$66</f>
        <v>3422906.2624643007</v>
      </c>
      <c r="J50" s="537">
        <f t="shared" si="50"/>
        <v>2820052.2498944756</v>
      </c>
      <c r="K50" s="537">
        <f t="shared" si="50"/>
        <v>2714811.8629798614</v>
      </c>
      <c r="L50" s="537">
        <f t="shared" si="50"/>
        <v>2843999.3900722675</v>
      </c>
      <c r="M50" s="537">
        <f t="shared" si="50"/>
        <v>3231697.7325997949</v>
      </c>
      <c r="N50" s="537">
        <f t="shared" si="50"/>
        <v>3353326.9118406926</v>
      </c>
      <c r="O50" s="543">
        <f t="shared" si="49"/>
        <v>36271933.345577314</v>
      </c>
    </row>
    <row r="51" spans="1:15" ht="13.15" x14ac:dyDescent="0.4">
      <c r="A51" t="s">
        <v>247</v>
      </c>
      <c r="B51" s="668">
        <v>0</v>
      </c>
      <c r="C51" s="668">
        <v>37307.161419999997</v>
      </c>
      <c r="D51" s="668">
        <v>34072.648522500007</v>
      </c>
      <c r="E51" s="668">
        <v>32350.938807500002</v>
      </c>
      <c r="F51" s="668">
        <v>38787.6987525</v>
      </c>
      <c r="G51" s="668">
        <v>29385.580246913582</v>
      </c>
      <c r="H51" s="689">
        <v>29385.580246913582</v>
      </c>
      <c r="I51" s="537">
        <f t="shared" ref="I51:N51" si="51">I31/0.99*0.98975*I$66</f>
        <v>31561.590762620104</v>
      </c>
      <c r="J51" s="537">
        <f t="shared" si="51"/>
        <v>32005.372216731434</v>
      </c>
      <c r="K51" s="537">
        <f t="shared" si="51"/>
        <v>29314.582743417424</v>
      </c>
      <c r="L51" s="537">
        <f t="shared" si="51"/>
        <v>37716.288109724963</v>
      </c>
      <c r="M51" s="537">
        <f t="shared" si="51"/>
        <v>29768.97162751402</v>
      </c>
      <c r="N51" s="537">
        <f t="shared" si="51"/>
        <v>33791.399104680968</v>
      </c>
      <c r="O51" s="543">
        <f t="shared" si="49"/>
        <v>395447.81256101606</v>
      </c>
    </row>
    <row r="52" spans="1:15" ht="13.15" x14ac:dyDescent="0.4">
      <c r="A52" t="s">
        <v>249</v>
      </c>
      <c r="B52" s="668">
        <f>10919.85+11092.63</f>
        <v>22012.48</v>
      </c>
      <c r="C52" s="668">
        <v>14075.363417499999</v>
      </c>
      <c r="D52" s="668">
        <v>12471.137027500001</v>
      </c>
      <c r="E52" s="668">
        <v>10672.721687499999</v>
      </c>
      <c r="F52" s="668">
        <v>10639.9807575</v>
      </c>
      <c r="G52" s="668">
        <v>11099.012345679013</v>
      </c>
      <c r="H52" s="668">
        <v>9800.6123456790137</v>
      </c>
      <c r="I52" s="537">
        <f t="shared" ref="I52:N52" si="52">I32/0.99*0.98975*I$66</f>
        <v>11235.483476911368</v>
      </c>
      <c r="J52" s="537">
        <f t="shared" si="52"/>
        <v>32951.188354865677</v>
      </c>
      <c r="K52" s="537">
        <f t="shared" si="52"/>
        <v>10759.551310490353</v>
      </c>
      <c r="L52" s="537">
        <f t="shared" si="52"/>
        <v>0</v>
      </c>
      <c r="M52" s="537">
        <f t="shared" si="52"/>
        <v>0</v>
      </c>
      <c r="N52" s="537">
        <f t="shared" si="52"/>
        <v>12911.699505172899</v>
      </c>
      <c r="O52" s="543">
        <f t="shared" si="49"/>
        <v>158629.23022879832</v>
      </c>
    </row>
    <row r="53" spans="1:15" ht="13.15" x14ac:dyDescent="0.4">
      <c r="A53" t="s">
        <v>251</v>
      </c>
      <c r="B53" s="668">
        <v>0</v>
      </c>
      <c r="C53" s="668">
        <v>5207.341982500001</v>
      </c>
      <c r="D53" s="668">
        <v>6190.9753275000003</v>
      </c>
      <c r="E53" s="668">
        <v>4742.941385000001</v>
      </c>
      <c r="F53" s="668">
        <v>4745.9502250000005</v>
      </c>
      <c r="G53" s="668">
        <v>4569.5012345679015</v>
      </c>
      <c r="H53" s="689">
        <v>4569.5012345679024</v>
      </c>
      <c r="I53" s="537">
        <f t="shared" ref="I53:N53" si="53">I33/0.99*0.98975*I$66</f>
        <v>4404.2787170653337</v>
      </c>
      <c r="J53" s="537">
        <f t="shared" si="53"/>
        <v>4695.7201595835513</v>
      </c>
      <c r="K53" s="537">
        <f t="shared" si="53"/>
        <v>4672.4096874774232</v>
      </c>
      <c r="L53" s="537">
        <f t="shared" si="53"/>
        <v>4050.8309533651827</v>
      </c>
      <c r="M53" s="537">
        <f t="shared" si="53"/>
        <v>4955.0862535555716</v>
      </c>
      <c r="N53" s="537">
        <f t="shared" si="53"/>
        <v>5327.2873727568222</v>
      </c>
      <c r="O53" s="543">
        <f t="shared" si="49"/>
        <v>58131.824532939696</v>
      </c>
    </row>
    <row r="54" spans="1:15" ht="13.15" x14ac:dyDescent="0.4">
      <c r="A54" t="s">
        <v>253</v>
      </c>
      <c r="B54" s="668">
        <v>0</v>
      </c>
      <c r="C54" s="668">
        <v>11969.1358275</v>
      </c>
      <c r="D54" s="668">
        <v>12957.856487499999</v>
      </c>
      <c r="E54" s="668">
        <v>12096.4572675</v>
      </c>
      <c r="F54" s="668">
        <v>10137.969659999999</v>
      </c>
      <c r="G54" s="668">
        <v>8923.5950617283943</v>
      </c>
      <c r="H54" s="689">
        <v>8923.5950617283961</v>
      </c>
      <c r="I54" s="537">
        <f t="shared" ref="I54:N54" si="54">I34/0.99*0.98975*I$66</f>
        <v>11560.870625844282</v>
      </c>
      <c r="J54" s="537">
        <f t="shared" si="54"/>
        <v>10861.106958975317</v>
      </c>
      <c r="K54" s="537">
        <f t="shared" si="54"/>
        <v>10977.271870173659</v>
      </c>
      <c r="L54" s="537">
        <f t="shared" si="54"/>
        <v>10341.25612709077</v>
      </c>
      <c r="M54" s="537">
        <f t="shared" si="54"/>
        <v>12522.305005520982</v>
      </c>
      <c r="N54" s="537">
        <f t="shared" si="54"/>
        <v>10719.017737926028</v>
      </c>
      <c r="O54" s="543">
        <f t="shared" si="49"/>
        <v>131990.43769148784</v>
      </c>
    </row>
    <row r="55" spans="1:15" ht="13.15" x14ac:dyDescent="0.4">
      <c r="A55" t="s">
        <v>255</v>
      </c>
      <c r="B55" s="668">
        <v>0</v>
      </c>
      <c r="C55" s="668">
        <v>73583.191392499997</v>
      </c>
      <c r="D55" s="668">
        <v>64236.873270000004</v>
      </c>
      <c r="E55" s="668">
        <v>49515.618797499999</v>
      </c>
      <c r="F55" s="668">
        <v>34052.338852499997</v>
      </c>
      <c r="G55" s="668">
        <v>31060.14814814815</v>
      </c>
      <c r="H55" s="668">
        <v>33922.953086419751</v>
      </c>
      <c r="I55" s="668">
        <f t="shared" ref="I55:N55" si="55">I35/0.99*0.98975*I$66</f>
        <v>0</v>
      </c>
      <c r="J55" s="537">
        <f t="shared" si="55"/>
        <v>78146.593254882013</v>
      </c>
      <c r="K55" s="537">
        <f t="shared" si="55"/>
        <v>35259.889810952016</v>
      </c>
      <c r="L55" s="537">
        <f t="shared" si="55"/>
        <v>0</v>
      </c>
      <c r="M55" s="537">
        <f t="shared" si="55"/>
        <v>0</v>
      </c>
      <c r="N55" s="537">
        <f t="shared" si="55"/>
        <v>151807.10416765994</v>
      </c>
      <c r="O55" s="543">
        <f t="shared" si="49"/>
        <v>551584.7107805619</v>
      </c>
    </row>
    <row r="56" spans="1:15" ht="13.15" x14ac:dyDescent="0.4">
      <c r="A56" t="s">
        <v>257</v>
      </c>
      <c r="B56" s="668">
        <v>0</v>
      </c>
      <c r="C56" s="668">
        <v>63084.725090000007</v>
      </c>
      <c r="D56" s="668">
        <v>56193.214610000003</v>
      </c>
      <c r="E56" s="668">
        <v>52472.130714999999</v>
      </c>
      <c r="F56" s="668">
        <v>47976.151750000005</v>
      </c>
      <c r="G56" s="668">
        <v>43916.829629629632</v>
      </c>
      <c r="H56" s="668">
        <v>56400.158024691365</v>
      </c>
      <c r="I56" s="537">
        <f t="shared" ref="I56:N56" si="56">I36/0.99*0.98975*I$66</f>
        <v>59841.39220360617</v>
      </c>
      <c r="J56" s="537">
        <f t="shared" si="56"/>
        <v>49127.439388484818</v>
      </c>
      <c r="K56" s="537">
        <f t="shared" si="56"/>
        <v>47953.630823857136</v>
      </c>
      <c r="L56" s="537">
        <f t="shared" si="56"/>
        <v>58935.832055242412</v>
      </c>
      <c r="M56" s="537">
        <f t="shared" si="56"/>
        <v>67876.990852475225</v>
      </c>
      <c r="N56" s="537">
        <f t="shared" si="56"/>
        <v>67999.449006554802</v>
      </c>
      <c r="O56" s="543">
        <f t="shared" si="49"/>
        <v>671777.94414954155</v>
      </c>
    </row>
    <row r="57" spans="1:15" ht="13.15" x14ac:dyDescent="0.4">
      <c r="A57" t="s">
        <v>259</v>
      </c>
      <c r="B57" s="668">
        <v>0</v>
      </c>
      <c r="C57" s="668">
        <v>41503.048185000007</v>
      </c>
      <c r="D57" s="668">
        <v>41100.754400000005</v>
      </c>
      <c r="E57" s="668">
        <v>39058.910047500009</v>
      </c>
      <c r="F57" s="668">
        <v>36322.32058</v>
      </c>
      <c r="G57" s="668">
        <v>39137.560493827164</v>
      </c>
      <c r="H57" s="668">
        <v>45650.123456790127</v>
      </c>
      <c r="I57" s="537">
        <f t="shared" ref="I57:N57" si="57">I37/0.99*0.98975*I$66</f>
        <v>47679.806841270343</v>
      </c>
      <c r="J57" s="537">
        <f t="shared" si="57"/>
        <v>39424.93465782456</v>
      </c>
      <c r="K57" s="537">
        <f t="shared" si="57"/>
        <v>37752.38368716048</v>
      </c>
      <c r="L57" s="537">
        <f t="shared" si="57"/>
        <v>38074.912982859903</v>
      </c>
      <c r="M57" s="537">
        <f t="shared" si="57"/>
        <v>42597.078334566329</v>
      </c>
      <c r="N57" s="537">
        <f t="shared" si="57"/>
        <v>45918.317218505254</v>
      </c>
      <c r="O57" s="543">
        <f t="shared" si="49"/>
        <v>494220.1508853042</v>
      </c>
    </row>
    <row r="58" spans="1:15" ht="13.15" x14ac:dyDescent="0.4">
      <c r="A58" t="s">
        <v>261</v>
      </c>
      <c r="B58" s="668">
        <v>0</v>
      </c>
      <c r="C58" s="668">
        <v>26645.5051375</v>
      </c>
      <c r="D58" s="668">
        <v>23792.016297499998</v>
      </c>
      <c r="E58" s="668">
        <v>21869.268562500001</v>
      </c>
      <c r="F58" s="668">
        <v>19667.728047500001</v>
      </c>
      <c r="G58" s="668">
        <v>20264.019753086421</v>
      </c>
      <c r="H58" s="668">
        <v>19665.422222222223</v>
      </c>
      <c r="I58" s="537">
        <f t="shared" ref="I58:N58" si="58">I38/0.99*0.98975*I$66</f>
        <v>26942.633541968848</v>
      </c>
      <c r="J58" s="537">
        <f t="shared" si="58"/>
        <v>22805.078724336934</v>
      </c>
      <c r="K58" s="537">
        <f t="shared" si="58"/>
        <v>22412.569980013031</v>
      </c>
      <c r="L58" s="537">
        <f t="shared" si="58"/>
        <v>21879.739734697698</v>
      </c>
      <c r="M58" s="537">
        <f t="shared" si="58"/>
        <v>25463.942883201693</v>
      </c>
      <c r="N58" s="537">
        <f t="shared" si="58"/>
        <v>24247.570936719607</v>
      </c>
      <c r="O58" s="543">
        <f t="shared" si="49"/>
        <v>275655.49582124647</v>
      </c>
    </row>
    <row r="59" spans="1:15" ht="13.15" x14ac:dyDescent="0.4">
      <c r="A59" t="s">
        <v>263</v>
      </c>
      <c r="B59" s="668">
        <v>0</v>
      </c>
      <c r="C59" s="668">
        <v>12405.180087499999</v>
      </c>
      <c r="D59" s="668">
        <v>11673.259962499998</v>
      </c>
      <c r="E59" s="668">
        <v>11396.49617</v>
      </c>
      <c r="F59" s="668">
        <v>8344.1863499999999</v>
      </c>
      <c r="G59" s="668">
        <v>9150.5481481481493</v>
      </c>
      <c r="H59" s="668">
        <v>10158.923456790124</v>
      </c>
      <c r="I59" s="537">
        <f t="shared" ref="I59:N59" si="59">I39/0.99*0.98975*I$66</f>
        <v>10625.141901694007</v>
      </c>
      <c r="J59" s="537">
        <f t="shared" si="59"/>
        <v>10448.157682268469</v>
      </c>
      <c r="K59" s="537">
        <f t="shared" si="59"/>
        <v>9283.3878477413</v>
      </c>
      <c r="L59" s="537">
        <f t="shared" si="59"/>
        <v>9693.7389950415618</v>
      </c>
      <c r="M59" s="537">
        <f t="shared" si="59"/>
        <v>10656.365281805858</v>
      </c>
      <c r="N59" s="537">
        <f t="shared" si="59"/>
        <v>11455.636942861993</v>
      </c>
      <c r="O59" s="543">
        <f t="shared" si="49"/>
        <v>125291.02282635146</v>
      </c>
    </row>
    <row r="60" spans="1:15" ht="13.15" x14ac:dyDescent="0.4">
      <c r="A60" t="s">
        <v>265</v>
      </c>
      <c r="B60" s="668">
        <v>0</v>
      </c>
      <c r="C60" s="668">
        <v>80432.211905000004</v>
      </c>
      <c r="D60" s="668">
        <v>68266.125725000005</v>
      </c>
      <c r="E60" s="668">
        <v>56673.223565</v>
      </c>
      <c r="F60" s="668">
        <v>48925.223024999999</v>
      </c>
      <c r="G60" s="668">
        <v>46159.229629629634</v>
      </c>
      <c r="H60" s="689">
        <v>46159.792592592596</v>
      </c>
      <c r="I60" s="537">
        <f t="shared" ref="I60:N60" si="60">I40/0.99*0.98975*I$66</f>
        <v>70510.817563438977</v>
      </c>
      <c r="J60" s="537">
        <f t="shared" si="60"/>
        <v>60252.725688235478</v>
      </c>
      <c r="K60" s="537">
        <f t="shared" si="60"/>
        <v>54407.554800527432</v>
      </c>
      <c r="L60" s="537">
        <f t="shared" si="60"/>
        <v>53040.256489311862</v>
      </c>
      <c r="M60" s="537">
        <f t="shared" si="60"/>
        <v>77976.687168619232</v>
      </c>
      <c r="N60" s="537">
        <f t="shared" si="60"/>
        <v>83050.011429894628</v>
      </c>
      <c r="O60" s="543">
        <f t="shared" si="49"/>
        <v>745853.85958224977</v>
      </c>
    </row>
    <row r="61" spans="1:15" ht="13.15" x14ac:dyDescent="0.4">
      <c r="A61" t="s">
        <v>267</v>
      </c>
      <c r="B61" s="668">
        <v>0</v>
      </c>
      <c r="C61" s="668">
        <v>48680.695389999993</v>
      </c>
      <c r="D61" s="668">
        <v>48759.806107499993</v>
      </c>
      <c r="E61" s="668">
        <v>47705.316559999999</v>
      </c>
      <c r="F61" s="668">
        <v>46250.235597499995</v>
      </c>
      <c r="G61" s="668">
        <v>49661.224691358024</v>
      </c>
      <c r="H61" s="668">
        <v>60865.599999999999</v>
      </c>
      <c r="I61" s="537">
        <f t="shared" ref="I61:N61" si="61">I41/0.99*0.98975*I$66</f>
        <v>60608.651250054485</v>
      </c>
      <c r="J61" s="537">
        <f t="shared" si="61"/>
        <v>46968.922863514963</v>
      </c>
      <c r="K61" s="537">
        <f t="shared" si="61"/>
        <v>44424.028223514084</v>
      </c>
      <c r="L61" s="537">
        <f t="shared" si="61"/>
        <v>43637.220989917572</v>
      </c>
      <c r="M61" s="537">
        <f t="shared" si="61"/>
        <v>50275.997109246775</v>
      </c>
      <c r="N61" s="537">
        <f t="shared" si="61"/>
        <v>56075.248855945523</v>
      </c>
      <c r="O61" s="543">
        <f t="shared" si="49"/>
        <v>603912.94763855147</v>
      </c>
    </row>
    <row r="62" spans="1:15" ht="13.15" x14ac:dyDescent="0.4">
      <c r="A62" t="s">
        <v>491</v>
      </c>
      <c r="B62" s="668">
        <v>0</v>
      </c>
      <c r="C62" s="668">
        <v>438569.13204500003</v>
      </c>
      <c r="D62" s="668">
        <v>406875.32785250002</v>
      </c>
      <c r="E62" s="668">
        <v>408937.69961999997</v>
      </c>
      <c r="F62" s="668">
        <v>353626.65908249997</v>
      </c>
      <c r="G62" s="668">
        <v>352617.26419753087</v>
      </c>
      <c r="H62" s="668">
        <v>403025.04691358027</v>
      </c>
      <c r="I62" s="537">
        <f t="shared" ref="I62:N62" si="62">I42/0.99*0.98975*I$66</f>
        <v>438180.96754792554</v>
      </c>
      <c r="J62" s="537">
        <f t="shared" si="62"/>
        <v>368907.06421929505</v>
      </c>
      <c r="K62" s="537">
        <f t="shared" si="62"/>
        <v>339186.95027110376</v>
      </c>
      <c r="L62" s="537">
        <f t="shared" si="62"/>
        <v>357270.97367702465</v>
      </c>
      <c r="M62" s="537">
        <f t="shared" si="62"/>
        <v>410170.72357522568</v>
      </c>
      <c r="N62" s="537">
        <f t="shared" si="62"/>
        <v>433897.35303724458</v>
      </c>
      <c r="O62" s="543">
        <f t="shared" si="49"/>
        <v>4711265.1620389307</v>
      </c>
    </row>
    <row r="63" spans="1:15" s="518" customFormat="1" ht="13.15" x14ac:dyDescent="0.4">
      <c r="A63" s="518" t="s">
        <v>270</v>
      </c>
      <c r="B63" s="669">
        <v>0</v>
      </c>
      <c r="C63" s="669">
        <v>90144.509884999992</v>
      </c>
      <c r="D63" s="669">
        <v>76461.503162500012</v>
      </c>
      <c r="E63" s="669">
        <v>68917.648457499992</v>
      </c>
      <c r="F63" s="669">
        <v>73183.876755000005</v>
      </c>
      <c r="G63" s="669">
        <v>65377.708641975303</v>
      </c>
      <c r="H63" s="669">
        <v>62067.279012345687</v>
      </c>
      <c r="I63" s="541">
        <f t="shared" ref="I63:N63" si="63">I43/0.99*0.98975*I$66</f>
        <v>67798.937094373832</v>
      </c>
      <c r="J63" s="541">
        <f t="shared" si="63"/>
        <v>71816.20707200258</v>
      </c>
      <c r="K63" s="541">
        <f t="shared" si="63"/>
        <v>64681.074322181172</v>
      </c>
      <c r="L63" s="541">
        <f t="shared" si="63"/>
        <v>64305.243350235076</v>
      </c>
      <c r="M63" s="541">
        <f t="shared" si="63"/>
        <v>65811.45600620372</v>
      </c>
      <c r="N63" s="541">
        <f t="shared" si="63"/>
        <v>74646.466211007908</v>
      </c>
      <c r="O63" s="628">
        <f t="shared" si="49"/>
        <v>845211.90997032518</v>
      </c>
    </row>
    <row r="64" spans="1:15" s="244" customFormat="1" ht="13.15" x14ac:dyDescent="0.4">
      <c r="A64" s="244" t="s">
        <v>316</v>
      </c>
      <c r="B64" s="543">
        <f>SUM(B48:B63)</f>
        <v>22012.48</v>
      </c>
      <c r="C64" s="543">
        <f>SUM(C48:C63)</f>
        <v>4292423.6346450001</v>
      </c>
      <c r="D64" s="543">
        <f t="shared" ref="D64:N64" si="64">SUM(D48:D63)</f>
        <v>3973469.7095100004</v>
      </c>
      <c r="E64" s="543">
        <f t="shared" si="64"/>
        <v>3708433.8012750009</v>
      </c>
      <c r="F64" s="543">
        <f t="shared" si="64"/>
        <v>3402406.0210375004</v>
      </c>
      <c r="G64" s="543">
        <f t="shared" si="64"/>
        <v>3515859.6641975311</v>
      </c>
      <c r="H64" s="543">
        <f t="shared" si="64"/>
        <v>4073589.6197530869</v>
      </c>
      <c r="I64" s="543">
        <f t="shared" si="64"/>
        <v>4300917.2750338856</v>
      </c>
      <c r="J64" s="543">
        <f t="shared" si="64"/>
        <v>3686138.5220011361</v>
      </c>
      <c r="K64" s="543">
        <f t="shared" si="64"/>
        <v>3463251.1305235554</v>
      </c>
      <c r="L64" s="543">
        <f t="shared" si="64"/>
        <v>3574184.989089279</v>
      </c>
      <c r="M64" s="543">
        <f t="shared" si="64"/>
        <v>4062517.008110499</v>
      </c>
      <c r="N64" s="543">
        <f t="shared" si="64"/>
        <v>4403973.5250492441</v>
      </c>
      <c r="O64" s="543">
        <f t="shared" ref="O64" si="65">SUM(O48:O63)</f>
        <v>46479177.380225711</v>
      </c>
    </row>
    <row r="65" spans="1:16" x14ac:dyDescent="0.35">
      <c r="I65" s="538">
        <v>4291139.9940348202</v>
      </c>
      <c r="J65" s="538">
        <v>3677758.8183643576</v>
      </c>
      <c r="K65" s="538">
        <v>3455378.1170922057</v>
      </c>
      <c r="L65" s="538">
        <v>3566059.7895687423</v>
      </c>
      <c r="M65" s="538">
        <v>4053281.6827573804</v>
      </c>
      <c r="N65" s="538">
        <v>4393961.9661390539</v>
      </c>
    </row>
    <row r="66" spans="1:16" ht="13.15" x14ac:dyDescent="0.4">
      <c r="A66" s="244" t="s">
        <v>492</v>
      </c>
      <c r="B66" s="244"/>
      <c r="C66" s="629">
        <f>C64/C68</f>
        <v>0.90828014412749103</v>
      </c>
      <c r="D66" s="629">
        <f t="shared" ref="D66:H66" si="66">D64/D68</f>
        <v>0.94977450429834287</v>
      </c>
      <c r="E66" s="629">
        <f t="shared" si="66"/>
        <v>0.93771779478741302</v>
      </c>
      <c r="F66" s="629">
        <f t="shared" si="66"/>
        <v>0.95853494576198828</v>
      </c>
      <c r="G66" s="629">
        <f t="shared" si="66"/>
        <v>1.0144984845614435</v>
      </c>
      <c r="H66" s="629">
        <f t="shared" si="66"/>
        <v>1.0272876292633022</v>
      </c>
      <c r="I66" s="629">
        <f>I65/I68</f>
        <v>1.0292193559563301</v>
      </c>
      <c r="J66" s="629">
        <f t="shared" ref="J66:N66" si="67">J65/J68</f>
        <v>0.96395215945556256</v>
      </c>
      <c r="K66" s="629">
        <f t="shared" si="67"/>
        <v>0.96584324846222602</v>
      </c>
      <c r="L66" s="629">
        <f t="shared" si="67"/>
        <v>0.96820979187417588</v>
      </c>
      <c r="M66" s="629">
        <f t="shared" si="67"/>
        <v>0.9788534584019295</v>
      </c>
      <c r="N66" s="629">
        <f t="shared" si="67"/>
        <v>0.95690197529395171</v>
      </c>
      <c r="O66" s="629">
        <f t="shared" ref="O66" si="68">O64/O44</f>
        <v>0.96944893591242409</v>
      </c>
      <c r="P66" s="244"/>
    </row>
    <row r="67" spans="1:16" ht="13.15" x14ac:dyDescent="0.4">
      <c r="A67" s="688" t="s">
        <v>608</v>
      </c>
      <c r="C67" s="538">
        <f>C44</f>
        <v>4737844.9895063974</v>
      </c>
      <c r="D67" s="538">
        <f t="shared" ref="D67:N67" si="69">D44</f>
        <v>4194184.1020874535</v>
      </c>
      <c r="E67" s="538">
        <f t="shared" si="69"/>
        <v>3964755.9872968863</v>
      </c>
      <c r="F67" s="538">
        <f t="shared" si="69"/>
        <v>3558576.2650052533</v>
      </c>
      <c r="G67" s="538">
        <f t="shared" si="69"/>
        <v>3474387.2251948388</v>
      </c>
      <c r="H67" s="538">
        <f t="shared" si="69"/>
        <v>3975422.6455496894</v>
      </c>
      <c r="I67" s="538">
        <f t="shared" si="69"/>
        <v>4179870.5151556367</v>
      </c>
      <c r="J67" s="538">
        <f t="shared" si="69"/>
        <v>3824950.8173366692</v>
      </c>
      <c r="K67" s="538">
        <f t="shared" si="69"/>
        <v>3586633.6647371473</v>
      </c>
      <c r="L67" s="538">
        <f t="shared" si="69"/>
        <v>3692472.2503742315</v>
      </c>
      <c r="M67" s="538">
        <f t="shared" si="69"/>
        <v>4151329.4155450738</v>
      </c>
      <c r="N67" s="538">
        <f t="shared" si="69"/>
        <v>4603487.1222107224</v>
      </c>
      <c r="O67" s="559">
        <f>SUM(C67:N67)</f>
        <v>47943915</v>
      </c>
    </row>
    <row r="68" spans="1:16" ht="13.15" x14ac:dyDescent="0.4">
      <c r="A68" s="688" t="s">
        <v>609</v>
      </c>
      <c r="C68" s="538">
        <f>C67/0.99*0.9875</f>
        <v>4725880.7344823917</v>
      </c>
      <c r="D68" s="538">
        <f t="shared" ref="D68:N68" si="70">D67/0.99*0.9875</f>
        <v>4183592.7280922835</v>
      </c>
      <c r="E68" s="538">
        <f t="shared" si="70"/>
        <v>3954743.9772279547</v>
      </c>
      <c r="F68" s="538">
        <f t="shared" si="70"/>
        <v>3549589.9613057449</v>
      </c>
      <c r="G68" s="538">
        <f t="shared" si="70"/>
        <v>3465613.5200807108</v>
      </c>
      <c r="H68" s="538">
        <f t="shared" si="70"/>
        <v>3965383.6994750695</v>
      </c>
      <c r="I68" s="538">
        <f t="shared" si="70"/>
        <v>4169315.2865820117</v>
      </c>
      <c r="J68" s="538">
        <f t="shared" si="70"/>
        <v>3815291.8506262233</v>
      </c>
      <c r="K68" s="538">
        <f t="shared" si="70"/>
        <v>3577576.5090181143</v>
      </c>
      <c r="L68" s="538">
        <f t="shared" si="70"/>
        <v>3683147.8254995495</v>
      </c>
      <c r="M68" s="538">
        <f t="shared" si="70"/>
        <v>4140846.2604553136</v>
      </c>
      <c r="N68" s="538">
        <f t="shared" si="70"/>
        <v>4591862.1547303926</v>
      </c>
      <c r="O68" s="559">
        <f>SUM(C68:N68)</f>
        <v>47822844.507575758</v>
      </c>
    </row>
  </sheetData>
  <mergeCells count="4">
    <mergeCell ref="Q5:U5"/>
    <mergeCell ref="L5:P5"/>
    <mergeCell ref="G5:K5"/>
    <mergeCell ref="B5:F5"/>
  </mergeCells>
  <pageMargins left="0.7" right="0.7" top="0.75" bottom="0.75" header="0.3" footer="0.3"/>
  <pageSetup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S143"/>
  <sheetViews>
    <sheetView topLeftCell="A55" zoomScaleNormal="100" workbookViewId="0">
      <selection activeCell="C65" sqref="C65"/>
    </sheetView>
  </sheetViews>
  <sheetFormatPr defaultColWidth="9.1328125" defaultRowHeight="14.25" x14ac:dyDescent="0.45"/>
  <cols>
    <col min="1" max="1" width="42.265625" style="1" customWidth="1"/>
    <col min="2" max="2" width="16.86328125" style="1" customWidth="1"/>
    <col min="3" max="4" width="14.59765625" style="1" customWidth="1"/>
    <col min="5" max="5" width="15.73046875" style="1" customWidth="1"/>
    <col min="6" max="6" width="17.59765625" style="1" customWidth="1"/>
    <col min="7" max="7" width="17.1328125" style="1" customWidth="1"/>
    <col min="8" max="8" width="14.59765625" style="1" customWidth="1"/>
    <col min="9" max="9" width="14.265625" style="1" customWidth="1"/>
    <col min="10" max="10" width="36.1328125" style="1" customWidth="1"/>
    <col min="11" max="11" width="16.86328125" style="1" bestFit="1" customWidth="1"/>
    <col min="12" max="12" width="13" style="1" customWidth="1"/>
    <col min="13" max="13" width="14.1328125" style="1" customWidth="1"/>
    <col min="14" max="14" width="16.3984375" style="1" customWidth="1"/>
    <col min="15" max="15" width="16.73046875" style="1" customWidth="1"/>
    <col min="16" max="16" width="14.1328125" style="1" customWidth="1"/>
    <col min="17" max="17" width="9.86328125" style="1" customWidth="1"/>
    <col min="18" max="18" width="22.3984375" style="1" customWidth="1"/>
    <col min="19" max="19" width="16.59765625" style="1" customWidth="1"/>
    <col min="20" max="20" width="16.1328125" style="1" bestFit="1" customWidth="1"/>
    <col min="21" max="21" width="13.3984375" style="1" customWidth="1"/>
    <col min="22" max="24" width="13.265625" style="1" customWidth="1"/>
    <col min="25" max="16384" width="9.1328125" style="1"/>
  </cols>
  <sheetData>
    <row r="1" spans="1:16" x14ac:dyDescent="0.45">
      <c r="A1" s="10" t="s">
        <v>326</v>
      </c>
    </row>
    <row r="2" spans="1:16" x14ac:dyDescent="0.45">
      <c r="A2" s="267" t="s">
        <v>355</v>
      </c>
      <c r="B2" s="267"/>
      <c r="C2" s="267"/>
      <c r="D2" s="267"/>
      <c r="E2" s="267"/>
      <c r="F2" s="267"/>
      <c r="G2" s="267"/>
      <c r="J2" s="35"/>
      <c r="K2" s="35"/>
      <c r="L2" s="35"/>
      <c r="M2" s="35"/>
      <c r="N2" s="35"/>
      <c r="O2" s="35"/>
      <c r="P2" s="35"/>
    </row>
    <row r="3" spans="1:16" x14ac:dyDescent="0.45">
      <c r="A3" s="47"/>
      <c r="B3" s="12"/>
      <c r="C3" s="12"/>
      <c r="D3" s="12"/>
      <c r="E3" s="12"/>
      <c r="H3" s="35"/>
      <c r="I3" s="278"/>
      <c r="J3" s="35"/>
      <c r="K3" s="35"/>
      <c r="L3" s="35"/>
      <c r="M3" s="35"/>
      <c r="N3" s="35"/>
      <c r="O3" s="35"/>
      <c r="P3" s="35"/>
    </row>
    <row r="4" spans="1:16" x14ac:dyDescent="0.45">
      <c r="F4" s="32"/>
      <c r="H4" s="35"/>
      <c r="I4" s="35"/>
      <c r="J4" s="387"/>
      <c r="K4" s="13"/>
      <c r="L4" s="35"/>
      <c r="M4" s="35"/>
      <c r="N4" s="35"/>
      <c r="O4" s="35"/>
      <c r="P4" s="35"/>
    </row>
    <row r="5" spans="1:16" ht="13.5" customHeight="1" x14ac:dyDescent="0.45">
      <c r="D5" s="258"/>
      <c r="E5" s="258"/>
      <c r="F5" s="32"/>
      <c r="G5" s="32"/>
      <c r="H5" s="35"/>
      <c r="J5" s="866" t="s">
        <v>335</v>
      </c>
      <c r="K5" s="867"/>
      <c r="L5" s="867"/>
      <c r="M5" s="867"/>
      <c r="N5" s="868"/>
      <c r="O5" s="35"/>
      <c r="P5" s="35"/>
    </row>
    <row r="6" spans="1:16" x14ac:dyDescent="0.45">
      <c r="A6" s="10"/>
      <c r="B6" s="8"/>
      <c r="C6" s="457" t="s">
        <v>356</v>
      </c>
      <c r="D6" s="8"/>
      <c r="E6" s="13"/>
      <c r="F6" s="32"/>
      <c r="G6" s="48"/>
      <c r="H6" s="35"/>
      <c r="I6" s="9"/>
      <c r="J6" s="123"/>
      <c r="K6" s="223">
        <v>2021</v>
      </c>
      <c r="L6" s="223">
        <v>2022</v>
      </c>
      <c r="M6" s="223">
        <v>2023</v>
      </c>
      <c r="N6" s="869" t="s">
        <v>348</v>
      </c>
      <c r="O6" s="35"/>
      <c r="P6" s="35"/>
    </row>
    <row r="7" spans="1:16" ht="14.65" thickBot="1" x14ac:dyDescent="0.5">
      <c r="A7" s="49" t="s">
        <v>333</v>
      </c>
      <c r="C7" s="385"/>
      <c r="E7" s="223"/>
      <c r="F7" s="32"/>
      <c r="G7" s="48"/>
      <c r="H7" s="35"/>
      <c r="I7" s="35"/>
      <c r="J7" s="123" t="s">
        <v>170</v>
      </c>
      <c r="K7" s="224">
        <v>38528590.333333336</v>
      </c>
      <c r="L7" s="224">
        <v>38528590.333333336</v>
      </c>
      <c r="M7" s="224">
        <v>38528590.333333336</v>
      </c>
      <c r="N7" s="870">
        <f>SUM(K7:M7)</f>
        <v>115585771</v>
      </c>
      <c r="O7" s="35"/>
      <c r="P7" s="35"/>
    </row>
    <row r="8" spans="1:16" x14ac:dyDescent="0.45">
      <c r="A8" s="10"/>
      <c r="B8" s="468">
        <v>2021</v>
      </c>
      <c r="C8" s="467">
        <v>2022</v>
      </c>
      <c r="D8" s="468">
        <v>2023</v>
      </c>
      <c r="E8" s="223"/>
      <c r="F8" s="32"/>
      <c r="H8" s="223"/>
      <c r="I8" s="458"/>
      <c r="J8" s="871" t="s">
        <v>347</v>
      </c>
      <c r="K8" s="224">
        <v>2000000</v>
      </c>
      <c r="L8" s="224">
        <v>2000000</v>
      </c>
      <c r="M8" s="224">
        <v>2000000</v>
      </c>
      <c r="N8" s="870">
        <f>SUM(K8:M8)</f>
        <v>6000000</v>
      </c>
      <c r="O8" s="50"/>
      <c r="P8" s="35"/>
    </row>
    <row r="9" spans="1:16" x14ac:dyDescent="0.45">
      <c r="A9" s="94" t="s">
        <v>164</v>
      </c>
      <c r="B9" s="2">
        <f>K21</f>
        <v>46762300.89165359</v>
      </c>
      <c r="C9" s="2">
        <v>0</v>
      </c>
      <c r="D9" s="2">
        <v>0</v>
      </c>
      <c r="E9" s="51"/>
      <c r="G9" s="10"/>
      <c r="H9" s="35"/>
      <c r="I9" s="35"/>
      <c r="J9" s="123" t="s">
        <v>353</v>
      </c>
      <c r="K9" s="224">
        <v>2979409.3842795976</v>
      </c>
      <c r="L9" s="224">
        <v>3108703.1148068728</v>
      </c>
      <c r="M9" s="224">
        <v>3157113.6876081205</v>
      </c>
      <c r="N9" s="870">
        <f>SUM(K9:M9)</f>
        <v>9245226.1866945904</v>
      </c>
      <c r="O9" s="35"/>
      <c r="P9" s="35"/>
    </row>
    <row r="10" spans="1:16" x14ac:dyDescent="0.45">
      <c r="C10" s="50"/>
      <c r="E10" s="34"/>
      <c r="F10" s="32"/>
      <c r="G10" s="10"/>
      <c r="H10" s="35"/>
      <c r="I10" s="462">
        <v>1.35E-2</v>
      </c>
      <c r="J10" s="123" t="s">
        <v>171</v>
      </c>
      <c r="K10" s="224">
        <f>(K7+K9)*$I10</f>
        <v>560357.9961877747</v>
      </c>
      <c r="L10" s="224">
        <f>(L7+L9)*$I10</f>
        <v>562103.46154989291</v>
      </c>
      <c r="M10" s="224">
        <f>(M7+M9)*$I10</f>
        <v>562757.00428270968</v>
      </c>
      <c r="N10" s="872">
        <f>SUM(K10:M10)</f>
        <v>1685218.4620203772</v>
      </c>
      <c r="O10" s="35"/>
      <c r="P10" s="35"/>
    </row>
    <row r="11" spans="1:16" x14ac:dyDescent="0.45">
      <c r="A11" s="1" t="s">
        <v>271</v>
      </c>
      <c r="C11" s="50"/>
      <c r="E11" s="34"/>
      <c r="F11" s="32"/>
      <c r="G11" s="10"/>
      <c r="H11" s="35"/>
      <c r="I11" s="463">
        <v>3.6499999999999998E-2</v>
      </c>
      <c r="J11" s="873" t="s">
        <v>282</v>
      </c>
      <c r="K11" s="461">
        <f>SUM(K7,K9)*$I11</f>
        <v>1515041.9896928722</v>
      </c>
      <c r="L11" s="461">
        <f>SUM(L7,L9)*$I11</f>
        <v>1519761.2108571175</v>
      </c>
      <c r="M11" s="461">
        <f>SUM(M7,M9)*$I11</f>
        <v>1521528.1967643632</v>
      </c>
      <c r="N11" s="874">
        <f>SUM(K11:M11)</f>
        <v>4556331.3973143529</v>
      </c>
      <c r="O11" s="35"/>
      <c r="P11" s="35"/>
    </row>
    <row r="12" spans="1:16" x14ac:dyDescent="0.45">
      <c r="A12" s="1" t="s">
        <v>317</v>
      </c>
      <c r="C12" s="35"/>
      <c r="E12" s="13"/>
      <c r="F12" s="32"/>
      <c r="G12" s="32"/>
      <c r="H12" s="35"/>
      <c r="J12" s="875" t="s">
        <v>350</v>
      </c>
      <c r="K12" s="464">
        <f>SUM(K7:K11)</f>
        <v>45583399.703493588</v>
      </c>
      <c r="L12" s="464">
        <f>SUM(L7:L11)</f>
        <v>45719158.12054722</v>
      </c>
      <c r="M12" s="464">
        <f>SUM(M7:M11)</f>
        <v>45769989.221988536</v>
      </c>
      <c r="N12" s="872">
        <f>SUM(N7:N11)</f>
        <v>137072547.04602933</v>
      </c>
      <c r="O12" s="52"/>
      <c r="P12" s="52"/>
    </row>
    <row r="13" spans="1:16" x14ac:dyDescent="0.45">
      <c r="A13" s="1" t="s">
        <v>318</v>
      </c>
      <c r="C13" s="35"/>
      <c r="E13" s="13"/>
      <c r="F13" s="32"/>
      <c r="G13" s="32"/>
      <c r="H13" s="35"/>
      <c r="I13" s="35"/>
      <c r="J13" s="123"/>
      <c r="K13" s="224"/>
      <c r="L13" s="224"/>
      <c r="M13" s="224"/>
      <c r="N13" s="870"/>
      <c r="O13" s="52"/>
      <c r="P13" s="52"/>
    </row>
    <row r="14" spans="1:16" x14ac:dyDescent="0.45">
      <c r="C14" s="35"/>
      <c r="E14" s="13"/>
      <c r="F14" s="32"/>
      <c r="G14" s="32"/>
      <c r="H14" s="35"/>
      <c r="J14" s="123" t="s">
        <v>275</v>
      </c>
      <c r="K14" s="224">
        <v>1103248</v>
      </c>
      <c r="L14" s="224">
        <v>1018531</v>
      </c>
      <c r="M14" s="224">
        <v>605203</v>
      </c>
      <c r="N14" s="870">
        <f>SUM(K14:M14)</f>
        <v>2726982</v>
      </c>
      <c r="O14" s="35"/>
      <c r="P14" s="35"/>
    </row>
    <row r="15" spans="1:16" x14ac:dyDescent="0.45">
      <c r="A15" s="94" t="s">
        <v>215</v>
      </c>
      <c r="B15" s="509"/>
      <c r="C15" s="50"/>
      <c r="E15" s="51"/>
      <c r="F15" s="32"/>
      <c r="G15" s="24"/>
      <c r="H15" s="35"/>
      <c r="J15" s="123" t="s">
        <v>351</v>
      </c>
      <c r="K15" s="224">
        <v>6000</v>
      </c>
      <c r="L15" s="224">
        <v>6120</v>
      </c>
      <c r="M15" s="224">
        <v>6242.4000000000005</v>
      </c>
      <c r="N15" s="870">
        <f>SUM(K15:M15)</f>
        <v>18362.400000000001</v>
      </c>
      <c r="O15" s="35"/>
      <c r="P15" s="35"/>
    </row>
    <row r="16" spans="1:16" x14ac:dyDescent="0.45">
      <c r="A16" s="35" t="s">
        <v>391</v>
      </c>
      <c r="B16" s="50">
        <f>-'EEC Uncollectibles'!E25</f>
        <v>9974.5399999999936</v>
      </c>
      <c r="C16" s="50">
        <v>0</v>
      </c>
      <c r="D16" s="50">
        <v>0</v>
      </c>
      <c r="E16" s="51"/>
      <c r="F16" s="32"/>
      <c r="G16" s="32"/>
      <c r="H16" s="35"/>
      <c r="J16" s="123" t="s">
        <v>276</v>
      </c>
      <c r="K16" s="224">
        <v>21500</v>
      </c>
      <c r="L16" s="224">
        <v>21930</v>
      </c>
      <c r="M16" s="224">
        <v>22368.600000000002</v>
      </c>
      <c r="N16" s="870">
        <f>SUM(K16:M16)</f>
        <v>65798.600000000006</v>
      </c>
      <c r="O16" s="52"/>
      <c r="P16" s="50"/>
    </row>
    <row r="17" spans="1:19" x14ac:dyDescent="0.45">
      <c r="A17" s="35" t="s">
        <v>392</v>
      </c>
      <c r="B17" s="50">
        <f>-'EEC Uncollectibles'!I25</f>
        <v>162453.81284918424</v>
      </c>
      <c r="C17" s="50">
        <v>0</v>
      </c>
      <c r="D17" s="50">
        <v>0</v>
      </c>
      <c r="E17" s="51"/>
      <c r="F17" s="32"/>
      <c r="G17" s="33"/>
      <c r="H17" s="35"/>
      <c r="J17" s="123" t="s">
        <v>172</v>
      </c>
      <c r="K17" s="224">
        <v>22638.908159999999</v>
      </c>
      <c r="L17" s="224">
        <v>23091.6863232</v>
      </c>
      <c r="M17" s="224">
        <v>23553.520049663999</v>
      </c>
      <c r="N17" s="870">
        <f>SUM(K17:M17)</f>
        <v>69284.114532863998</v>
      </c>
      <c r="O17" s="52"/>
      <c r="P17" s="35"/>
    </row>
    <row r="18" spans="1:19" x14ac:dyDescent="0.45">
      <c r="A18" s="35" t="s">
        <v>162</v>
      </c>
      <c r="B18" s="386">
        <f>+B16+B9+B17</f>
        <v>46934729.244502775</v>
      </c>
      <c r="C18" s="386">
        <f>+C16+C9+C17</f>
        <v>0</v>
      </c>
      <c r="D18" s="386">
        <f>+D16+D9+D17</f>
        <v>0</v>
      </c>
      <c r="E18" s="51"/>
      <c r="F18" s="32"/>
      <c r="G18" s="32"/>
      <c r="H18" s="35"/>
      <c r="J18" s="876" t="s">
        <v>349</v>
      </c>
      <c r="K18" s="877">
        <v>25514.28</v>
      </c>
      <c r="L18" s="877">
        <v>26024.565599999998</v>
      </c>
      <c r="M18" s="877">
        <v>26545.056912</v>
      </c>
      <c r="N18" s="874">
        <f>SUM(K18:M18)</f>
        <v>78083.902512000001</v>
      </c>
      <c r="O18" s="52"/>
      <c r="P18" s="52"/>
    </row>
    <row r="19" spans="1:19" x14ac:dyDescent="0.45">
      <c r="A19" s="35"/>
      <c r="B19" s="51"/>
      <c r="C19" s="51"/>
      <c r="D19" s="51"/>
      <c r="E19" s="51"/>
      <c r="G19" s="32"/>
      <c r="H19" s="35"/>
      <c r="J19" s="482" t="s">
        <v>352</v>
      </c>
      <c r="K19" s="459">
        <f>SUM(K14:K18)</f>
        <v>1178901.1881600001</v>
      </c>
      <c r="L19" s="459">
        <f>SUM(L14:L18)</f>
        <v>1095697.2519232</v>
      </c>
      <c r="M19" s="459">
        <f>SUM(M14:M18)</f>
        <v>683912.57696166402</v>
      </c>
      <c r="N19" s="870">
        <f>SUM(N14:N18)</f>
        <v>2958511.0170448641</v>
      </c>
      <c r="O19" s="52"/>
      <c r="P19" s="52"/>
    </row>
    <row r="20" spans="1:19" x14ac:dyDescent="0.45">
      <c r="A20" s="387" t="s">
        <v>393</v>
      </c>
      <c r="B20" s="51"/>
      <c r="C20" s="51"/>
      <c r="D20" s="51"/>
      <c r="E20" s="51"/>
      <c r="G20" s="32"/>
      <c r="H20" s="35"/>
      <c r="I20" s="232"/>
      <c r="J20" s="123"/>
      <c r="K20" s="224"/>
      <c r="L20" s="224"/>
      <c r="M20" s="224"/>
      <c r="N20" s="878"/>
      <c r="O20" s="52"/>
      <c r="P20" s="35"/>
    </row>
    <row r="21" spans="1:19" x14ac:dyDescent="0.45">
      <c r="A21" s="387" t="s">
        <v>444</v>
      </c>
      <c r="B21" s="823">
        <f>-'EEC Collection True-Up'!J17</f>
        <v>1198025.9552436443</v>
      </c>
      <c r="C21" s="51"/>
      <c r="D21" s="51"/>
      <c r="E21" s="51"/>
      <c r="F21" s="902" t="s">
        <v>665</v>
      </c>
      <c r="H21" s="35"/>
      <c r="I21" s="232"/>
      <c r="J21" s="482" t="s">
        <v>354</v>
      </c>
      <c r="K21" s="459">
        <f>K19+K12</f>
        <v>46762300.89165359</v>
      </c>
      <c r="L21" s="459">
        <f>L19+L12</f>
        <v>46814855.372470424</v>
      </c>
      <c r="M21" s="459">
        <f>M19+M12</f>
        <v>46453901.798950203</v>
      </c>
      <c r="N21" s="870">
        <f>N19+N12</f>
        <v>140031058.0630742</v>
      </c>
      <c r="O21" s="52"/>
      <c r="P21" s="35"/>
    </row>
    <row r="22" spans="1:19" x14ac:dyDescent="0.45">
      <c r="A22" s="53" t="s">
        <v>165</v>
      </c>
      <c r="B22" s="51">
        <f>IF(F$23=1,-'EEC Collection True-Up'!J14,B$21*F24)</f>
        <v>-50898.415986284614</v>
      </c>
      <c r="C22" s="51">
        <v>0</v>
      </c>
      <c r="D22" s="51">
        <v>0</v>
      </c>
      <c r="E22" s="51"/>
      <c r="F22" s="1" t="s">
        <v>666</v>
      </c>
      <c r="G22" s="896"/>
      <c r="H22" s="35"/>
      <c r="I22" s="460"/>
      <c r="J22" s="283"/>
      <c r="K22" s="879"/>
      <c r="L22" s="879"/>
      <c r="M22" s="879"/>
      <c r="N22" s="880"/>
      <c r="O22" s="52"/>
      <c r="P22" s="35"/>
    </row>
    <row r="23" spans="1:19" x14ac:dyDescent="0.45">
      <c r="A23" s="53" t="s">
        <v>166</v>
      </c>
      <c r="B23" s="51">
        <f>IF(F$23=1,-'EEC Collection True-Up'!J15,B$21*F25)</f>
        <v>1480359.8522145934</v>
      </c>
      <c r="C23" s="51">
        <v>0</v>
      </c>
      <c r="D23" s="51">
        <v>0</v>
      </c>
      <c r="E23" s="51"/>
      <c r="F23" s="904">
        <v>1</v>
      </c>
      <c r="G23" s="896"/>
      <c r="H23" s="35"/>
      <c r="I23" s="13"/>
      <c r="O23" s="52"/>
      <c r="P23" s="35"/>
    </row>
    <row r="24" spans="1:19" x14ac:dyDescent="0.45">
      <c r="A24" s="53" t="s">
        <v>167</v>
      </c>
      <c r="B24" s="54">
        <f>IF(F$23=1,-'EEC Collection True-Up'!J16,B$21*F26)</f>
        <v>-231435.48098466452</v>
      </c>
      <c r="C24" s="54">
        <v>0</v>
      </c>
      <c r="D24" s="54">
        <f>-'EEC Collection True-Up'!K16</f>
        <v>-7.7000000000000002E-3</v>
      </c>
      <c r="F24" s="612">
        <v>0.3</v>
      </c>
      <c r="G24" s="896"/>
      <c r="H24" s="35"/>
      <c r="I24" s="13"/>
      <c r="J24" s="13"/>
      <c r="K24" s="224"/>
      <c r="L24" s="224"/>
      <c r="M24" s="224"/>
      <c r="N24" s="224"/>
      <c r="O24" s="52"/>
    </row>
    <row r="25" spans="1:19" x14ac:dyDescent="0.45">
      <c r="A25" s="53"/>
      <c r="B25" s="824">
        <f>SUM(B22:B24)</f>
        <v>1198025.9552436443</v>
      </c>
      <c r="C25" s="51">
        <f>SUM(C22:C24)</f>
        <v>0</v>
      </c>
      <c r="D25" s="51">
        <f>SUM(D22:D24)</f>
        <v>-7.7000000000000002E-3</v>
      </c>
      <c r="F25" s="612">
        <v>0.7</v>
      </c>
      <c r="G25" s="32"/>
      <c r="H25" s="50"/>
      <c r="I25" s="13"/>
      <c r="J25" s="9"/>
      <c r="K25" s="224"/>
      <c r="L25" s="224"/>
      <c r="M25" s="224"/>
      <c r="N25" s="224"/>
      <c r="O25" s="52"/>
    </row>
    <row r="26" spans="1:19" x14ac:dyDescent="0.45">
      <c r="A26" s="387" t="s">
        <v>394</v>
      </c>
      <c r="B26" s="51"/>
      <c r="C26" s="51"/>
      <c r="D26" s="51"/>
      <c r="F26" s="901">
        <f>1-F25-F24</f>
        <v>0</v>
      </c>
      <c r="G26" s="33"/>
      <c r="H26" s="35"/>
      <c r="I26" s="13"/>
      <c r="J26" s="9"/>
      <c r="K26" s="224"/>
      <c r="L26" s="224"/>
      <c r="M26" s="224"/>
      <c r="N26" s="224"/>
      <c r="P26" s="9"/>
      <c r="Q26" s="9"/>
      <c r="R26" s="9"/>
      <c r="S26" s="9"/>
    </row>
    <row r="27" spans="1:19" x14ac:dyDescent="0.45">
      <c r="A27" s="387" t="s">
        <v>445</v>
      </c>
      <c r="B27" s="823">
        <f>-'EEC Collection True-Up'!L33</f>
        <v>1504115.8678390987</v>
      </c>
      <c r="C27" s="51"/>
      <c r="D27" s="51"/>
      <c r="F27" s="900">
        <f>SUM(F24:F26)</f>
        <v>1</v>
      </c>
      <c r="G27" s="33"/>
      <c r="H27" s="35"/>
      <c r="I27" s="13"/>
      <c r="J27" s="9"/>
      <c r="K27" s="224"/>
      <c r="L27" s="224"/>
      <c r="M27" s="224"/>
      <c r="N27" s="224"/>
      <c r="P27" s="9"/>
      <c r="Q27" s="9"/>
      <c r="R27" s="9"/>
      <c r="S27" s="9"/>
    </row>
    <row r="28" spans="1:19" x14ac:dyDescent="0.45">
      <c r="A28" s="53" t="s">
        <v>165</v>
      </c>
      <c r="B28" s="51">
        <f>IF(F$23=1,-'EEC Collection True-Up'!L30,B$27*F24)</f>
        <v>-722766.12817590451</v>
      </c>
      <c r="C28" s="51">
        <v>0</v>
      </c>
      <c r="D28" s="51">
        <f>-'EEC Collection True-Up'!K30</f>
        <v>-3432.4705659388687</v>
      </c>
      <c r="F28" s="28"/>
      <c r="G28" s="32"/>
      <c r="I28" s="13"/>
      <c r="J28" s="9"/>
      <c r="K28" s="224"/>
      <c r="L28" s="224"/>
      <c r="M28" s="224"/>
      <c r="N28" s="224"/>
      <c r="O28" s="52"/>
      <c r="P28" s="13"/>
      <c r="Q28" s="9"/>
      <c r="R28" s="9"/>
      <c r="S28" s="9"/>
    </row>
    <row r="29" spans="1:19" x14ac:dyDescent="0.45">
      <c r="A29" s="53" t="s">
        <v>166</v>
      </c>
      <c r="B29" s="51">
        <f>IF(F$23=1,-'EEC Collection True-Up'!L31,B$27*F25)</f>
        <v>2186695.4242304107</v>
      </c>
      <c r="C29" s="51">
        <v>0</v>
      </c>
      <c r="D29" s="51">
        <f>-'EEC Collection True-Up'!K31</f>
        <v>10384.780619544146</v>
      </c>
      <c r="F29" s="73"/>
      <c r="G29" s="32"/>
      <c r="I29" s="9"/>
      <c r="J29" s="498"/>
      <c r="K29" s="461"/>
      <c r="L29" s="224"/>
      <c r="M29" s="224"/>
      <c r="N29" s="259"/>
      <c r="O29" s="24"/>
      <c r="P29" s="9"/>
      <c r="Q29" s="224"/>
      <c r="R29" s="224"/>
      <c r="S29" s="224"/>
    </row>
    <row r="30" spans="1:19" x14ac:dyDescent="0.45">
      <c r="A30" s="53" t="s">
        <v>167</v>
      </c>
      <c r="B30" s="54">
        <f>IF(F$23=1,-'EEC Collection True-Up'!L32,B$27*F26)</f>
        <v>40186.571784592539</v>
      </c>
      <c r="C30" s="54">
        <v>0</v>
      </c>
      <c r="D30" s="54">
        <f>-'EEC Collection True-Up'!K32</f>
        <v>190.84904427484756</v>
      </c>
      <c r="F30" s="73"/>
      <c r="G30" s="32"/>
      <c r="H30" s="50"/>
      <c r="I30" s="9"/>
      <c r="J30" s="9"/>
      <c r="K30" s="224"/>
      <c r="L30" s="224"/>
      <c r="M30" s="224"/>
      <c r="N30" s="259"/>
      <c r="O30" s="228"/>
      <c r="P30" s="9"/>
      <c r="Q30" s="224"/>
      <c r="R30" s="224"/>
      <c r="S30" s="224"/>
    </row>
    <row r="31" spans="1:19" x14ac:dyDescent="0.45">
      <c r="A31" s="53"/>
      <c r="B31" s="824">
        <f>SUM(B28:B30)</f>
        <v>1504115.8678390987</v>
      </c>
      <c r="C31" s="51">
        <f>SUM(C28:C30)</f>
        <v>0</v>
      </c>
      <c r="D31" s="51">
        <f>SUM(D28:D30)</f>
        <v>7143.159097880125</v>
      </c>
      <c r="F31" s="1" t="s">
        <v>667</v>
      </c>
      <c r="G31" s="32"/>
      <c r="H31" s="50"/>
      <c r="I31" s="9"/>
      <c r="J31" s="9"/>
      <c r="K31" s="224"/>
      <c r="L31" s="224"/>
      <c r="M31" s="224"/>
      <c r="N31" s="259"/>
      <c r="O31" s="50"/>
      <c r="P31" s="9"/>
      <c r="Q31" s="224"/>
      <c r="R31" s="224"/>
      <c r="S31" s="224"/>
    </row>
    <row r="32" spans="1:19" x14ac:dyDescent="0.45">
      <c r="A32" s="814" t="s">
        <v>673</v>
      </c>
      <c r="B32" s="35"/>
      <c r="C32" s="35"/>
      <c r="D32" s="35"/>
      <c r="E32" s="121"/>
      <c r="F32" s="1" t="s">
        <v>666</v>
      </c>
      <c r="G32" s="32"/>
      <c r="H32" s="35"/>
      <c r="I32" s="9"/>
      <c r="J32" s="9"/>
      <c r="K32" s="224"/>
      <c r="L32" s="224"/>
      <c r="M32" s="224"/>
      <c r="N32" s="224"/>
      <c r="O32" s="52"/>
      <c r="P32" s="35"/>
    </row>
    <row r="33" spans="1:19" x14ac:dyDescent="0.45">
      <c r="A33" s="53" t="s">
        <v>214</v>
      </c>
      <c r="B33" s="905">
        <f>'2021 Rate Factors'!B26</f>
        <v>-2957168.8678390989</v>
      </c>
      <c r="C33" s="54">
        <v>0</v>
      </c>
      <c r="D33" s="54">
        <v>0</v>
      </c>
      <c r="F33" s="903">
        <v>1</v>
      </c>
      <c r="G33" s="32"/>
      <c r="H33" s="35"/>
      <c r="I33" s="9"/>
      <c r="J33" s="9"/>
      <c r="K33" s="224"/>
      <c r="L33" s="224"/>
      <c r="M33" s="224"/>
      <c r="N33" s="224"/>
      <c r="O33" s="52"/>
      <c r="P33" s="35"/>
    </row>
    <row r="34" spans="1:19" x14ac:dyDescent="0.45">
      <c r="A34" s="53" t="s">
        <v>165</v>
      </c>
      <c r="B34" s="51">
        <f>IF(F$33=1,B$33*G49,B$33*F34)</f>
        <v>-1463792.9442888657</v>
      </c>
      <c r="C34" s="51">
        <f t="shared" ref="C34:C36" si="0">+$C$33*D34</f>
        <v>0</v>
      </c>
      <c r="D34" s="51">
        <f>+$C$33*F34</f>
        <v>0</v>
      </c>
      <c r="F34" s="897">
        <v>0</v>
      </c>
      <c r="G34" s="32"/>
      <c r="H34" s="35"/>
      <c r="I34" s="9"/>
      <c r="J34" s="22"/>
      <c r="K34" s="464"/>
      <c r="L34" s="464"/>
      <c r="M34" s="464"/>
      <c r="N34" s="224"/>
      <c r="O34" s="52"/>
      <c r="P34" s="35"/>
    </row>
    <row r="35" spans="1:19" x14ac:dyDescent="0.45">
      <c r="A35" s="53" t="s">
        <v>166</v>
      </c>
      <c r="B35" s="51">
        <f>IF(F$33=1,B$33*G50,B$33*F35)</f>
        <v>-1146441.6313074159</v>
      </c>
      <c r="C35" s="51">
        <f t="shared" si="0"/>
        <v>0</v>
      </c>
      <c r="D35" s="51">
        <f>+$C$33*F35</f>
        <v>0</v>
      </c>
      <c r="F35" s="897">
        <v>1</v>
      </c>
      <c r="G35" s="32"/>
      <c r="H35" s="35"/>
      <c r="I35" s="9"/>
      <c r="N35" s="465"/>
      <c r="O35" s="52"/>
    </row>
    <row r="36" spans="1:19" x14ac:dyDescent="0.45">
      <c r="A36" s="53" t="s">
        <v>167</v>
      </c>
      <c r="B36" s="51">
        <f>IF(F$33=1,B$33*G51,B$33*F36)</f>
        <v>-346934.29224281706</v>
      </c>
      <c r="C36" s="51">
        <f t="shared" si="0"/>
        <v>0</v>
      </c>
      <c r="D36" s="51">
        <f>+$C$33*F36</f>
        <v>0</v>
      </c>
      <c r="F36" s="899">
        <v>0</v>
      </c>
      <c r="H36" s="35"/>
      <c r="I36" s="9"/>
      <c r="J36" s="13"/>
      <c r="K36" s="51"/>
      <c r="L36" s="51"/>
      <c r="M36" s="51"/>
      <c r="N36" s="466"/>
      <c r="O36" s="24"/>
      <c r="P36" s="24"/>
    </row>
    <row r="37" spans="1:19" x14ac:dyDescent="0.45">
      <c r="B37" s="906">
        <f>SUM(B34:B36)</f>
        <v>-2957168.8678390984</v>
      </c>
      <c r="C37" s="386">
        <f>SUM(C34:C36)</f>
        <v>0</v>
      </c>
      <c r="D37" s="386">
        <f>SUM(D34:D36)</f>
        <v>0</v>
      </c>
      <c r="F37" s="898">
        <f>SUM(F34:F36)</f>
        <v>1</v>
      </c>
      <c r="H37" s="35"/>
      <c r="K37" s="25"/>
      <c r="L37" s="24"/>
      <c r="M37" s="401"/>
      <c r="N37" s="58"/>
      <c r="O37" s="24"/>
      <c r="P37" s="24"/>
    </row>
    <row r="38" spans="1:19" x14ac:dyDescent="0.45">
      <c r="B38" s="51"/>
      <c r="C38" s="51"/>
      <c r="D38" s="51"/>
      <c r="E38" s="51"/>
      <c r="F38" s="32"/>
      <c r="H38" s="35"/>
      <c r="K38" s="2"/>
      <c r="L38" s="24"/>
      <c r="N38" s="24"/>
      <c r="O38" s="228"/>
      <c r="P38" s="52"/>
    </row>
    <row r="39" spans="1:19" x14ac:dyDescent="0.45">
      <c r="A39" s="10" t="s">
        <v>168</v>
      </c>
      <c r="B39" s="388">
        <f>+B31+B25+B18+B37</f>
        <v>46679702.199746422</v>
      </c>
      <c r="C39" s="388">
        <f>+C31+C25+C18+C37</f>
        <v>0</v>
      </c>
      <c r="D39" s="388">
        <f>+D31+D25+D18+D37</f>
        <v>7143.1513978801249</v>
      </c>
      <c r="E39" s="51"/>
      <c r="F39" s="32"/>
      <c r="G39" s="24">
        <f>B16+B17+B25+B31+B37</f>
        <v>-82598.69190717116</v>
      </c>
      <c r="H39" s="35"/>
      <c r="O39" s="50"/>
    </row>
    <row r="40" spans="1:19" x14ac:dyDescent="0.45">
      <c r="A40" s="67" t="s">
        <v>51</v>
      </c>
      <c r="B40" s="55">
        <f>B39*0.01025</f>
        <v>478466.94754740084</v>
      </c>
      <c r="C40" s="55">
        <f>C41-C39</f>
        <v>0</v>
      </c>
      <c r="D40" s="55">
        <f>D41-D39</f>
        <v>90.419637947848969</v>
      </c>
      <c r="E40" s="277"/>
      <c r="F40" s="28"/>
      <c r="G40" s="92"/>
      <c r="H40" s="32"/>
      <c r="I40" s="92"/>
      <c r="O40" s="24"/>
      <c r="P40" s="35"/>
      <c r="Q40" s="35"/>
    </row>
    <row r="41" spans="1:19" s="10" customFormat="1" ht="14.65" thickBot="1" x14ac:dyDescent="0.5">
      <c r="A41" s="56" t="s">
        <v>334</v>
      </c>
      <c r="B41" s="389">
        <f>SUM(B39:B40)</f>
        <v>47158169.147293821</v>
      </c>
      <c r="C41" s="389">
        <f>C39/0.9875</f>
        <v>0</v>
      </c>
      <c r="D41" s="389">
        <f>D39/0.9875</f>
        <v>7233.5710358279739</v>
      </c>
      <c r="E41" s="51"/>
      <c r="F41" s="24"/>
      <c r="G41" s="24"/>
      <c r="H41" s="32"/>
      <c r="I41" s="92"/>
      <c r="O41" s="1"/>
      <c r="P41" s="24"/>
      <c r="Q41" s="50"/>
      <c r="R41" s="58"/>
    </row>
    <row r="42" spans="1:19" s="10" customFormat="1" ht="14.65" thickTop="1" x14ac:dyDescent="0.45">
      <c r="A42" s="22"/>
      <c r="B42" s="22"/>
      <c r="C42" s="34"/>
      <c r="D42" s="34"/>
      <c r="E42" s="34"/>
      <c r="F42" s="32"/>
      <c r="G42" s="32"/>
      <c r="H42" s="32"/>
      <c r="I42" s="58"/>
      <c r="O42" s="1"/>
      <c r="P42" s="24"/>
      <c r="Q42" s="227"/>
      <c r="R42" s="58"/>
    </row>
    <row r="43" spans="1:19" s="10" customFormat="1" x14ac:dyDescent="0.45">
      <c r="A43" s="1046" t="s">
        <v>95</v>
      </c>
      <c r="B43" s="1046"/>
      <c r="C43" s="1046"/>
      <c r="D43" s="1046"/>
      <c r="E43" s="1046"/>
      <c r="F43" s="1046"/>
      <c r="G43" s="1046"/>
      <c r="H43" s="58"/>
      <c r="I43" s="58"/>
      <c r="O43" s="1"/>
      <c r="P43" s="24"/>
      <c r="Q43" s="227"/>
      <c r="R43" s="41"/>
      <c r="S43" s="41"/>
    </row>
    <row r="44" spans="1:19" x14ac:dyDescent="0.45">
      <c r="H44" s="35"/>
      <c r="I44" s="35"/>
      <c r="P44" s="24"/>
      <c r="Q44" s="50"/>
      <c r="R44" s="51"/>
      <c r="S44" s="51"/>
    </row>
    <row r="45" spans="1:19" ht="12.75" customHeight="1" x14ac:dyDescent="0.45">
      <c r="B45" s="1047" t="s">
        <v>315</v>
      </c>
      <c r="C45" s="1047"/>
      <c r="D45" s="1047"/>
      <c r="E45" s="1047"/>
      <c r="F45" s="1047"/>
      <c r="G45" s="1047"/>
      <c r="H45" s="35"/>
      <c r="I45" s="35"/>
      <c r="P45" s="24"/>
      <c r="Q45" s="24"/>
      <c r="R45" s="24"/>
      <c r="S45" s="24"/>
    </row>
    <row r="46" spans="1:19" x14ac:dyDescent="0.45">
      <c r="A46" s="10" t="s">
        <v>98</v>
      </c>
      <c r="B46" s="390" t="s">
        <v>52</v>
      </c>
      <c r="C46" s="390">
        <v>2019</v>
      </c>
      <c r="D46" s="391">
        <v>2020</v>
      </c>
      <c r="E46" s="391" t="s">
        <v>16</v>
      </c>
      <c r="F46" s="390" t="s">
        <v>52</v>
      </c>
      <c r="G46" s="391" t="s">
        <v>53</v>
      </c>
      <c r="H46" s="865">
        <v>2019</v>
      </c>
      <c r="I46" s="1" t="s">
        <v>82</v>
      </c>
      <c r="J46" s="35"/>
      <c r="Q46" s="24"/>
    </row>
    <row r="47" spans="1:19" x14ac:dyDescent="0.45">
      <c r="B47" s="390" t="s">
        <v>96</v>
      </c>
      <c r="C47" s="391" t="s">
        <v>281</v>
      </c>
      <c r="D47" s="391" t="s">
        <v>281</v>
      </c>
      <c r="E47" s="391" t="s">
        <v>403</v>
      </c>
      <c r="F47" s="390" t="s">
        <v>96</v>
      </c>
      <c r="G47" s="391" t="s">
        <v>54</v>
      </c>
      <c r="H47" s="390" t="s">
        <v>10</v>
      </c>
      <c r="I47" s="1" t="s">
        <v>65</v>
      </c>
      <c r="J47" s="35"/>
      <c r="O47" s="24"/>
      <c r="Q47" s="24"/>
    </row>
    <row r="48" spans="1:19" ht="14.65" thickBot="1" x14ac:dyDescent="0.5">
      <c r="A48" s="1" t="s">
        <v>169</v>
      </c>
      <c r="B48" s="392" t="s">
        <v>55</v>
      </c>
      <c r="C48" s="393" t="s">
        <v>180</v>
      </c>
      <c r="D48" s="393" t="s">
        <v>180</v>
      </c>
      <c r="E48" s="393" t="s">
        <v>611</v>
      </c>
      <c r="F48" s="392" t="s">
        <v>55</v>
      </c>
      <c r="G48" s="393" t="s">
        <v>27</v>
      </c>
      <c r="H48" s="392" t="s">
        <v>56</v>
      </c>
      <c r="I48" s="1" t="s">
        <v>297</v>
      </c>
      <c r="J48" s="35"/>
      <c r="K48" s="121"/>
      <c r="O48" s="24"/>
      <c r="Q48" s="24"/>
    </row>
    <row r="49" spans="1:45" x14ac:dyDescent="0.45">
      <c r="A49" s="1" t="s">
        <v>3</v>
      </c>
      <c r="B49" s="394">
        <f>SUM(C49:F49)</f>
        <v>20995143.88828899</v>
      </c>
      <c r="C49" s="394">
        <f>B22</f>
        <v>-50898.415986284614</v>
      </c>
      <c r="D49" s="394">
        <f>B28</f>
        <v>-722766.12817590451</v>
      </c>
      <c r="E49" s="394">
        <f>B34</f>
        <v>-1463792.9442888657</v>
      </c>
      <c r="F49" s="394">
        <f>$B$18*G49</f>
        <v>23232601.376740046</v>
      </c>
      <c r="G49" s="61">
        <f>H49/H53</f>
        <v>0.49499809098102254</v>
      </c>
      <c r="H49" s="394">
        <f>'Util Rev and Load Data'!D42</f>
        <v>374262106.08999997</v>
      </c>
      <c r="J49" s="35"/>
      <c r="K49" s="62"/>
      <c r="O49" s="24"/>
      <c r="Q49" s="24"/>
    </row>
    <row r="50" spans="1:45" x14ac:dyDescent="0.45">
      <c r="A50" s="1" t="s">
        <v>272</v>
      </c>
      <c r="B50" s="394">
        <f t="shared" ref="B50:B53" si="1">SUM(C50:F50)</f>
        <v>20716371.129680187</v>
      </c>
      <c r="C50" s="394">
        <f>B23</f>
        <v>1480359.8522145934</v>
      </c>
      <c r="D50" s="394">
        <f t="shared" ref="D50:D51" si="2">B29</f>
        <v>2186695.4242304107</v>
      </c>
      <c r="E50" s="394">
        <f>B35</f>
        <v>-1146441.6313074159</v>
      </c>
      <c r="F50" s="394">
        <f t="shared" ref="F50:F51" si="3">$B$18*G50</f>
        <v>18195757.484542597</v>
      </c>
      <c r="G50" s="61">
        <f>(H50/H53)</f>
        <v>0.38768216579567832</v>
      </c>
      <c r="H50" s="233">
        <f>'Util Rev and Load Data'!P42</f>
        <v>293121825.13</v>
      </c>
      <c r="I50" s="62"/>
      <c r="J50" s="35"/>
      <c r="K50" s="62"/>
      <c r="L50" s="35"/>
      <c r="O50" s="24"/>
      <c r="Q50" s="24"/>
    </row>
    <row r="51" spans="1:45" x14ac:dyDescent="0.45">
      <c r="A51" s="1" t="s">
        <v>47</v>
      </c>
      <c r="B51" s="395">
        <f t="shared" si="1"/>
        <v>4968187.1817772416</v>
      </c>
      <c r="C51" s="395">
        <f>B24</f>
        <v>-231435.48098466452</v>
      </c>
      <c r="D51" s="395">
        <f t="shared" si="2"/>
        <v>40186.571784592539</v>
      </c>
      <c r="E51" s="395">
        <f>B36</f>
        <v>-346934.29224281706</v>
      </c>
      <c r="F51" s="395">
        <f t="shared" si="3"/>
        <v>5506370.3832201306</v>
      </c>
      <c r="G51" s="532">
        <f>(H51/H53)</f>
        <v>0.11731974322329905</v>
      </c>
      <c r="H51" s="396">
        <f>+'Util Rev and Load Data'!AA42</f>
        <v>88704047.519999996</v>
      </c>
      <c r="I51" s="793"/>
      <c r="J51" s="35"/>
      <c r="K51" s="62"/>
      <c r="L51" s="35"/>
      <c r="O51" s="24"/>
      <c r="Q51" s="24"/>
    </row>
    <row r="52" spans="1:45" x14ac:dyDescent="0.45">
      <c r="A52" s="1" t="s">
        <v>57</v>
      </c>
      <c r="B52" s="394">
        <f t="shared" si="1"/>
        <v>25684558.311457429</v>
      </c>
      <c r="C52" s="394">
        <f>+C51+C50</f>
        <v>1248924.3712299289</v>
      </c>
      <c r="D52" s="394">
        <f>+D51+D50</f>
        <v>2226881.9960150034</v>
      </c>
      <c r="E52" s="394">
        <f>+E51+E50</f>
        <v>-1493375.923550233</v>
      </c>
      <c r="F52" s="394">
        <f>+F51+F50</f>
        <v>23702127.86776273</v>
      </c>
      <c r="G52" s="61">
        <f>SUM(G50:G51)</f>
        <v>0.50500190901897735</v>
      </c>
      <c r="H52" s="233">
        <f>SUM(H50:H51)</f>
        <v>381825872.64999998</v>
      </c>
      <c r="J52" s="35"/>
      <c r="O52" s="24"/>
      <c r="Q52" s="24"/>
    </row>
    <row r="53" spans="1:45" x14ac:dyDescent="0.45">
      <c r="A53" s="1" t="s">
        <v>97</v>
      </c>
      <c r="B53" s="63">
        <f t="shared" si="1"/>
        <v>46679702.199746422</v>
      </c>
      <c r="C53" s="63">
        <f t="shared" ref="C53:H53" si="4">SUM(C49:C51)</f>
        <v>1198025.9552436443</v>
      </c>
      <c r="D53" s="63">
        <f t="shared" si="4"/>
        <v>1504115.8678390987</v>
      </c>
      <c r="E53" s="63">
        <f t="shared" ref="E53" si="5">SUM(E49:E51)</f>
        <v>-2957168.8678390984</v>
      </c>
      <c r="F53" s="63">
        <f t="shared" si="4"/>
        <v>46934729.244502775</v>
      </c>
      <c r="G53" s="397">
        <f t="shared" si="4"/>
        <v>1</v>
      </c>
      <c r="H53" s="63">
        <f t="shared" si="4"/>
        <v>756087978.74000001</v>
      </c>
      <c r="J53" s="35"/>
      <c r="O53" s="24"/>
      <c r="Q53" s="24"/>
    </row>
    <row r="54" spans="1:45" x14ac:dyDescent="0.45">
      <c r="B54" s="24"/>
      <c r="C54" s="41" t="s">
        <v>402</v>
      </c>
      <c r="D54" s="24"/>
      <c r="G54" s="41"/>
      <c r="H54" s="35"/>
      <c r="I54" s="35"/>
      <c r="N54" s="24"/>
      <c r="P54" s="24"/>
    </row>
    <row r="55" spans="1:45" x14ac:dyDescent="0.45">
      <c r="B55" s="24"/>
      <c r="C55" s="1" t="s">
        <v>81</v>
      </c>
      <c r="N55" s="24"/>
      <c r="P55" s="24"/>
    </row>
    <row r="56" spans="1:45" x14ac:dyDescent="0.45">
      <c r="K56" s="35"/>
      <c r="N56" s="24"/>
      <c r="P56" s="24"/>
    </row>
    <row r="57" spans="1:45" s="65" customFormat="1" ht="14.65" thickBot="1" x14ac:dyDescent="0.5">
      <c r="F57" s="57"/>
      <c r="G57" s="13"/>
      <c r="H57" s="13"/>
      <c r="I57" s="13"/>
      <c r="J57" s="13"/>
      <c r="K57" s="9"/>
      <c r="L57" s="9"/>
      <c r="M57" s="1"/>
      <c r="N57" s="24"/>
      <c r="O57" s="1"/>
      <c r="P57" s="24"/>
      <c r="Q57" s="9"/>
      <c r="R57" s="9"/>
      <c r="S57" s="9"/>
      <c r="T57" s="9"/>
      <c r="U57" s="9"/>
      <c r="V57" s="9"/>
      <c r="W57" s="1"/>
      <c r="X57" s="1"/>
      <c r="Y57" s="1"/>
      <c r="Z57" s="1"/>
      <c r="AA57" s="1"/>
      <c r="AB57" s="1"/>
      <c r="AC57" s="1"/>
      <c r="AD57" s="1"/>
      <c r="AE57" s="1"/>
      <c r="AF57" s="1"/>
      <c r="AG57" s="1"/>
      <c r="AH57" s="1"/>
      <c r="AI57" s="1"/>
      <c r="AJ57" s="1"/>
      <c r="AK57" s="1"/>
      <c r="AL57" s="1"/>
      <c r="AM57" s="1"/>
      <c r="AN57" s="1"/>
      <c r="AO57" s="1"/>
      <c r="AP57" s="1"/>
      <c r="AQ57" s="1"/>
      <c r="AR57" s="1"/>
      <c r="AS57" s="1"/>
    </row>
    <row r="58" spans="1:45" s="9" customFormat="1" ht="14.65" thickTop="1" x14ac:dyDescent="0.45">
      <c r="F58" s="51"/>
      <c r="G58" s="13"/>
      <c r="H58" s="13"/>
      <c r="I58" s="13"/>
      <c r="J58" s="13"/>
      <c r="M58" s="1"/>
      <c r="N58" s="24"/>
      <c r="O58" s="1"/>
      <c r="P58" s="24"/>
      <c r="W58" s="1"/>
      <c r="X58" s="1"/>
      <c r="Y58" s="1"/>
      <c r="Z58" s="1"/>
      <c r="AA58" s="1"/>
      <c r="AB58" s="1"/>
      <c r="AC58" s="1"/>
      <c r="AD58" s="1"/>
      <c r="AE58" s="1"/>
      <c r="AF58" s="1"/>
      <c r="AG58" s="1"/>
      <c r="AH58" s="1"/>
      <c r="AI58" s="1"/>
      <c r="AJ58" s="1"/>
      <c r="AK58" s="1"/>
      <c r="AL58" s="1"/>
      <c r="AM58" s="1"/>
      <c r="AN58" s="1"/>
      <c r="AO58" s="1"/>
      <c r="AP58" s="1"/>
      <c r="AQ58" s="1"/>
      <c r="AR58" s="1"/>
      <c r="AS58" s="1"/>
    </row>
    <row r="59" spans="1:45" x14ac:dyDescent="0.45">
      <c r="A59" s="1048" t="s">
        <v>58</v>
      </c>
      <c r="B59" s="1048"/>
      <c r="C59" s="1048"/>
      <c r="D59" s="1048"/>
      <c r="E59" s="1048"/>
      <c r="F59" s="943" t="s">
        <v>431</v>
      </c>
      <c r="G59" s="944"/>
      <c r="H59" s="945">
        <v>0</v>
      </c>
      <c r="I59" s="267"/>
      <c r="J59" s="9"/>
      <c r="N59" s="24"/>
      <c r="P59" s="24"/>
      <c r="Q59" s="9"/>
      <c r="R59" s="9"/>
      <c r="S59" s="9"/>
      <c r="T59" s="9"/>
      <c r="U59" s="9"/>
      <c r="V59" s="9"/>
    </row>
    <row r="60" spans="1:45" ht="14.65" thickBot="1" x14ac:dyDescent="0.5">
      <c r="B60" s="1049"/>
      <c r="C60" s="1049"/>
      <c r="D60" s="1049"/>
      <c r="E60" s="1049"/>
      <c r="F60" s="283" t="s">
        <v>405</v>
      </c>
      <c r="G60" s="946"/>
      <c r="H60" s="947">
        <v>1</v>
      </c>
      <c r="I60" s="13"/>
      <c r="J60" s="795"/>
      <c r="K60" s="796"/>
      <c r="N60" s="24"/>
      <c r="P60" s="24"/>
    </row>
    <row r="61" spans="1:45" x14ac:dyDescent="0.45">
      <c r="A61" s="10" t="s">
        <v>59</v>
      </c>
      <c r="B61" s="9"/>
      <c r="C61" s="281" t="s">
        <v>319</v>
      </c>
      <c r="D61" s="59" t="s">
        <v>52</v>
      </c>
      <c r="E61" s="59" t="s">
        <v>60</v>
      </c>
      <c r="F61" s="391" t="s">
        <v>406</v>
      </c>
      <c r="G61" s="935" t="s">
        <v>320</v>
      </c>
      <c r="H61" s="948" t="s">
        <v>321</v>
      </c>
      <c r="I61" s="764"/>
      <c r="J61" s="764"/>
      <c r="K61" s="764"/>
      <c r="M61" s="13"/>
      <c r="N61" s="51"/>
      <c r="O61" s="13"/>
      <c r="P61" s="51"/>
      <c r="Q61" s="13"/>
      <c r="R61" s="13"/>
      <c r="S61" s="13"/>
      <c r="T61" s="13"/>
      <c r="U61" s="13"/>
    </row>
    <row r="62" spans="1:45" x14ac:dyDescent="0.45">
      <c r="A62" s="1" t="s">
        <v>91</v>
      </c>
      <c r="B62" s="9"/>
      <c r="C62" s="390">
        <v>2021</v>
      </c>
      <c r="D62" s="59" t="s">
        <v>96</v>
      </c>
      <c r="E62" s="59" t="s">
        <v>61</v>
      </c>
      <c r="F62" s="391" t="s">
        <v>322</v>
      </c>
      <c r="G62" s="935"/>
      <c r="H62" s="948" t="s">
        <v>408</v>
      </c>
      <c r="I62" s="764"/>
      <c r="J62" s="764"/>
      <c r="K62" s="764"/>
      <c r="M62" s="13"/>
      <c r="N62" s="13"/>
      <c r="O62" s="13"/>
      <c r="P62" s="13"/>
      <c r="Q62" s="13"/>
      <c r="R62" s="466"/>
      <c r="S62" s="807"/>
      <c r="T62" s="13"/>
      <c r="U62" s="13"/>
    </row>
    <row r="63" spans="1:45" ht="14.65" thickBot="1" x14ac:dyDescent="0.5">
      <c r="B63" s="66" t="s">
        <v>62</v>
      </c>
      <c r="C63" s="64" t="s">
        <v>18</v>
      </c>
      <c r="D63" s="60" t="s">
        <v>55</v>
      </c>
      <c r="E63" s="60" t="s">
        <v>63</v>
      </c>
      <c r="F63" s="391" t="s">
        <v>283</v>
      </c>
      <c r="G63" s="44"/>
      <c r="H63" s="948" t="s">
        <v>409</v>
      </c>
      <c r="I63" s="764"/>
      <c r="J63" s="44"/>
      <c r="K63" s="764"/>
      <c r="M63" s="13"/>
      <c r="N63" s="13"/>
      <c r="O63" s="13"/>
      <c r="P63" s="13"/>
      <c r="Q63" s="13"/>
      <c r="R63" s="34"/>
      <c r="S63" s="13"/>
      <c r="T63" s="13"/>
      <c r="U63" s="13"/>
    </row>
    <row r="64" spans="1:45" x14ac:dyDescent="0.45">
      <c r="A64" s="10" t="s">
        <v>3</v>
      </c>
      <c r="F64" s="123"/>
      <c r="G64" s="13"/>
      <c r="H64" s="949"/>
      <c r="I64" s="13"/>
      <c r="J64" s="13"/>
      <c r="K64" s="13"/>
      <c r="M64" s="13"/>
      <c r="N64" s="13"/>
      <c r="O64" s="13"/>
      <c r="P64" s="13"/>
      <c r="Q64" s="13"/>
      <c r="R64" s="276"/>
      <c r="S64" s="460"/>
      <c r="T64" s="13"/>
      <c r="U64" s="13"/>
    </row>
    <row r="65" spans="1:21" ht="13.5" customHeight="1" x14ac:dyDescent="0.45">
      <c r="A65" s="1" t="s">
        <v>3</v>
      </c>
      <c r="C65" s="70">
        <f>+'Util Rev and Load Data'!C86-C66</f>
        <v>1984975915.4526622</v>
      </c>
      <c r="D65" s="35"/>
      <c r="E65" s="72"/>
      <c r="F65" s="123"/>
      <c r="G65" s="13"/>
      <c r="H65" s="950"/>
      <c r="I65" s="13"/>
      <c r="J65" s="813" t="s">
        <v>615</v>
      </c>
      <c r="K65" s="810" t="s">
        <v>2</v>
      </c>
      <c r="L65" s="93" t="s">
        <v>323</v>
      </c>
      <c r="M65" s="13"/>
      <c r="N65" s="13"/>
      <c r="O65" s="764"/>
      <c r="P65" s="223"/>
      <c r="Q65" s="764"/>
      <c r="R65" s="13"/>
      <c r="S65" s="13"/>
      <c r="T65" s="13"/>
      <c r="U65" s="13"/>
    </row>
    <row r="66" spans="1:21" x14ac:dyDescent="0.45">
      <c r="A66" s="1" t="s">
        <v>407</v>
      </c>
      <c r="C66" s="70">
        <f>'Gross Consumption'!U33</f>
        <v>32332439.608162135</v>
      </c>
      <c r="D66" s="35"/>
      <c r="E66" s="72"/>
      <c r="F66" s="204"/>
      <c r="G66" s="951"/>
      <c r="H66" s="952"/>
      <c r="I66" s="13"/>
      <c r="J66" s="812">
        <v>2018</v>
      </c>
      <c r="K66" s="797">
        <v>4871856.7607075162</v>
      </c>
      <c r="L66" s="25"/>
      <c r="M66" s="13"/>
      <c r="N66" s="13"/>
      <c r="O66" s="764"/>
      <c r="P66" s="223"/>
      <c r="Q66" s="764"/>
      <c r="R66" s="13"/>
      <c r="S66" s="13"/>
      <c r="T66" s="13"/>
      <c r="U66" s="13"/>
    </row>
    <row r="67" spans="1:21" ht="16.5" x14ac:dyDescent="0.75">
      <c r="A67" s="67" t="s">
        <v>400</v>
      </c>
      <c r="C67" s="563">
        <f>IF(H$60=1,H67,0)</f>
        <v>0</v>
      </c>
      <c r="D67" s="35"/>
      <c r="E67" s="35"/>
      <c r="F67" s="953">
        <v>0</v>
      </c>
      <c r="G67" s="954">
        <v>1</v>
      </c>
      <c r="H67" s="955">
        <f>F67*G67*C$65</f>
        <v>0</v>
      </c>
      <c r="I67" s="13"/>
      <c r="J67" s="811">
        <v>2019</v>
      </c>
      <c r="K67" s="674">
        <f>'Util Rev and Load Data'!L88</f>
        <v>4826265.0140000004</v>
      </c>
      <c r="L67" s="25">
        <f>K67/K66-1</f>
        <v>-9.3581870212651186E-3</v>
      </c>
      <c r="M67" s="13"/>
      <c r="N67" s="13"/>
      <c r="O67" s="223"/>
      <c r="P67" s="223"/>
      <c r="Q67" s="223"/>
      <c r="R67" s="13"/>
      <c r="S67" s="13"/>
      <c r="T67" s="13"/>
      <c r="U67" s="13"/>
    </row>
    <row r="68" spans="1:21" x14ac:dyDescent="0.45">
      <c r="A68" s="10" t="s">
        <v>64</v>
      </c>
      <c r="B68" s="545">
        <f>C68/C83</f>
        <v>0.45827294285824532</v>
      </c>
      <c r="C68" s="564">
        <f>SUM(C65:C67)</f>
        <v>2017308355.0608244</v>
      </c>
      <c r="D68" s="388">
        <f>B49</f>
        <v>20995143.88828899</v>
      </c>
      <c r="E68" s="546">
        <f>D68/C68</f>
        <v>1.0407503560681956E-2</v>
      </c>
      <c r="F68" s="123"/>
      <c r="G68" s="956"/>
      <c r="H68" s="957">
        <f>SUM(H66:H67)</f>
        <v>0</v>
      </c>
      <c r="I68" s="268"/>
      <c r="J68" s="47">
        <v>2020</v>
      </c>
      <c r="K68" s="28">
        <v>4069140.035446885</v>
      </c>
      <c r="L68" s="25">
        <f>K68/K67-1</f>
        <v>-0.15687596440660678</v>
      </c>
      <c r="M68" s="13"/>
      <c r="N68" s="674"/>
      <c r="O68" s="13"/>
      <c r="P68" s="800"/>
      <c r="Q68" s="13"/>
      <c r="R68" s="34"/>
      <c r="S68" s="13"/>
      <c r="T68" s="13"/>
      <c r="U68" s="13"/>
    </row>
    <row r="69" spans="1:21" x14ac:dyDescent="0.45">
      <c r="B69" s="25"/>
      <c r="C69" s="61"/>
      <c r="D69" s="234"/>
      <c r="E69" s="69"/>
      <c r="F69" s="958"/>
      <c r="G69" s="956"/>
      <c r="H69" s="949"/>
      <c r="I69" s="271"/>
      <c r="J69" s="675"/>
      <c r="K69" s="13"/>
      <c r="M69" s="13"/>
      <c r="N69" s="674"/>
      <c r="O69" s="34"/>
      <c r="P69" s="34"/>
      <c r="Q69" s="13"/>
      <c r="R69" s="13"/>
      <c r="S69" s="13"/>
      <c r="T69" s="13"/>
      <c r="U69" s="13"/>
    </row>
    <row r="70" spans="1:21" ht="16.5" x14ac:dyDescent="0.75">
      <c r="A70" s="10" t="s">
        <v>4</v>
      </c>
      <c r="B70" s="25"/>
      <c r="C70" s="35"/>
      <c r="D70" s="227"/>
      <c r="E70" s="69"/>
      <c r="F70" s="959" t="s">
        <v>612</v>
      </c>
      <c r="G70" s="960" t="s">
        <v>1</v>
      </c>
      <c r="H70" s="961" t="s">
        <v>323</v>
      </c>
      <c r="I70" s="271"/>
      <c r="J70" s="808" t="s">
        <v>613</v>
      </c>
      <c r="K70" s="223" t="s">
        <v>1</v>
      </c>
      <c r="L70" s="93" t="s">
        <v>614</v>
      </c>
      <c r="M70" s="13"/>
      <c r="N70" s="674"/>
      <c r="O70" s="13"/>
      <c r="P70" s="34"/>
      <c r="Q70" s="13"/>
      <c r="R70" s="13"/>
      <c r="S70" s="13"/>
      <c r="T70" s="13"/>
      <c r="U70" s="13"/>
    </row>
    <row r="71" spans="1:21" x14ac:dyDescent="0.45">
      <c r="A71" s="1" t="s">
        <v>443</v>
      </c>
      <c r="B71" s="25"/>
      <c r="C71" s="68">
        <f>'Util Rev and Load Data'!P86-'Util Rev and Load Data'!H86-C73</f>
        <v>1802010776.2353535</v>
      </c>
      <c r="D71" s="70"/>
      <c r="E71" s="72"/>
      <c r="F71" s="962">
        <v>2018</v>
      </c>
      <c r="G71" s="963">
        <v>1854692474.31949</v>
      </c>
      <c r="H71" s="952"/>
      <c r="I71" s="271"/>
      <c r="J71" s="675" t="s">
        <v>465</v>
      </c>
      <c r="K71" s="674">
        <f>315935328</f>
        <v>315935328</v>
      </c>
      <c r="L71" s="25">
        <f>K71/SUM(K71:K72)</f>
        <v>0.18996941142993476</v>
      </c>
      <c r="M71" s="13"/>
      <c r="N71" s="674"/>
      <c r="O71" s="801"/>
      <c r="P71" s="34"/>
      <c r="Q71" s="13"/>
      <c r="R71" s="13"/>
      <c r="S71" s="13"/>
      <c r="T71" s="13"/>
      <c r="U71" s="13"/>
    </row>
    <row r="72" spans="1:21" ht="16.5" x14ac:dyDescent="0.75">
      <c r="A72" s="1" t="s">
        <v>442</v>
      </c>
      <c r="B72" s="25"/>
      <c r="C72" s="68">
        <f>'Util Rev and Load Data'!H86</f>
        <v>13126578.48</v>
      </c>
      <c r="D72" s="61"/>
      <c r="E72" s="72"/>
      <c r="F72" s="964">
        <v>2019</v>
      </c>
      <c r="G72" s="965">
        <f>SUM(C71:C72)</f>
        <v>1815137354.7153535</v>
      </c>
      <c r="H72" s="966">
        <f>G72/G71-1</f>
        <v>-2.1327050253250102E-2</v>
      </c>
      <c r="I72" s="271"/>
      <c r="J72" s="675" t="s">
        <v>425</v>
      </c>
      <c r="K72" s="809">
        <f>1347149932</f>
        <v>1347149932</v>
      </c>
      <c r="L72" s="25">
        <f>1-L71</f>
        <v>0.81003058857006527</v>
      </c>
      <c r="M72" s="13"/>
      <c r="N72" s="674"/>
      <c r="O72" s="801"/>
      <c r="P72" s="34"/>
      <c r="Q72" s="13"/>
      <c r="R72" s="13"/>
      <c r="S72" s="13"/>
      <c r="T72" s="13"/>
      <c r="U72" s="13"/>
    </row>
    <row r="73" spans="1:21" x14ac:dyDescent="0.45">
      <c r="A73" s="1" t="s">
        <v>407</v>
      </c>
      <c r="B73" s="25"/>
      <c r="C73" s="70">
        <f>'Gross Consumption'!V33</f>
        <v>1912986.4275287413</v>
      </c>
      <c r="D73" s="35"/>
      <c r="E73" s="69"/>
      <c r="F73" s="204"/>
      <c r="G73" s="956"/>
      <c r="H73" s="952"/>
      <c r="I73" s="271"/>
      <c r="J73" s="675"/>
      <c r="K73" s="674">
        <f>SUM(K71:K72)</f>
        <v>1663085260</v>
      </c>
      <c r="M73" s="13"/>
      <c r="N73" s="674"/>
      <c r="O73" s="801"/>
      <c r="P73" s="34"/>
      <c r="Q73" s="13"/>
      <c r="R73" s="13"/>
      <c r="S73" s="13"/>
      <c r="T73" s="13"/>
      <c r="U73" s="13"/>
    </row>
    <row r="74" spans="1:21" ht="16.5" x14ac:dyDescent="0.75">
      <c r="A74" s="67" t="s">
        <v>400</v>
      </c>
      <c r="B74" s="25"/>
      <c r="C74" s="563">
        <f>IF(H$60=1,H74,0)</f>
        <v>-139765576.31308222</v>
      </c>
      <c r="D74" s="35"/>
      <c r="E74" s="69"/>
      <c r="F74" s="953">
        <v>-7.6999999999999999E-2</v>
      </c>
      <c r="G74" s="954">
        <v>1</v>
      </c>
      <c r="H74" s="955">
        <f>F74*G74*(C$71+C$72)</f>
        <v>-139765576.31308222</v>
      </c>
      <c r="I74" s="271"/>
      <c r="J74" s="798"/>
      <c r="K74" s="799"/>
      <c r="M74" s="13"/>
      <c r="N74" s="674"/>
      <c r="O74" s="802"/>
      <c r="P74" s="34"/>
      <c r="Q74" s="13"/>
      <c r="R74" s="13"/>
      <c r="S74" s="13"/>
      <c r="T74" s="13"/>
      <c r="U74" s="13"/>
    </row>
    <row r="75" spans="1:21" x14ac:dyDescent="0.45">
      <c r="A75" s="58" t="s">
        <v>83</v>
      </c>
      <c r="B75" s="547">
        <f>C75/C83</f>
        <v>0.38102961466526841</v>
      </c>
      <c r="C75" s="564">
        <f>SUM(C71:C74)</f>
        <v>1677284764.8298001</v>
      </c>
      <c r="D75" s="388">
        <f>B50</f>
        <v>20716371.129680187</v>
      </c>
      <c r="E75" s="546">
        <f>D75/C75</f>
        <v>1.2351135337345266E-2</v>
      </c>
      <c r="F75" s="123"/>
      <c r="G75" s="956"/>
      <c r="H75" s="957">
        <f>SUM(H73:H74)</f>
        <v>-139765576.31308222</v>
      </c>
      <c r="I75" s="268"/>
      <c r="J75" s="813" t="s">
        <v>616</v>
      </c>
      <c r="K75" s="810" t="s">
        <v>2</v>
      </c>
      <c r="L75" s="93" t="s">
        <v>323</v>
      </c>
      <c r="M75" s="13"/>
      <c r="N75" s="674"/>
      <c r="O75" s="803"/>
      <c r="P75" s="34"/>
      <c r="Q75" s="13"/>
      <c r="R75" s="34"/>
      <c r="S75" s="13"/>
      <c r="T75" s="13"/>
      <c r="U75" s="13"/>
    </row>
    <row r="76" spans="1:21" x14ac:dyDescent="0.45">
      <c r="A76" s="35"/>
      <c r="B76" s="61"/>
      <c r="C76" s="61"/>
      <c r="D76" s="35"/>
      <c r="E76" s="69"/>
      <c r="F76" s="958"/>
      <c r="G76" s="956"/>
      <c r="H76" s="967"/>
      <c r="I76" s="271"/>
      <c r="J76" s="812">
        <v>2018</v>
      </c>
      <c r="K76" s="797">
        <v>1390845.426</v>
      </c>
      <c r="L76" s="25"/>
      <c r="M76" s="13"/>
      <c r="N76" s="13"/>
      <c r="O76" s="13"/>
      <c r="P76" s="34"/>
      <c r="Q76" s="13"/>
      <c r="R76" s="34"/>
      <c r="S76" s="13"/>
      <c r="T76" s="13"/>
      <c r="U76" s="13"/>
    </row>
    <row r="77" spans="1:21" x14ac:dyDescent="0.45">
      <c r="A77" s="58" t="s">
        <v>47</v>
      </c>
      <c r="B77" s="61"/>
      <c r="C77" s="35"/>
      <c r="D77" s="35"/>
      <c r="E77" s="69"/>
      <c r="F77" s="959" t="s">
        <v>612</v>
      </c>
      <c r="G77" s="960" t="s">
        <v>1</v>
      </c>
      <c r="H77" s="961" t="s">
        <v>323</v>
      </c>
      <c r="I77" s="271"/>
      <c r="J77" s="811">
        <v>2019</v>
      </c>
      <c r="K77" s="674">
        <f>'Util Rev and Load Data'!W86</f>
        <v>1745708.25</v>
      </c>
      <c r="L77" s="25">
        <f>K77/K76-1</f>
        <v>0.25514181329306118</v>
      </c>
      <c r="M77" s="13"/>
      <c r="N77" s="13"/>
      <c r="O77" s="13"/>
      <c r="P77" s="34"/>
      <c r="Q77" s="13"/>
      <c r="R77" s="13"/>
      <c r="S77" s="13"/>
      <c r="T77" s="13"/>
      <c r="U77" s="13"/>
    </row>
    <row r="78" spans="1:21" x14ac:dyDescent="0.45">
      <c r="A78" s="35" t="s">
        <v>47</v>
      </c>
      <c r="B78" s="61"/>
      <c r="C78" s="70">
        <f>+'Util Rev and Load Data'!AA86</f>
        <v>733043458</v>
      </c>
      <c r="D78" s="35"/>
      <c r="E78" s="72"/>
      <c r="F78" s="962">
        <v>2018</v>
      </c>
      <c r="G78" s="963">
        <v>723172968</v>
      </c>
      <c r="H78" s="952"/>
      <c r="I78" s="271"/>
      <c r="J78" s="47">
        <v>2020</v>
      </c>
      <c r="K78" s="28">
        <v>1526885.5499130297</v>
      </c>
      <c r="L78" s="25">
        <f>K78/K77-1</f>
        <v>-0.1253489522587582</v>
      </c>
      <c r="M78" s="13"/>
      <c r="N78" s="675"/>
      <c r="O78" s="803"/>
      <c r="P78" s="34"/>
      <c r="Q78" s="13"/>
      <c r="R78" s="13"/>
      <c r="S78" s="13"/>
      <c r="T78" s="13"/>
      <c r="U78" s="13"/>
    </row>
    <row r="79" spans="1:21" x14ac:dyDescent="0.45">
      <c r="A79" s="1" t="s">
        <v>407</v>
      </c>
      <c r="B79" s="61"/>
      <c r="C79" s="70">
        <f>IF(H$59=1,H79,0)</f>
        <v>0</v>
      </c>
      <c r="D79" s="35"/>
      <c r="E79" s="72"/>
      <c r="F79" s="964">
        <v>2019</v>
      </c>
      <c r="G79" s="965">
        <f>SUM(C78:C79)</f>
        <v>733043458</v>
      </c>
      <c r="H79" s="966">
        <f>G79/G78-1</f>
        <v>1.3648864707011654E-2</v>
      </c>
      <c r="I79" s="271"/>
      <c r="M79" s="13"/>
      <c r="N79" s="675"/>
      <c r="O79" s="803"/>
      <c r="P79" s="34"/>
      <c r="Q79" s="13"/>
      <c r="R79" s="13"/>
      <c r="S79" s="13"/>
      <c r="T79" s="13"/>
      <c r="U79" s="13"/>
    </row>
    <row r="80" spans="1:21" ht="16.5" x14ac:dyDescent="0.75">
      <c r="A80" s="67" t="s">
        <v>400</v>
      </c>
      <c r="B80" s="61"/>
      <c r="C80" s="563">
        <f>IF(H$60=1,H80,0)</f>
        <v>-25656521.030000001</v>
      </c>
      <c r="D80" s="35"/>
      <c r="E80" s="70"/>
      <c r="F80" s="953">
        <v>-3.5000000000000003E-2</v>
      </c>
      <c r="G80" s="954">
        <v>1</v>
      </c>
      <c r="H80" s="968">
        <f>F80*G80*C$78</f>
        <v>-25656521.030000001</v>
      </c>
      <c r="I80" s="271"/>
      <c r="J80" s="808" t="s">
        <v>613</v>
      </c>
      <c r="K80" s="223" t="s">
        <v>1</v>
      </c>
      <c r="L80" s="93" t="s">
        <v>614</v>
      </c>
      <c r="M80" s="13"/>
      <c r="N80" s="13"/>
      <c r="O80" s="801"/>
      <c r="P80" s="51"/>
      <c r="Q80" s="13"/>
      <c r="R80" s="13"/>
      <c r="S80" s="13"/>
      <c r="T80" s="13"/>
      <c r="U80" s="13"/>
    </row>
    <row r="81" spans="1:45" x14ac:dyDescent="0.45">
      <c r="A81" s="58" t="s">
        <v>66</v>
      </c>
      <c r="B81" s="547">
        <f>C81/C83</f>
        <v>0.16069744247648629</v>
      </c>
      <c r="C81" s="564">
        <f>SUM(C78:C80)</f>
        <v>707386936.97000003</v>
      </c>
      <c r="D81" s="388">
        <f>B51</f>
        <v>4968187.1817772416</v>
      </c>
      <c r="E81" s="546">
        <f>D81/C81</f>
        <v>7.0232950626114548E-3</v>
      </c>
      <c r="F81" s="123"/>
      <c r="G81" s="969"/>
      <c r="H81" s="970">
        <f>SUM(H79:H80)</f>
        <v>-25656521.016351137</v>
      </c>
      <c r="I81" s="268"/>
      <c r="J81" s="675" t="s">
        <v>468</v>
      </c>
      <c r="K81" s="674">
        <v>6568991.2031142469</v>
      </c>
      <c r="L81" s="25">
        <f>K81/SUM(K81:K82)</f>
        <v>9.5979579525602727E-3</v>
      </c>
      <c r="M81" s="13"/>
      <c r="N81" s="268"/>
      <c r="O81" s="801"/>
      <c r="P81" s="460"/>
      <c r="Q81" s="13"/>
      <c r="R81" s="13"/>
      <c r="S81" s="13"/>
      <c r="T81" s="13"/>
      <c r="U81" s="13"/>
    </row>
    <row r="82" spans="1:45" ht="16.5" x14ac:dyDescent="0.75">
      <c r="A82" s="35"/>
      <c r="B82" s="35"/>
      <c r="C82" s="35"/>
      <c r="D82" s="35"/>
      <c r="E82" s="69"/>
      <c r="F82" s="958"/>
      <c r="G82" s="969"/>
      <c r="H82" s="971"/>
      <c r="I82" s="271"/>
      <c r="J82" s="675" t="s">
        <v>426</v>
      </c>
      <c r="K82" s="809">
        <v>677846510.05066609</v>
      </c>
      <c r="L82" s="25">
        <f>1-L81</f>
        <v>0.99040204204743976</v>
      </c>
      <c r="M82" s="13"/>
      <c r="N82" s="13"/>
      <c r="O82" s="13"/>
      <c r="P82" s="13"/>
      <c r="Q82" s="13"/>
      <c r="R82" s="13"/>
      <c r="S82" s="13"/>
      <c r="T82" s="13"/>
      <c r="U82" s="13"/>
    </row>
    <row r="83" spans="1:45" x14ac:dyDescent="0.45">
      <c r="A83" s="35" t="s">
        <v>50</v>
      </c>
      <c r="B83" s="71">
        <f>SUM(B68:B81)</f>
        <v>1</v>
      </c>
      <c r="C83" s="72">
        <f>C68+C75+C81</f>
        <v>4401980056.8606243</v>
      </c>
      <c r="D83" s="50">
        <f>SUM(D68:D81)</f>
        <v>46679702.199746415</v>
      </c>
      <c r="E83" s="69">
        <f>D83/C83</f>
        <v>1.0604251177148027E-2</v>
      </c>
      <c r="F83" s="972"/>
      <c r="G83" s="973"/>
      <c r="H83" s="974">
        <f>H81+H75+H68</f>
        <v>-165422097.32943335</v>
      </c>
      <c r="I83" s="44"/>
      <c r="J83" s="675"/>
      <c r="K83" s="674">
        <f>SUM(K81:K82)</f>
        <v>684415501.25378036</v>
      </c>
      <c r="M83" s="13"/>
      <c r="N83" s="13"/>
      <c r="O83" s="13"/>
      <c r="P83" s="13"/>
      <c r="Q83" s="13"/>
      <c r="R83" s="13"/>
      <c r="S83" s="13"/>
      <c r="T83" s="13"/>
      <c r="U83" s="13"/>
    </row>
    <row r="84" spans="1:45" ht="14.65" thickBot="1" x14ac:dyDescent="0.5">
      <c r="A84" s="35"/>
      <c r="B84" s="35"/>
      <c r="C84" s="35"/>
      <c r="D84" s="35"/>
      <c r="E84" s="35"/>
      <c r="F84" s="35"/>
      <c r="G84" s="13"/>
      <c r="H84" s="268"/>
      <c r="I84" s="13"/>
      <c r="M84" s="13"/>
      <c r="N84" s="13"/>
      <c r="O84" s="13"/>
      <c r="P84" s="13"/>
      <c r="Q84" s="13"/>
      <c r="R84" s="13"/>
      <c r="S84" s="13"/>
      <c r="T84" s="13"/>
      <c r="U84" s="13"/>
    </row>
    <row r="85" spans="1:45" x14ac:dyDescent="0.45">
      <c r="A85" s="35"/>
      <c r="B85" s="30" t="s">
        <v>60</v>
      </c>
      <c r="C85" s="74" t="s">
        <v>658</v>
      </c>
      <c r="D85" s="75"/>
      <c r="E85" s="76"/>
      <c r="F85" s="35"/>
      <c r="G85" s="30"/>
      <c r="H85" s="269"/>
      <c r="I85" s="269"/>
      <c r="M85" s="13"/>
      <c r="N85" s="13"/>
      <c r="O85" s="13"/>
      <c r="P85" s="13"/>
      <c r="Q85" s="13"/>
      <c r="R85" s="13"/>
      <c r="S85" s="13"/>
      <c r="T85" s="13"/>
      <c r="U85" s="13"/>
    </row>
    <row r="86" spans="1:45" x14ac:dyDescent="0.45">
      <c r="A86" s="58" t="s">
        <v>336</v>
      </c>
      <c r="B86" s="31" t="s">
        <v>63</v>
      </c>
      <c r="C86" s="77" t="s">
        <v>662</v>
      </c>
      <c r="D86" s="44"/>
      <c r="E86" s="78"/>
      <c r="F86" s="35"/>
      <c r="G86" s="31"/>
      <c r="H86" s="570"/>
      <c r="I86" s="44"/>
      <c r="J86" s="44"/>
      <c r="M86" s="13"/>
      <c r="N86" s="13"/>
      <c r="O86" s="13"/>
      <c r="P86" s="13"/>
      <c r="Q86" s="13"/>
      <c r="R86" s="13"/>
      <c r="S86" s="13"/>
      <c r="T86" s="13"/>
      <c r="U86" s="13"/>
    </row>
    <row r="87" spans="1:45" x14ac:dyDescent="0.45">
      <c r="A87" s="35" t="s">
        <v>3</v>
      </c>
      <c r="B87" s="79">
        <f>E68</f>
        <v>1.0407503560681956E-2</v>
      </c>
      <c r="C87" s="77"/>
      <c r="D87" s="80">
        <f>B87*1.01025</f>
        <v>1.0514180472178947E-2</v>
      </c>
      <c r="E87" s="81" t="s">
        <v>67</v>
      </c>
      <c r="F87" s="35"/>
      <c r="G87" s="80"/>
      <c r="H87" s="570"/>
      <c r="I87" s="272"/>
      <c r="J87" s="13"/>
      <c r="M87" s="13"/>
      <c r="N87" s="13"/>
      <c r="O87" s="13"/>
      <c r="P87" s="13"/>
      <c r="Q87" s="13"/>
      <c r="R87" s="13"/>
      <c r="S87" s="13"/>
      <c r="T87" s="13"/>
      <c r="U87" s="13"/>
    </row>
    <row r="88" spans="1:45" x14ac:dyDescent="0.45">
      <c r="A88" s="35" t="s">
        <v>4</v>
      </c>
      <c r="B88" s="79">
        <f>E75</f>
        <v>1.2351135337345266E-2</v>
      </c>
      <c r="C88" s="77"/>
      <c r="D88" s="80">
        <f t="shared" ref="D88:D90" si="6">B88*1.01025</f>
        <v>1.2477734474553056E-2</v>
      </c>
      <c r="E88" s="81" t="s">
        <v>67</v>
      </c>
      <c r="F88" s="35"/>
      <c r="G88" s="80"/>
      <c r="H88" s="13"/>
      <c r="I88" s="272"/>
      <c r="J88" s="13"/>
      <c r="M88" s="13"/>
      <c r="N88" s="13"/>
      <c r="O88" s="13"/>
      <c r="P88" s="13"/>
      <c r="Q88" s="13"/>
      <c r="R88" s="13"/>
      <c r="S88" s="13"/>
      <c r="T88" s="13"/>
      <c r="U88" s="13"/>
    </row>
    <row r="89" spans="1:45" x14ac:dyDescent="0.45">
      <c r="A89" s="35" t="s">
        <v>47</v>
      </c>
      <c r="B89" s="83">
        <f>E81</f>
        <v>7.0232950626114548E-3</v>
      </c>
      <c r="C89" s="77"/>
      <c r="D89" s="80">
        <f t="shared" si="6"/>
        <v>7.0952838370032228E-3</v>
      </c>
      <c r="E89" s="81" t="s">
        <v>67</v>
      </c>
      <c r="F89" s="35"/>
      <c r="G89" s="80"/>
      <c r="H89" s="13"/>
      <c r="I89" s="272"/>
      <c r="J89" s="13"/>
      <c r="M89" s="13"/>
      <c r="N89" s="13"/>
      <c r="O89" s="13"/>
      <c r="P89" s="13"/>
      <c r="Q89" s="13"/>
      <c r="R89" s="13"/>
      <c r="S89" s="13"/>
      <c r="T89" s="13"/>
      <c r="U89" s="13"/>
    </row>
    <row r="90" spans="1:45" ht="14.65" thickBot="1" x14ac:dyDescent="0.5">
      <c r="A90" s="35" t="s">
        <v>68</v>
      </c>
      <c r="B90" s="84">
        <f>E83</f>
        <v>1.0604251177148027E-2</v>
      </c>
      <c r="C90" s="85"/>
      <c r="D90" s="86">
        <f t="shared" si="6"/>
        <v>1.0712944751713796E-2</v>
      </c>
      <c r="E90" s="87" t="s">
        <v>67</v>
      </c>
      <c r="F90" s="35"/>
      <c r="G90" s="273"/>
      <c r="H90" s="13"/>
      <c r="I90" s="272"/>
      <c r="J90" s="13"/>
      <c r="M90" s="13"/>
      <c r="N90" s="13"/>
      <c r="O90" s="13"/>
      <c r="P90" s="13"/>
      <c r="Q90" s="13"/>
      <c r="R90" s="13"/>
      <c r="S90" s="13"/>
      <c r="T90" s="13"/>
      <c r="U90" s="13"/>
    </row>
    <row r="91" spans="1:45" x14ac:dyDescent="0.45">
      <c r="A91" s="35"/>
      <c r="B91" s="35"/>
      <c r="C91" s="13"/>
      <c r="D91" s="13"/>
      <c r="E91" s="13"/>
      <c r="F91" s="35"/>
      <c r="G91" s="13"/>
      <c r="H91" s="13"/>
      <c r="I91" s="13"/>
      <c r="J91" s="13"/>
      <c r="M91" s="13"/>
      <c r="N91" s="13"/>
      <c r="O91" s="13"/>
      <c r="P91" s="13"/>
      <c r="Q91" s="13"/>
      <c r="R91" s="13"/>
      <c r="S91" s="13"/>
      <c r="T91" s="13"/>
      <c r="U91" s="13"/>
    </row>
    <row r="92" spans="1:45" s="65" customFormat="1" ht="14.65" thickBot="1" x14ac:dyDescent="0.5">
      <c r="A92" s="35"/>
      <c r="B92" s="88"/>
      <c r="C92" s="13"/>
      <c r="D92" s="89"/>
      <c r="E92" s="13"/>
      <c r="F92" s="35"/>
      <c r="G92" s="274"/>
      <c r="H92" s="13"/>
      <c r="I92" s="13"/>
      <c r="J92" s="13"/>
      <c r="K92" s="1"/>
      <c r="L92" s="1"/>
      <c r="M92" s="13"/>
      <c r="N92" s="13"/>
      <c r="O92" s="13"/>
      <c r="P92" s="13"/>
      <c r="Q92" s="13"/>
      <c r="R92" s="13"/>
      <c r="S92" s="13"/>
      <c r="T92" s="13"/>
      <c r="U92" s="13"/>
      <c r="V92" s="1"/>
      <c r="W92" s="1"/>
      <c r="X92" s="1"/>
      <c r="Y92" s="1"/>
      <c r="Z92" s="1"/>
      <c r="AA92" s="1"/>
      <c r="AB92" s="1"/>
      <c r="AC92" s="1"/>
      <c r="AD92" s="1"/>
      <c r="AE92" s="1"/>
      <c r="AF92" s="1"/>
      <c r="AG92" s="1"/>
      <c r="AH92" s="1"/>
      <c r="AI92" s="1"/>
      <c r="AJ92" s="1"/>
      <c r="AK92" s="1"/>
      <c r="AL92" s="1"/>
      <c r="AM92" s="1"/>
      <c r="AN92" s="1"/>
      <c r="AO92" s="1"/>
      <c r="AP92" s="1"/>
      <c r="AQ92" s="1"/>
      <c r="AR92" s="1"/>
      <c r="AS92" s="1"/>
    </row>
    <row r="93" spans="1:45" s="9" customFormat="1" ht="15" thickTop="1" thickBot="1" x14ac:dyDescent="0.5">
      <c r="A93" s="90"/>
      <c r="B93" s="90"/>
      <c r="C93" s="90"/>
      <c r="D93" s="90"/>
      <c r="E93" s="90"/>
      <c r="F93" s="90"/>
      <c r="G93" s="13"/>
      <c r="H93" s="13"/>
      <c r="I93" s="13"/>
      <c r="J93" s="13"/>
      <c r="K93" s="1"/>
      <c r="L93" s="1"/>
      <c r="M93" s="13"/>
      <c r="N93" s="13"/>
      <c r="O93" s="13"/>
      <c r="P93" s="13"/>
      <c r="Q93" s="13"/>
      <c r="R93" s="13"/>
      <c r="S93" s="13"/>
      <c r="T93" s="13"/>
      <c r="U93" s="13"/>
      <c r="V93" s="1"/>
      <c r="W93" s="1"/>
      <c r="X93" s="1"/>
      <c r="Y93" s="1"/>
      <c r="Z93" s="1"/>
      <c r="AA93" s="1"/>
      <c r="AB93" s="1"/>
      <c r="AC93" s="1"/>
      <c r="AD93" s="1"/>
      <c r="AE93" s="1"/>
      <c r="AF93" s="1"/>
      <c r="AG93" s="1"/>
      <c r="AH93" s="1"/>
      <c r="AI93" s="1"/>
      <c r="AJ93" s="1"/>
      <c r="AK93" s="1"/>
      <c r="AL93" s="1"/>
      <c r="AM93" s="1"/>
      <c r="AN93" s="1"/>
      <c r="AO93" s="1"/>
      <c r="AP93" s="1"/>
      <c r="AQ93" s="1"/>
      <c r="AR93" s="1"/>
      <c r="AS93" s="1"/>
    </row>
    <row r="94" spans="1:45" s="9" customFormat="1" ht="12.75" customHeight="1" thickTop="1" x14ac:dyDescent="0.45">
      <c r="A94" s="22"/>
      <c r="C94" s="91"/>
      <c r="G94" s="13"/>
      <c r="H94" s="13"/>
      <c r="I94" s="13"/>
      <c r="J94" s="13"/>
      <c r="K94" s="13"/>
      <c r="L94" s="1"/>
      <c r="M94" s="13"/>
      <c r="N94" s="13"/>
      <c r="O94" s="13"/>
      <c r="P94" s="13"/>
      <c r="Q94" s="13"/>
      <c r="R94" s="13"/>
      <c r="S94" s="13"/>
      <c r="T94" s="13"/>
      <c r="U94" s="13"/>
      <c r="V94" s="1"/>
      <c r="W94" s="1"/>
      <c r="X94" s="1"/>
      <c r="Y94" s="1"/>
      <c r="Z94" s="1"/>
      <c r="AA94" s="1"/>
      <c r="AB94" s="1"/>
      <c r="AC94" s="1"/>
      <c r="AD94" s="1"/>
      <c r="AE94" s="1"/>
      <c r="AF94" s="1"/>
      <c r="AG94" s="1"/>
      <c r="AH94" s="1"/>
      <c r="AI94" s="1"/>
      <c r="AJ94" s="1"/>
      <c r="AK94" s="1"/>
      <c r="AL94" s="1"/>
      <c r="AM94" s="1"/>
      <c r="AN94" s="1"/>
      <c r="AO94" s="1"/>
      <c r="AP94" s="1"/>
      <c r="AQ94" s="1"/>
      <c r="AR94" s="1"/>
      <c r="AS94" s="1"/>
    </row>
    <row r="95" spans="1:45" x14ac:dyDescent="0.45">
      <c r="A95" s="22"/>
      <c r="B95" s="1046"/>
      <c r="C95" s="1046"/>
      <c r="D95" s="1046"/>
      <c r="E95" s="1046"/>
      <c r="F95" s="1046"/>
      <c r="G95" s="13"/>
      <c r="H95" s="1045"/>
      <c r="I95" s="1045"/>
      <c r="J95" s="1045"/>
      <c r="K95" s="1045"/>
      <c r="M95" s="13"/>
      <c r="N95" s="13"/>
      <c r="O95" s="13"/>
      <c r="P95" s="13"/>
      <c r="Q95" s="13"/>
      <c r="R95" s="13"/>
      <c r="S95" s="13"/>
      <c r="T95" s="13"/>
      <c r="U95" s="13"/>
    </row>
    <row r="96" spans="1:45" x14ac:dyDescent="0.45">
      <c r="C96" s="92"/>
      <c r="D96" s="12" t="s">
        <v>72</v>
      </c>
      <c r="E96" s="93"/>
      <c r="F96" s="12" t="s">
        <v>49</v>
      </c>
      <c r="G96" s="13"/>
      <c r="H96" s="13"/>
      <c r="I96" s="275"/>
      <c r="J96" s="266"/>
      <c r="K96" s="266"/>
      <c r="M96" s="13"/>
      <c r="N96" s="275"/>
      <c r="O96" s="764"/>
      <c r="P96" s="223"/>
      <c r="Q96" s="764"/>
      <c r="R96" s="13"/>
      <c r="S96" s="13"/>
      <c r="T96" s="13"/>
      <c r="U96" s="13"/>
    </row>
    <row r="97" spans="1:45" x14ac:dyDescent="0.45">
      <c r="A97" s="398" t="s">
        <v>73</v>
      </c>
      <c r="D97" s="93" t="s">
        <v>96</v>
      </c>
      <c r="E97" s="93" t="s">
        <v>74</v>
      </c>
      <c r="F97" s="93" t="s">
        <v>75</v>
      </c>
      <c r="G97" s="795"/>
      <c r="H97" s="795"/>
      <c r="I97" s="795"/>
      <c r="J97" s="795"/>
      <c r="K97" s="223"/>
      <c r="M97" s="13"/>
      <c r="N97" s="13"/>
      <c r="O97" s="223"/>
      <c r="P97" s="223"/>
      <c r="Q97" s="223"/>
      <c r="R97" s="13"/>
      <c r="S97" s="13"/>
      <c r="T97" s="13"/>
      <c r="U97" s="13"/>
    </row>
    <row r="98" spans="1:45" x14ac:dyDescent="0.45">
      <c r="A98" s="1" t="s">
        <v>84</v>
      </c>
      <c r="C98" s="28">
        <f>C75</f>
        <v>1677284764.8298001</v>
      </c>
      <c r="D98" s="32"/>
      <c r="E98" s="82">
        <f>D88</f>
        <v>1.2477734474553056E-2</v>
      </c>
      <c r="F98" s="10" t="s">
        <v>48</v>
      </c>
      <c r="G98" s="13"/>
      <c r="H98" s="13"/>
      <c r="I98" s="270"/>
      <c r="J98" s="13"/>
      <c r="K98" s="13"/>
      <c r="M98" s="13"/>
      <c r="N98" s="674"/>
      <c r="O98" s="34"/>
      <c r="P98" s="34"/>
      <c r="Q98" s="34"/>
      <c r="R98" s="13"/>
      <c r="S98" s="13"/>
      <c r="T98" s="13"/>
      <c r="U98" s="13"/>
    </row>
    <row r="99" spans="1:45" x14ac:dyDescent="0.45">
      <c r="A99" s="1" t="s">
        <v>88</v>
      </c>
      <c r="C99" s="41">
        <f>C98*E98</f>
        <v>20928713.93375941</v>
      </c>
      <c r="D99" s="95">
        <f>C98*D88</f>
        <v>20928713.93375941</v>
      </c>
      <c r="G99" s="13"/>
      <c r="H99" s="13"/>
      <c r="I99" s="13"/>
      <c r="J99" s="51"/>
      <c r="K99" s="13"/>
      <c r="M99" s="13"/>
      <c r="N99" s="674"/>
      <c r="O99" s="235"/>
      <c r="P99" s="13"/>
      <c r="Q99" s="13"/>
      <c r="R99" s="13"/>
      <c r="S99" s="13"/>
      <c r="T99" s="13"/>
      <c r="U99" s="13"/>
    </row>
    <row r="100" spans="1:45" s="10" customFormat="1" x14ac:dyDescent="0.45">
      <c r="A100" s="1"/>
      <c r="B100" s="1"/>
      <c r="C100" s="28"/>
      <c r="D100" s="95"/>
      <c r="E100" s="1"/>
      <c r="F100" s="1"/>
      <c r="G100" s="31"/>
      <c r="H100" s="31"/>
      <c r="I100" s="31"/>
      <c r="J100" s="13"/>
      <c r="K100" s="13"/>
      <c r="L100" s="1"/>
      <c r="M100" s="13"/>
      <c r="N100" s="674"/>
      <c r="O100" s="235"/>
      <c r="P100" s="13"/>
      <c r="Q100" s="13"/>
      <c r="R100" s="13"/>
      <c r="S100" s="13"/>
      <c r="T100" s="13"/>
      <c r="U100" s="13"/>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row>
    <row r="101" spans="1:45" x14ac:dyDescent="0.45">
      <c r="A101" s="94" t="s">
        <v>85</v>
      </c>
      <c r="B101" s="10"/>
      <c r="C101" s="42">
        <f>C98*L71</f>
        <v>318632799.57511365</v>
      </c>
      <c r="D101" s="48">
        <f>C101*D88</f>
        <v>3975815.4679817497</v>
      </c>
      <c r="E101" s="96">
        <f>D101/C101</f>
        <v>1.2477734474553056E-2</v>
      </c>
      <c r="F101" s="10" t="s">
        <v>1</v>
      </c>
      <c r="G101" s="282"/>
      <c r="H101" s="224"/>
      <c r="I101" s="282"/>
      <c r="J101" s="268"/>
      <c r="K101" s="44"/>
      <c r="M101" s="44"/>
      <c r="N101" s="674"/>
      <c r="O101" s="804"/>
      <c r="P101" s="800"/>
      <c r="Q101" s="44"/>
      <c r="R101" s="34"/>
      <c r="S101" s="13"/>
      <c r="T101" s="13"/>
      <c r="U101" s="13"/>
    </row>
    <row r="102" spans="1:45" x14ac:dyDescent="0.45">
      <c r="A102" s="1" t="s">
        <v>86</v>
      </c>
      <c r="C102" s="28"/>
      <c r="D102" s="32">
        <f>D99-D101</f>
        <v>16952898.465777662</v>
      </c>
      <c r="G102" s="282"/>
      <c r="H102" s="13"/>
      <c r="I102" s="282"/>
      <c r="J102" s="13"/>
      <c r="K102" s="13"/>
      <c r="M102" s="13"/>
      <c r="N102" s="674"/>
      <c r="O102" s="34"/>
      <c r="P102" s="13"/>
      <c r="Q102" s="13"/>
      <c r="R102" s="13"/>
      <c r="S102" s="13"/>
      <c r="T102" s="13"/>
      <c r="U102" s="13"/>
    </row>
    <row r="103" spans="1:45" x14ac:dyDescent="0.45">
      <c r="C103" s="28"/>
      <c r="D103" s="32"/>
      <c r="G103" s="282"/>
      <c r="H103" s="13"/>
      <c r="I103" s="282"/>
      <c r="J103" s="13"/>
      <c r="K103" s="13"/>
      <c r="M103" s="13"/>
      <c r="N103" s="674"/>
      <c r="O103" s="34"/>
      <c r="P103" s="13"/>
      <c r="Q103" s="13"/>
      <c r="R103" s="13"/>
      <c r="S103" s="13"/>
      <c r="T103" s="13"/>
      <c r="U103" s="13"/>
    </row>
    <row r="104" spans="1:45" x14ac:dyDescent="0.45">
      <c r="A104" s="94" t="s">
        <v>87</v>
      </c>
      <c r="C104" s="28"/>
      <c r="D104" s="32"/>
      <c r="G104" s="282"/>
      <c r="H104" s="13"/>
      <c r="I104" s="282"/>
      <c r="J104" s="13"/>
      <c r="K104" s="13"/>
      <c r="M104" s="13"/>
      <c r="N104" s="674"/>
      <c r="O104" s="34"/>
      <c r="P104" s="13"/>
      <c r="Q104" s="13"/>
      <c r="R104" s="13"/>
      <c r="S104" s="13"/>
      <c r="T104" s="13"/>
      <c r="U104" s="13"/>
    </row>
    <row r="105" spans="1:45" x14ac:dyDescent="0.45">
      <c r="A105" s="1" t="s">
        <v>76</v>
      </c>
      <c r="C105" s="62">
        <f>C101/(C101+B106)</f>
        <v>0.18996941142993476</v>
      </c>
      <c r="D105" s="32"/>
      <c r="G105" s="282"/>
      <c r="H105" s="13"/>
      <c r="I105" s="282"/>
      <c r="J105" s="13"/>
      <c r="K105" s="13"/>
      <c r="M105" s="13"/>
      <c r="N105" s="13"/>
      <c r="O105" s="34"/>
      <c r="P105" s="13"/>
      <c r="Q105" s="13"/>
      <c r="R105" s="13"/>
      <c r="S105" s="13"/>
      <c r="T105" s="13"/>
      <c r="U105" s="13"/>
    </row>
    <row r="106" spans="1:45" x14ac:dyDescent="0.45">
      <c r="A106" s="1" t="s">
        <v>69</v>
      </c>
      <c r="B106" s="564">
        <f>C98-C101</f>
        <v>1358651965.2546864</v>
      </c>
      <c r="D106" s="32"/>
      <c r="E106" s="96">
        <f>D107/B106</f>
        <v>7.9624132850054912E-3</v>
      </c>
      <c r="F106" s="10" t="s">
        <v>1</v>
      </c>
      <c r="G106" s="849"/>
      <c r="H106" s="13"/>
      <c r="I106" s="282"/>
      <c r="J106" s="460"/>
      <c r="K106" s="44"/>
      <c r="M106" s="674"/>
      <c r="N106" s="675"/>
      <c r="O106" s="34"/>
      <c r="P106" s="800"/>
      <c r="Q106" s="44"/>
      <c r="R106" s="13"/>
      <c r="S106" s="13"/>
      <c r="T106" s="13"/>
      <c r="U106" s="13"/>
    </row>
    <row r="107" spans="1:45" x14ac:dyDescent="0.45">
      <c r="A107" s="1" t="s">
        <v>70</v>
      </c>
      <c r="B107" s="41">
        <f>'Util Rev and Load Data'!K42</f>
        <v>139143739.47675017</v>
      </c>
      <c r="C107" s="25">
        <f>B107/B112</f>
        <v>0.63812972629317788</v>
      </c>
      <c r="D107" s="48">
        <f>D102*C107</f>
        <v>10818148.457842734</v>
      </c>
      <c r="F107" s="98"/>
      <c r="G107" s="282"/>
      <c r="H107" s="224"/>
      <c r="I107" s="282"/>
      <c r="J107" s="13"/>
      <c r="K107" s="13"/>
      <c r="M107" s="466"/>
      <c r="N107" s="268"/>
      <c r="O107" s="34"/>
      <c r="P107" s="13"/>
      <c r="Q107" s="805"/>
      <c r="R107" s="34"/>
      <c r="S107" s="13"/>
      <c r="T107" s="13"/>
      <c r="U107" s="13"/>
    </row>
    <row r="108" spans="1:45" x14ac:dyDescent="0.45">
      <c r="A108" s="36"/>
      <c r="D108" s="32"/>
      <c r="G108" s="282"/>
      <c r="H108" s="268"/>
      <c r="I108" s="282"/>
      <c r="J108" s="13"/>
      <c r="K108" s="13"/>
      <c r="M108" s="13"/>
      <c r="N108" s="268"/>
      <c r="O108" s="34"/>
      <c r="P108" s="13"/>
      <c r="Q108" s="13"/>
      <c r="R108" s="13"/>
      <c r="S108" s="13"/>
      <c r="T108" s="13"/>
      <c r="U108" s="13"/>
    </row>
    <row r="109" spans="1:45" x14ac:dyDescent="0.45">
      <c r="A109" s="1" t="s">
        <v>77</v>
      </c>
      <c r="B109" s="42">
        <f>K68</f>
        <v>4069140.035446885</v>
      </c>
      <c r="C109" s="36"/>
      <c r="D109" s="32"/>
      <c r="E109" s="100">
        <f>D110/B109</f>
        <v>1.5076281362878166</v>
      </c>
      <c r="F109" s="10" t="s">
        <v>2</v>
      </c>
      <c r="G109" s="282"/>
      <c r="H109" s="224"/>
      <c r="I109" s="282"/>
      <c r="J109" s="460"/>
      <c r="K109" s="44"/>
      <c r="M109" s="674"/>
      <c r="N109" s="674"/>
      <c r="O109" s="34"/>
      <c r="P109" s="800"/>
      <c r="Q109" s="44"/>
      <c r="R109" s="13"/>
      <c r="S109" s="13"/>
      <c r="T109" s="13"/>
      <c r="U109" s="13"/>
    </row>
    <row r="110" spans="1:45" x14ac:dyDescent="0.45">
      <c r="A110" s="1" t="s">
        <v>71</v>
      </c>
      <c r="B110" s="41">
        <f>'Util Rev and Load Data'!N42</f>
        <v>78905559.503600001</v>
      </c>
      <c r="C110" s="25">
        <f>B110/B112</f>
        <v>0.36187027370682212</v>
      </c>
      <c r="D110" s="48">
        <f>D102*C110</f>
        <v>6134750.007934927</v>
      </c>
      <c r="G110" s="13"/>
      <c r="H110" s="224"/>
      <c r="I110" s="268"/>
      <c r="J110" s="850"/>
      <c r="K110" s="13"/>
      <c r="M110" s="466"/>
      <c r="N110" s="268"/>
      <c r="O110" s="34"/>
      <c r="P110" s="13"/>
      <c r="Q110" s="13"/>
      <c r="R110" s="34"/>
      <c r="S110" s="13"/>
      <c r="T110" s="13"/>
      <c r="U110" s="13"/>
    </row>
    <row r="111" spans="1:45" x14ac:dyDescent="0.45">
      <c r="D111" s="32"/>
      <c r="G111" s="13"/>
      <c r="H111" s="268"/>
      <c r="I111" s="13"/>
      <c r="J111" s="13"/>
      <c r="K111" s="13"/>
      <c r="M111" s="13"/>
      <c r="N111" s="268"/>
      <c r="O111" s="34"/>
      <c r="P111" s="13"/>
      <c r="Q111" s="13"/>
      <c r="R111" s="13"/>
      <c r="S111" s="13"/>
      <c r="T111" s="13"/>
      <c r="U111" s="13"/>
    </row>
    <row r="112" spans="1:45" x14ac:dyDescent="0.45">
      <c r="A112" s="1" t="s">
        <v>273</v>
      </c>
      <c r="B112" s="99">
        <f>SUM(B107,B110)</f>
        <v>218049298.98035017</v>
      </c>
      <c r="C112" s="73">
        <f>SUM(C107:C110)</f>
        <v>1</v>
      </c>
      <c r="D112" s="32">
        <f>SUM(D107:D110)</f>
        <v>16952898.465777662</v>
      </c>
      <c r="G112" s="13"/>
      <c r="H112" s="276"/>
      <c r="I112" s="271"/>
      <c r="J112" s="34"/>
      <c r="K112" s="13"/>
      <c r="M112" s="276"/>
      <c r="N112" s="268"/>
      <c r="O112" s="34"/>
      <c r="P112" s="13"/>
      <c r="Q112" s="13"/>
      <c r="R112" s="13"/>
      <c r="S112" s="13"/>
      <c r="T112" s="13"/>
      <c r="U112" s="13"/>
    </row>
    <row r="113" spans="1:45" x14ac:dyDescent="0.45">
      <c r="B113" s="32"/>
      <c r="C113" s="99"/>
      <c r="D113" s="32"/>
      <c r="G113" s="13"/>
      <c r="H113" s="13"/>
      <c r="I113" s="13"/>
      <c r="J113" s="13"/>
      <c r="K113" s="13"/>
      <c r="M113" s="34"/>
      <c r="N113" s="276"/>
      <c r="O113" s="34"/>
      <c r="P113" s="13"/>
      <c r="Q113" s="13"/>
      <c r="R113" s="13"/>
      <c r="S113" s="13"/>
      <c r="T113" s="13"/>
      <c r="U113" s="13"/>
    </row>
    <row r="114" spans="1:45" x14ac:dyDescent="0.45">
      <c r="A114" s="398" t="s">
        <v>79</v>
      </c>
      <c r="D114" s="32"/>
      <c r="G114" s="13"/>
      <c r="H114" s="13"/>
      <c r="I114" s="13"/>
      <c r="J114" s="13"/>
      <c r="K114" s="13"/>
      <c r="M114" s="13"/>
      <c r="N114" s="13"/>
      <c r="O114" s="34"/>
      <c r="P114" s="13"/>
      <c r="Q114" s="13"/>
      <c r="R114" s="13"/>
      <c r="S114" s="13"/>
      <c r="T114" s="13"/>
      <c r="U114" s="13"/>
    </row>
    <row r="115" spans="1:45" x14ac:dyDescent="0.45">
      <c r="A115" s="1" t="s">
        <v>84</v>
      </c>
      <c r="C115" s="26">
        <f>C81</f>
        <v>707386936.97000003</v>
      </c>
      <c r="D115" s="32"/>
      <c r="E115" s="82">
        <f>D89</f>
        <v>7.0952838370032228E-3</v>
      </c>
      <c r="G115" s="13"/>
      <c r="H115" s="13"/>
      <c r="I115" s="270"/>
      <c r="J115" s="13"/>
      <c r="K115" s="13"/>
      <c r="M115" s="13"/>
      <c r="N115" s="674"/>
      <c r="O115" s="34"/>
      <c r="P115" s="34"/>
      <c r="Q115" s="34"/>
      <c r="R115" s="13"/>
      <c r="S115" s="13"/>
      <c r="T115" s="13"/>
      <c r="U115" s="13"/>
    </row>
    <row r="116" spans="1:45" x14ac:dyDescent="0.45">
      <c r="A116" s="1" t="s">
        <v>89</v>
      </c>
      <c r="D116" s="32">
        <f>C115*D89</f>
        <v>5019111.1003904585</v>
      </c>
      <c r="G116" s="13"/>
      <c r="H116" s="13"/>
      <c r="I116" s="13"/>
      <c r="J116" s="51"/>
      <c r="K116" s="13"/>
      <c r="M116" s="13"/>
      <c r="N116" s="674"/>
      <c r="O116" s="34"/>
      <c r="P116" s="13"/>
      <c r="Q116" s="13"/>
      <c r="R116" s="13"/>
      <c r="S116" s="13"/>
      <c r="T116" s="13"/>
      <c r="U116" s="13"/>
    </row>
    <row r="117" spans="1:45" s="10" customFormat="1" x14ac:dyDescent="0.45">
      <c r="B117" s="1"/>
      <c r="C117" s="1"/>
      <c r="D117" s="32"/>
      <c r="E117" s="1"/>
      <c r="F117" s="1"/>
      <c r="G117" s="31"/>
      <c r="H117" s="31"/>
      <c r="I117" s="31"/>
      <c r="J117" s="13"/>
      <c r="K117" s="13"/>
      <c r="L117" s="1"/>
      <c r="M117" s="13"/>
      <c r="N117" s="674"/>
      <c r="O117" s="34"/>
      <c r="P117" s="13"/>
      <c r="Q117" s="13"/>
      <c r="R117" s="13"/>
      <c r="S117" s="13"/>
      <c r="T117" s="13"/>
      <c r="U117" s="13"/>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row>
    <row r="118" spans="1:45" x14ac:dyDescent="0.45">
      <c r="A118" s="94" t="s">
        <v>85</v>
      </c>
      <c r="B118" s="10"/>
      <c r="C118" s="97">
        <f>C115*L81</f>
        <v>6789470.0772284642</v>
      </c>
      <c r="D118" s="48">
        <f>C118*D89</f>
        <v>48173.217300776145</v>
      </c>
      <c r="E118" s="96">
        <f>D118/C118</f>
        <v>7.0952838370032228E-3</v>
      </c>
      <c r="F118" s="10" t="s">
        <v>1</v>
      </c>
      <c r="G118" s="282"/>
      <c r="H118" s="224"/>
      <c r="I118" s="282"/>
      <c r="J118" s="268"/>
      <c r="K118" s="44"/>
      <c r="M118" s="44"/>
      <c r="N118" s="674"/>
      <c r="O118" s="804"/>
      <c r="P118" s="800"/>
      <c r="Q118" s="44"/>
      <c r="R118" s="34"/>
      <c r="S118" s="13"/>
      <c r="T118" s="13"/>
      <c r="U118" s="13"/>
    </row>
    <row r="119" spans="1:45" x14ac:dyDescent="0.45">
      <c r="A119" s="1" t="s">
        <v>90</v>
      </c>
      <c r="D119" s="32">
        <f>D116-D118</f>
        <v>4970937.8830896821</v>
      </c>
      <c r="G119" s="282"/>
      <c r="H119" s="13"/>
      <c r="I119" s="282"/>
      <c r="J119" s="13"/>
      <c r="K119" s="13"/>
      <c r="M119" s="13"/>
      <c r="N119" s="674"/>
      <c r="O119" s="34"/>
      <c r="P119" s="13"/>
      <c r="Q119" s="13"/>
      <c r="R119" s="13"/>
      <c r="S119" s="13"/>
      <c r="T119" s="13"/>
      <c r="U119" s="13"/>
    </row>
    <row r="120" spans="1:45" x14ac:dyDescent="0.45">
      <c r="A120" s="10"/>
      <c r="D120" s="32"/>
      <c r="G120" s="282"/>
      <c r="H120" s="13"/>
      <c r="I120" s="282"/>
      <c r="J120" s="13"/>
      <c r="K120" s="13"/>
      <c r="M120" s="13"/>
      <c r="N120" s="13"/>
      <c r="O120" s="34"/>
      <c r="P120" s="13"/>
      <c r="Q120" s="13"/>
      <c r="R120" s="13"/>
      <c r="S120" s="13"/>
      <c r="T120" s="13"/>
      <c r="U120" s="13"/>
    </row>
    <row r="121" spans="1:45" x14ac:dyDescent="0.45">
      <c r="A121" s="94" t="s">
        <v>87</v>
      </c>
      <c r="D121" s="32"/>
      <c r="G121" s="282"/>
      <c r="H121" s="13"/>
      <c r="I121" s="282"/>
      <c r="J121" s="13"/>
      <c r="K121" s="13"/>
      <c r="M121" s="13"/>
      <c r="N121" s="13"/>
      <c r="O121" s="34"/>
      <c r="P121" s="13"/>
      <c r="Q121" s="13"/>
      <c r="R121" s="13"/>
      <c r="S121" s="13"/>
      <c r="T121" s="13"/>
      <c r="U121" s="13"/>
    </row>
    <row r="122" spans="1:45" x14ac:dyDescent="0.45">
      <c r="A122" s="1" t="s">
        <v>80</v>
      </c>
      <c r="D122" s="32"/>
      <c r="E122" s="101"/>
      <c r="G122" s="282"/>
      <c r="H122" s="13"/>
      <c r="I122" s="282"/>
      <c r="J122" s="13"/>
      <c r="K122" s="13"/>
      <c r="M122" s="13"/>
      <c r="N122" s="13"/>
      <c r="O122" s="34"/>
      <c r="P122" s="806"/>
      <c r="Q122" s="13"/>
      <c r="R122" s="13"/>
      <c r="S122" s="13"/>
      <c r="T122" s="13"/>
      <c r="U122" s="13"/>
    </row>
    <row r="123" spans="1:45" x14ac:dyDescent="0.45">
      <c r="A123" s="1" t="s">
        <v>69</v>
      </c>
      <c r="B123" s="564">
        <f>C115-C118</f>
        <v>700597466.8927716</v>
      </c>
      <c r="C123" s="25">
        <f>C118/(C118+B123)</f>
        <v>9.5979579525602727E-3</v>
      </c>
      <c r="D123" s="32"/>
      <c r="E123" s="96">
        <f>D124/B123</f>
        <v>4.7700572571896553E-3</v>
      </c>
      <c r="F123" s="10" t="s">
        <v>1</v>
      </c>
      <c r="G123" s="849"/>
      <c r="H123" s="13"/>
      <c r="I123" s="282"/>
      <c r="J123" s="460"/>
      <c r="K123" s="44"/>
      <c r="M123" s="674"/>
      <c r="N123" s="13"/>
      <c r="O123" s="34"/>
      <c r="P123" s="800"/>
      <c r="Q123" s="44"/>
      <c r="R123" s="13"/>
      <c r="S123" s="13"/>
      <c r="T123" s="13"/>
      <c r="U123" s="13"/>
    </row>
    <row r="124" spans="1:45" x14ac:dyDescent="0.45">
      <c r="A124" s="1" t="s">
        <v>70</v>
      </c>
      <c r="B124" s="41">
        <f>'Util Rev and Load Data'!V42</f>
        <v>58358598.952779993</v>
      </c>
      <c r="C124" s="25">
        <f>B124/B129</f>
        <v>0.67228561489153138</v>
      </c>
      <c r="D124" s="48">
        <f>D119*C124</f>
        <v>3341890.0313205542</v>
      </c>
      <c r="E124" s="101"/>
      <c r="F124" s="10"/>
      <c r="G124" s="282"/>
      <c r="H124" s="224"/>
      <c r="I124" s="282"/>
      <c r="J124" s="13"/>
      <c r="K124" s="13"/>
      <c r="M124" s="276"/>
      <c r="N124" s="268"/>
      <c r="O124" s="34"/>
      <c r="P124" s="806"/>
      <c r="Q124" s="44"/>
      <c r="R124" s="34"/>
      <c r="S124" s="13"/>
      <c r="T124" s="13"/>
      <c r="U124" s="13"/>
    </row>
    <row r="125" spans="1:45" x14ac:dyDescent="0.45">
      <c r="D125" s="32"/>
      <c r="E125" s="101"/>
      <c r="F125" s="10"/>
      <c r="G125" s="282"/>
      <c r="H125" s="268"/>
      <c r="I125" s="282"/>
      <c r="J125" s="13"/>
      <c r="K125" s="13"/>
      <c r="M125" s="13"/>
      <c r="N125" s="13"/>
      <c r="O125" s="34"/>
      <c r="P125" s="806"/>
      <c r="Q125" s="44"/>
      <c r="R125" s="13"/>
      <c r="S125" s="13"/>
      <c r="T125" s="13"/>
      <c r="U125" s="13"/>
    </row>
    <row r="126" spans="1:45" x14ac:dyDescent="0.45">
      <c r="A126" s="1" t="s">
        <v>77</v>
      </c>
      <c r="B126" s="42">
        <f>K78</f>
        <v>1526885.5499130297</v>
      </c>
      <c r="D126" s="32"/>
      <c r="E126" s="100">
        <f>D127/B126</f>
        <v>1.066908945377024</v>
      </c>
      <c r="F126" s="10" t="s">
        <v>2</v>
      </c>
      <c r="G126" s="282"/>
      <c r="H126" s="224"/>
      <c r="I126" s="282"/>
      <c r="J126" s="460"/>
      <c r="K126" s="44"/>
      <c r="M126" s="674"/>
      <c r="N126" s="13"/>
      <c r="O126" s="34"/>
      <c r="P126" s="800"/>
      <c r="Q126" s="44"/>
      <c r="R126" s="13"/>
      <c r="S126" s="13"/>
      <c r="T126" s="13"/>
      <c r="U126" s="13"/>
    </row>
    <row r="127" spans="1:45" x14ac:dyDescent="0.45">
      <c r="A127" s="1" t="s">
        <v>71</v>
      </c>
      <c r="B127" s="41">
        <f>'Util Rev and Load Data'!Y42</f>
        <v>28447659.66722</v>
      </c>
      <c r="C127" s="25">
        <f>B127/B129</f>
        <v>0.32771438510846862</v>
      </c>
      <c r="D127" s="48">
        <f>D119*C127</f>
        <v>1629047.8517691279</v>
      </c>
      <c r="E127" s="101"/>
      <c r="G127" s="13"/>
      <c r="H127" s="224"/>
      <c r="I127" s="268"/>
      <c r="J127" s="850"/>
      <c r="K127" s="13"/>
      <c r="M127" s="276"/>
      <c r="N127" s="268"/>
      <c r="O127" s="34"/>
      <c r="P127" s="806"/>
      <c r="Q127" s="13"/>
      <c r="R127" s="34"/>
      <c r="S127" s="13"/>
      <c r="T127" s="13"/>
      <c r="U127" s="13"/>
    </row>
    <row r="128" spans="1:45" x14ac:dyDescent="0.45">
      <c r="B128" s="41"/>
      <c r="C128" s="25"/>
      <c r="D128" s="32"/>
      <c r="E128" s="101"/>
      <c r="G128" s="13"/>
      <c r="H128" s="268"/>
      <c r="I128" s="13"/>
      <c r="J128" s="13"/>
      <c r="K128" s="13"/>
      <c r="M128" s="466"/>
      <c r="N128" s="268"/>
      <c r="O128" s="34"/>
      <c r="P128" s="806"/>
      <c r="Q128" s="13"/>
      <c r="R128" s="13"/>
      <c r="S128" s="13"/>
      <c r="T128" s="13"/>
      <c r="U128" s="13"/>
    </row>
    <row r="129" spans="1:21" x14ac:dyDescent="0.45">
      <c r="A129" s="10" t="s">
        <v>78</v>
      </c>
      <c r="B129" s="399">
        <f>SUM(B124,B127)</f>
        <v>86806258.61999999</v>
      </c>
      <c r="C129" s="400">
        <f>SUM(C124:C127)</f>
        <v>1</v>
      </c>
      <c r="D129" s="48">
        <f>SUM(D124:D127)</f>
        <v>4970937.8830896821</v>
      </c>
      <c r="G129" s="13"/>
      <c r="H129" s="224"/>
      <c r="I129" s="271"/>
      <c r="J129" s="34"/>
      <c r="K129" s="13"/>
      <c r="M129" s="13"/>
      <c r="N129" s="13"/>
      <c r="O129" s="13"/>
      <c r="P129" s="13"/>
      <c r="Q129" s="13"/>
      <c r="R129" s="13"/>
      <c r="S129" s="13"/>
      <c r="T129" s="13"/>
      <c r="U129" s="13"/>
    </row>
    <row r="130" spans="1:21" x14ac:dyDescent="0.45">
      <c r="G130" s="13"/>
      <c r="H130" s="13"/>
      <c r="I130" s="13"/>
      <c r="J130" s="13"/>
      <c r="K130" s="13"/>
      <c r="M130" s="13"/>
      <c r="N130" s="13"/>
      <c r="O130" s="13"/>
      <c r="P130" s="13"/>
      <c r="Q130" s="13"/>
      <c r="R130" s="13"/>
      <c r="S130" s="13"/>
      <c r="T130" s="13"/>
      <c r="U130" s="13"/>
    </row>
    <row r="131" spans="1:21" x14ac:dyDescent="0.45">
      <c r="B131" s="36"/>
      <c r="C131" s="9"/>
      <c r="D131" s="22"/>
      <c r="E131" s="9"/>
      <c r="G131" s="13"/>
      <c r="H131" s="13"/>
      <c r="I131" s="13"/>
      <c r="J131" s="13"/>
      <c r="K131" s="13"/>
      <c r="M131" s="13"/>
      <c r="N131" s="13"/>
      <c r="O131" s="13"/>
      <c r="P131" s="13"/>
      <c r="Q131" s="13"/>
      <c r="R131" s="13"/>
      <c r="S131" s="13"/>
      <c r="T131" s="13"/>
      <c r="U131" s="13"/>
    </row>
    <row r="132" spans="1:21" x14ac:dyDescent="0.45">
      <c r="B132" s="36"/>
      <c r="C132" s="9"/>
      <c r="D132" s="9"/>
      <c r="E132" s="847"/>
      <c r="G132" s="13"/>
      <c r="H132" s="13"/>
      <c r="I132" s="13"/>
      <c r="J132" s="13"/>
      <c r="K132" s="13"/>
    </row>
    <row r="133" spans="1:21" x14ac:dyDescent="0.45">
      <c r="C133" s="9"/>
      <c r="D133" s="9"/>
      <c r="E133" s="848"/>
      <c r="G133" s="13"/>
      <c r="H133" s="13"/>
      <c r="I133" s="13"/>
      <c r="J133" s="13"/>
      <c r="K133" s="13"/>
    </row>
    <row r="134" spans="1:21" x14ac:dyDescent="0.45">
      <c r="C134" s="9"/>
      <c r="D134" s="9"/>
      <c r="E134" s="9"/>
      <c r="G134" s="13"/>
      <c r="H134" s="13"/>
      <c r="I134" s="13"/>
      <c r="J134" s="13"/>
      <c r="K134" s="13"/>
    </row>
    <row r="135" spans="1:21" x14ac:dyDescent="0.45">
      <c r="C135" s="9"/>
      <c r="D135" s="9"/>
      <c r="E135" s="847"/>
      <c r="G135" s="13"/>
      <c r="H135" s="13"/>
      <c r="I135" s="13"/>
      <c r="J135" s="13"/>
      <c r="K135" s="13"/>
    </row>
    <row r="136" spans="1:21" x14ac:dyDescent="0.45">
      <c r="C136" s="9"/>
      <c r="D136" s="9"/>
      <c r="E136" s="847"/>
      <c r="G136" s="13"/>
      <c r="H136" s="13"/>
      <c r="I136" s="13"/>
      <c r="J136" s="13"/>
      <c r="K136" s="13"/>
    </row>
    <row r="137" spans="1:21" x14ac:dyDescent="0.45">
      <c r="C137" s="9"/>
      <c r="D137" s="9"/>
      <c r="E137" s="848"/>
      <c r="G137" s="13"/>
      <c r="H137" s="13"/>
      <c r="I137" s="13"/>
      <c r="J137" s="13"/>
      <c r="K137" s="13"/>
    </row>
    <row r="138" spans="1:21" x14ac:dyDescent="0.45">
      <c r="C138" s="9"/>
      <c r="D138" s="9"/>
      <c r="E138" s="848"/>
      <c r="G138" s="13"/>
      <c r="H138" s="13"/>
      <c r="I138" s="13"/>
      <c r="J138" s="13"/>
      <c r="K138" s="13"/>
    </row>
    <row r="139" spans="1:21" x14ac:dyDescent="0.45">
      <c r="C139" s="9"/>
      <c r="D139" s="9"/>
      <c r="E139" s="848"/>
      <c r="G139" s="13"/>
      <c r="H139" s="13"/>
      <c r="I139" s="13"/>
      <c r="J139" s="13"/>
      <c r="K139" s="13"/>
    </row>
    <row r="140" spans="1:21" x14ac:dyDescent="0.45">
      <c r="G140" s="13"/>
      <c r="H140" s="13"/>
      <c r="I140" s="13"/>
      <c r="J140" s="13"/>
      <c r="K140" s="13"/>
    </row>
    <row r="141" spans="1:21" x14ac:dyDescent="0.45">
      <c r="G141" s="13"/>
      <c r="H141" s="13"/>
      <c r="I141" s="13"/>
      <c r="J141" s="13"/>
      <c r="K141" s="13"/>
    </row>
    <row r="142" spans="1:21" x14ac:dyDescent="0.45">
      <c r="B142" s="102"/>
      <c r="C142" s="62"/>
      <c r="H142" s="102"/>
      <c r="I142" s="62"/>
    </row>
    <row r="143" spans="1:21" x14ac:dyDescent="0.45">
      <c r="B143" s="99"/>
      <c r="C143" s="62"/>
      <c r="H143" s="99"/>
      <c r="I143" s="62"/>
    </row>
  </sheetData>
  <mergeCells count="6">
    <mergeCell ref="H95:K95"/>
    <mergeCell ref="A43:G43"/>
    <mergeCell ref="B45:G45"/>
    <mergeCell ref="A59:E59"/>
    <mergeCell ref="B60:E60"/>
    <mergeCell ref="B95:F95"/>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57" max="10" man="1"/>
  </rowBreaks>
  <ignoredErrors>
    <ignoredError sqref="C83" formula="1"/>
  </ignoredError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U48"/>
  <sheetViews>
    <sheetView tabSelected="1" zoomScale="110" zoomScaleNormal="110" workbookViewId="0">
      <selection activeCell="O47" sqref="O47"/>
    </sheetView>
  </sheetViews>
  <sheetFormatPr defaultColWidth="9.1328125" defaultRowHeight="13.9" x14ac:dyDescent="0.4"/>
  <cols>
    <col min="1" max="1" width="15.3984375" style="410" customWidth="1"/>
    <col min="2" max="2" width="33.73046875" style="410" customWidth="1"/>
    <col min="3" max="3" width="13.59765625" style="410" bestFit="1" customWidth="1"/>
    <col min="4" max="4" width="12" style="410" customWidth="1"/>
    <col min="5" max="5" width="10.86328125" style="410" customWidth="1"/>
    <col min="6" max="6" width="13" style="410" customWidth="1"/>
    <col min="7" max="7" width="12.265625" style="410" customWidth="1"/>
    <col min="8" max="8" width="12.86328125" style="410" customWidth="1"/>
    <col min="9" max="9" width="14.3984375" style="410" customWidth="1"/>
    <col min="10" max="10" width="14.59765625" style="410" customWidth="1"/>
    <col min="11" max="11" width="17.59765625" style="410" customWidth="1"/>
    <col min="12" max="12" width="16.3984375" style="410" customWidth="1"/>
    <col min="13" max="13" width="17.73046875" style="410" customWidth="1"/>
    <col min="14" max="14" width="16.3984375" style="410" customWidth="1"/>
    <col min="15" max="15" width="17.73046875" style="410" customWidth="1"/>
    <col min="16" max="16" width="12" style="410" customWidth="1"/>
    <col min="17" max="17" width="15" style="410" customWidth="1"/>
    <col min="18" max="18" width="12.265625" style="410" customWidth="1"/>
    <col min="19" max="19" width="11.73046875" style="410" customWidth="1"/>
    <col min="20" max="20" width="12.59765625" style="410" customWidth="1"/>
    <col min="21" max="21" width="13.73046875" style="410" customWidth="1"/>
    <col min="22" max="22" width="11.3984375" style="410" customWidth="1"/>
    <col min="23" max="23" width="16.86328125" style="410" bestFit="1" customWidth="1"/>
    <col min="24" max="24" width="14" style="410" bestFit="1" customWidth="1"/>
    <col min="25" max="16384" width="9.1328125" style="410"/>
  </cols>
  <sheetData>
    <row r="1" spans="1:21" ht="12.75" customHeight="1" x14ac:dyDescent="0.4">
      <c r="A1" s="409" t="s">
        <v>326</v>
      </c>
      <c r="B1" s="409"/>
      <c r="C1" s="409"/>
      <c r="D1" s="409"/>
      <c r="E1" s="409"/>
    </row>
    <row r="2" spans="1:21" ht="12.75" customHeight="1" x14ac:dyDescent="0.4">
      <c r="A2" s="409" t="s">
        <v>655</v>
      </c>
      <c r="B2" s="409"/>
      <c r="C2" s="409"/>
      <c r="D2" s="409"/>
      <c r="E2" s="409"/>
    </row>
    <row r="3" spans="1:21" x14ac:dyDescent="0.4">
      <c r="E3" s="411"/>
      <c r="H3" s="413"/>
      <c r="I3" s="414"/>
      <c r="J3" s="414"/>
      <c r="K3" s="414"/>
      <c r="L3" s="291"/>
      <c r="M3" s="291"/>
      <c r="N3" s="291"/>
      <c r="O3" s="291"/>
      <c r="P3" s="291"/>
      <c r="Q3" s="291"/>
      <c r="R3" s="291"/>
      <c r="S3" s="291"/>
      <c r="T3" s="291"/>
      <c r="U3" s="291"/>
    </row>
    <row r="4" spans="1:21" ht="14.25" thickBot="1" x14ac:dyDescent="0.45">
      <c r="C4" s="1062" t="s">
        <v>404</v>
      </c>
      <c r="D4" s="1063"/>
      <c r="E4" s="415"/>
      <c r="F4" s="1064" t="s">
        <v>314</v>
      </c>
      <c r="G4" s="1065"/>
      <c r="H4" s="412"/>
      <c r="I4" s="700"/>
      <c r="J4" s="291"/>
      <c r="K4" s="291"/>
      <c r="L4" s="416"/>
      <c r="M4" s="291"/>
    </row>
    <row r="5" spans="1:21" ht="14.25" customHeight="1" thickBot="1" x14ac:dyDescent="0.45">
      <c r="A5" s="417" t="s">
        <v>163</v>
      </c>
      <c r="B5" s="418"/>
      <c r="C5" s="1055" t="s">
        <v>342</v>
      </c>
      <c r="D5" s="1056"/>
      <c r="E5" s="415"/>
      <c r="F5" s="1066" t="s">
        <v>344</v>
      </c>
      <c r="G5" s="1067"/>
      <c r="H5" s="415"/>
      <c r="J5" s="1057" t="s">
        <v>324</v>
      </c>
      <c r="K5" s="1058"/>
      <c r="L5" s="1058"/>
      <c r="M5" s="1058"/>
      <c r="N5" s="1058"/>
      <c r="O5" s="1059"/>
    </row>
    <row r="6" spans="1:21" x14ac:dyDescent="0.4">
      <c r="C6" s="419" t="s">
        <v>92</v>
      </c>
      <c r="D6" s="420" t="s">
        <v>93</v>
      </c>
      <c r="E6" s="421"/>
      <c r="F6" s="422" t="s">
        <v>92</v>
      </c>
      <c r="G6" s="423" t="s">
        <v>343</v>
      </c>
      <c r="H6" s="421"/>
      <c r="I6" s="930" t="s">
        <v>678</v>
      </c>
      <c r="J6" s="921" t="s">
        <v>454</v>
      </c>
      <c r="K6" s="921" t="s">
        <v>677</v>
      </c>
      <c r="L6" s="1060" t="s">
        <v>676</v>
      </c>
      <c r="M6" s="1061"/>
      <c r="N6" s="1060" t="s">
        <v>675</v>
      </c>
      <c r="O6" s="1061"/>
      <c r="P6" s="1050"/>
      <c r="Q6" s="1050"/>
      <c r="R6" s="1050"/>
    </row>
    <row r="7" spans="1:21" x14ac:dyDescent="0.4">
      <c r="A7" s="424" t="s">
        <v>339</v>
      </c>
      <c r="C7" s="425"/>
      <c r="D7" s="292"/>
      <c r="E7" s="421"/>
      <c r="F7" s="426"/>
      <c r="G7" s="427"/>
      <c r="H7" s="421"/>
      <c r="I7" s="303" t="s">
        <v>295</v>
      </c>
      <c r="J7" s="928" t="s">
        <v>650</v>
      </c>
      <c r="K7" s="922" t="s">
        <v>650</v>
      </c>
      <c r="L7" s="909" t="s">
        <v>650</v>
      </c>
      <c r="M7" s="910" t="s">
        <v>674</v>
      </c>
      <c r="N7" s="909" t="s">
        <v>650</v>
      </c>
      <c r="O7" s="910" t="s">
        <v>674</v>
      </c>
      <c r="P7" s="907"/>
      <c r="Q7" s="416"/>
      <c r="R7" s="416"/>
    </row>
    <row r="8" spans="1:21" x14ac:dyDescent="0.4">
      <c r="A8" s="428" t="s">
        <v>3</v>
      </c>
      <c r="C8" s="429">
        <f>'EEC Calculation'!D87</f>
        <v>1.0514180472178947E-2</v>
      </c>
      <c r="D8" s="292" t="s">
        <v>67</v>
      </c>
      <c r="E8" s="430"/>
      <c r="F8" s="431">
        <v>1.1881085167974793E-2</v>
      </c>
      <c r="G8" s="432">
        <f>(C8-F8)/F8</f>
        <v>-0.11504880879739071</v>
      </c>
      <c r="H8" s="430"/>
      <c r="I8" s="304" t="s">
        <v>3</v>
      </c>
      <c r="J8" s="923">
        <f>B31*C31</f>
        <v>23967812.376544788</v>
      </c>
      <c r="K8" s="923">
        <f>D31*B31</f>
        <v>21210344.113143954</v>
      </c>
      <c r="L8" s="911">
        <f>L31</f>
        <v>24355160.985924602</v>
      </c>
      <c r="M8" s="912">
        <f>L8-K8</f>
        <v>3144816.8727806471</v>
      </c>
      <c r="N8" s="911">
        <f>O31</f>
        <v>25105600.142099809</v>
      </c>
      <c r="O8" s="912">
        <f>N8-K8</f>
        <v>3895256.0289558545</v>
      </c>
      <c r="P8" s="306"/>
      <c r="Q8" s="306"/>
      <c r="R8" s="308"/>
    </row>
    <row r="9" spans="1:21" x14ac:dyDescent="0.4">
      <c r="A9" s="428" t="s">
        <v>4</v>
      </c>
      <c r="C9" s="429">
        <f>'EEC Calculation'!D88</f>
        <v>1.2477734474553056E-2</v>
      </c>
      <c r="D9" s="292" t="s">
        <v>67</v>
      </c>
      <c r="E9" s="433"/>
      <c r="F9" s="431">
        <v>1.0236807822923627E-2</v>
      </c>
      <c r="G9" s="432">
        <f>(+C9-F9)/F9</f>
        <v>0.21890873506594957</v>
      </c>
      <c r="H9" s="433"/>
      <c r="I9" s="305" t="s">
        <v>4</v>
      </c>
      <c r="J9" s="924">
        <f>B32*C32+B37*C37+B38*C38+B44*C44</f>
        <v>16887447.581909448</v>
      </c>
      <c r="K9" s="924">
        <f>D32*B32+D37*B37+D38*B38+D44*B44</f>
        <v>20928713.93375941</v>
      </c>
      <c r="L9" s="913">
        <f>L32+L37+L38+L44</f>
        <v>17160368.999770205</v>
      </c>
      <c r="M9" s="914">
        <f t="shared" ref="M9:M10" si="0">L9-K9</f>
        <v>-3768344.9339892045</v>
      </c>
      <c r="N9" s="913">
        <f>O32+O37+O38+O44</f>
        <v>17689119.880919587</v>
      </c>
      <c r="O9" s="914">
        <f t="shared" ref="O9:O10" si="1">N9-K9</f>
        <v>-3239594.0528398231</v>
      </c>
      <c r="P9" s="306"/>
      <c r="Q9" s="306"/>
      <c r="R9" s="308"/>
    </row>
    <row r="10" spans="1:21" x14ac:dyDescent="0.4">
      <c r="A10" s="428" t="s">
        <v>47</v>
      </c>
      <c r="C10" s="429">
        <f>'EEC Calculation'!D89</f>
        <v>7.0952838370032228E-3</v>
      </c>
      <c r="D10" s="292" t="s">
        <v>67</v>
      </c>
      <c r="E10" s="434"/>
      <c r="F10" s="431">
        <v>7.5702523544102568E-3</v>
      </c>
      <c r="G10" s="432">
        <f>(+C10-F10)/F10</f>
        <v>-6.2741437824107432E-2</v>
      </c>
      <c r="H10" s="434"/>
      <c r="I10" s="307" t="s">
        <v>47</v>
      </c>
      <c r="J10" s="925">
        <f>B33*C33+B40*C40+B41*C41</f>
        <v>5552897.9115446219</v>
      </c>
      <c r="K10" s="925">
        <f>C10*B33+C17*B40+C18*B41</f>
        <v>5019111.1003904575</v>
      </c>
      <c r="L10" s="915">
        <f>L33+L40+L41</f>
        <v>5642639.4052726757</v>
      </c>
      <c r="M10" s="916">
        <f t="shared" si="0"/>
        <v>623528.30488221813</v>
      </c>
      <c r="N10" s="915">
        <f>O33+O40+O41</f>
        <v>5816502.2492235331</v>
      </c>
      <c r="O10" s="916">
        <f t="shared" si="1"/>
        <v>797391.14883307554</v>
      </c>
      <c r="P10" s="306"/>
      <c r="Q10" s="306"/>
      <c r="R10" s="308"/>
    </row>
    <row r="11" spans="1:21" x14ac:dyDescent="0.4">
      <c r="C11" s="425"/>
      <c r="D11" s="292"/>
      <c r="E11" s="421"/>
      <c r="F11" s="426"/>
      <c r="G11" s="435"/>
      <c r="H11" s="421"/>
      <c r="I11" s="908" t="s">
        <v>10</v>
      </c>
      <c r="J11" s="926">
        <f t="shared" ref="J11:O11" si="2">SUM(J8:J10)</f>
        <v>46408157.869998857</v>
      </c>
      <c r="K11" s="926">
        <f t="shared" si="2"/>
        <v>47158169.147293821</v>
      </c>
      <c r="L11" s="917">
        <f t="shared" si="2"/>
        <v>47158169.390967488</v>
      </c>
      <c r="M11" s="918">
        <f t="shared" si="2"/>
        <v>0.24367366079241037</v>
      </c>
      <c r="N11" s="917">
        <f t="shared" si="2"/>
        <v>48611222.272242926</v>
      </c>
      <c r="O11" s="918">
        <f t="shared" si="2"/>
        <v>1453053.1249491069</v>
      </c>
      <c r="P11" s="306"/>
      <c r="Q11" s="306"/>
      <c r="R11" s="308"/>
    </row>
    <row r="12" spans="1:21" x14ac:dyDescent="0.4">
      <c r="A12" s="424" t="s">
        <v>340</v>
      </c>
      <c r="C12" s="425"/>
      <c r="D12" s="292"/>
      <c r="E12" s="421"/>
      <c r="F12" s="426"/>
      <c r="G12" s="435"/>
      <c r="H12" s="421"/>
      <c r="J12" s="924"/>
      <c r="K12" s="924"/>
      <c r="L12" s="913"/>
      <c r="M12" s="914"/>
      <c r="N12" s="913"/>
      <c r="O12" s="914"/>
      <c r="P12" s="306"/>
      <c r="Q12" s="306"/>
      <c r="R12" s="308"/>
    </row>
    <row r="13" spans="1:21" x14ac:dyDescent="0.4">
      <c r="A13" s="424" t="s">
        <v>337</v>
      </c>
      <c r="C13" s="436"/>
      <c r="D13" s="292"/>
      <c r="E13" s="421"/>
      <c r="F13" s="437"/>
      <c r="G13" s="435"/>
      <c r="H13" s="421"/>
      <c r="I13" s="309" t="s">
        <v>3</v>
      </c>
      <c r="J13" s="923">
        <f>B31*C31</f>
        <v>23967812.376544788</v>
      </c>
      <c r="K13" s="923">
        <f>D31*B31</f>
        <v>21210344.113143954</v>
      </c>
      <c r="L13" s="911">
        <f>L31</f>
        <v>24355160.985924602</v>
      </c>
      <c r="M13" s="912">
        <f>L13-K13</f>
        <v>3144816.8727806471</v>
      </c>
      <c r="N13" s="911">
        <f>O31</f>
        <v>25105600.142099809</v>
      </c>
      <c r="O13" s="912">
        <f>N13-K13</f>
        <v>3895256.0289558545</v>
      </c>
      <c r="P13" s="306"/>
      <c r="Q13" s="306"/>
      <c r="R13" s="308"/>
    </row>
    <row r="14" spans="1:21" x14ac:dyDescent="0.4">
      <c r="B14" s="410" t="s">
        <v>1</v>
      </c>
      <c r="C14" s="429">
        <f>'EEC Calculation'!E106</f>
        <v>7.9624132850054912E-3</v>
      </c>
      <c r="D14" s="292" t="s">
        <v>67</v>
      </c>
      <c r="E14" s="430"/>
      <c r="F14" s="431">
        <v>6.6197719734247661E-3</v>
      </c>
      <c r="G14" s="432">
        <f>(+C14-F14)/F14</f>
        <v>0.20282289434904871</v>
      </c>
      <c r="H14" s="421"/>
      <c r="I14" s="310" t="s">
        <v>4</v>
      </c>
      <c r="J14" s="924"/>
      <c r="K14" s="924"/>
      <c r="L14" s="913"/>
      <c r="M14" s="914"/>
      <c r="N14" s="913"/>
      <c r="O14" s="914"/>
      <c r="P14" s="306"/>
      <c r="Q14" s="306"/>
      <c r="R14" s="308"/>
    </row>
    <row r="15" spans="1:21" x14ac:dyDescent="0.4">
      <c r="B15" s="410" t="s">
        <v>2</v>
      </c>
      <c r="C15" s="429">
        <f>'EEC Calculation'!E109</f>
        <v>1.5076281362878166</v>
      </c>
      <c r="D15" s="292" t="s">
        <v>94</v>
      </c>
      <c r="E15" s="439"/>
      <c r="F15" s="431">
        <v>1.13825</v>
      </c>
      <c r="G15" s="432">
        <f>(+C15-F15)/F15</f>
        <v>0.32451406658275123</v>
      </c>
      <c r="H15" s="421"/>
      <c r="I15" s="311" t="s">
        <v>298</v>
      </c>
      <c r="J15" s="924">
        <f>B32*C32+B44*C44</f>
        <v>3261782.7353305798</v>
      </c>
      <c r="K15" s="924">
        <f>D32*B32+D44*B44</f>
        <v>3975815.4679817497</v>
      </c>
      <c r="L15" s="913">
        <f>L32+L44</f>
        <v>3314497.0584728043</v>
      </c>
      <c r="M15" s="914">
        <f t="shared" ref="M15:M16" si="3">L15-K15</f>
        <v>-661318.40950894542</v>
      </c>
      <c r="N15" s="913">
        <f>O32+O44</f>
        <v>3416624.4218329974</v>
      </c>
      <c r="O15" s="914">
        <f t="shared" ref="O15:O19" si="4">N15-K15</f>
        <v>-559191.04614875233</v>
      </c>
      <c r="P15" s="306"/>
      <c r="Q15" s="306"/>
      <c r="R15" s="308"/>
    </row>
    <row r="16" spans="1:21" x14ac:dyDescent="0.4">
      <c r="A16" s="424" t="s">
        <v>338</v>
      </c>
      <c r="C16" s="436"/>
      <c r="D16" s="292"/>
      <c r="E16" s="421"/>
      <c r="F16" s="437"/>
      <c r="G16" s="432"/>
      <c r="H16" s="430"/>
      <c r="I16" s="312" t="s">
        <v>299</v>
      </c>
      <c r="J16" s="924">
        <f>B37*C37+B38*C38</f>
        <v>13625664.846578868</v>
      </c>
      <c r="K16" s="924">
        <f>D37*B37+D38*B38</f>
        <v>16952898.465777662</v>
      </c>
      <c r="L16" s="913">
        <f>L37+L38</f>
        <v>13845871.941297401</v>
      </c>
      <c r="M16" s="914">
        <f t="shared" si="3"/>
        <v>-3107026.5244802609</v>
      </c>
      <c r="N16" s="913">
        <f>O37+O38</f>
        <v>14272495.45908659</v>
      </c>
      <c r="O16" s="914">
        <f t="shared" si="4"/>
        <v>-2680403.0066910721</v>
      </c>
      <c r="P16" s="306"/>
      <c r="Q16" s="306"/>
      <c r="R16" s="308"/>
    </row>
    <row r="17" spans="1:18" x14ac:dyDescent="0.4">
      <c r="B17" s="410" t="s">
        <v>1</v>
      </c>
      <c r="C17" s="429">
        <f>'EEC Calculation'!E123</f>
        <v>4.7700572571896553E-3</v>
      </c>
      <c r="D17" s="292" t="s">
        <v>67</v>
      </c>
      <c r="E17" s="430"/>
      <c r="F17" s="431">
        <v>5.2086163716222877E-3</v>
      </c>
      <c r="G17" s="432">
        <f>(+C17-F17)/F17</f>
        <v>-8.4198774327478035E-2</v>
      </c>
      <c r="H17" s="439"/>
      <c r="I17" s="313" t="s">
        <v>47</v>
      </c>
      <c r="J17" s="924"/>
      <c r="K17" s="924"/>
      <c r="L17" s="913"/>
      <c r="M17" s="914"/>
      <c r="N17" s="913"/>
      <c r="O17" s="914"/>
      <c r="P17" s="306"/>
      <c r="Q17" s="306"/>
      <c r="R17" s="308"/>
    </row>
    <row r="18" spans="1:18" x14ac:dyDescent="0.4">
      <c r="B18" s="410" t="s">
        <v>2</v>
      </c>
      <c r="C18" s="429">
        <f>'EEC Calculation'!E126</f>
        <v>1.066908945377024</v>
      </c>
      <c r="D18" s="292" t="s">
        <v>94</v>
      </c>
      <c r="E18" s="441"/>
      <c r="F18" s="431">
        <v>1.21316</v>
      </c>
      <c r="G18" s="432">
        <f>(+C18-F18)/F18</f>
        <v>-0.12055380545268229</v>
      </c>
      <c r="H18" s="421"/>
      <c r="I18" s="311" t="s">
        <v>298</v>
      </c>
      <c r="J18" s="924">
        <f>B33*C33</f>
        <v>51398.001837336771</v>
      </c>
      <c r="K18" s="924">
        <f>D33*B33</f>
        <v>48173.217300776145</v>
      </c>
      <c r="L18" s="913">
        <f>L33</f>
        <v>52228.65522463034</v>
      </c>
      <c r="M18" s="914">
        <f t="shared" ref="M18:M19" si="5">L18-K18</f>
        <v>4055.4379238541951</v>
      </c>
      <c r="N18" s="913">
        <f>O33</f>
        <v>53837.94156757788</v>
      </c>
      <c r="O18" s="914">
        <f t="shared" si="4"/>
        <v>5664.7242668017352</v>
      </c>
      <c r="P18" s="306"/>
      <c r="Q18" s="306"/>
      <c r="R18" s="308"/>
    </row>
    <row r="19" spans="1:18" x14ac:dyDescent="0.4">
      <c r="C19" s="438"/>
      <c r="D19" s="292"/>
      <c r="E19" s="441"/>
      <c r="F19" s="440"/>
      <c r="G19" s="432"/>
      <c r="H19" s="430"/>
      <c r="I19" s="314" t="s">
        <v>299</v>
      </c>
      <c r="J19" s="925">
        <f>B40*C40+B41*C41</f>
        <v>5501499.9097072855</v>
      </c>
      <c r="K19" s="925">
        <f>D40*B40+D41*B41</f>
        <v>4970937.8830896821</v>
      </c>
      <c r="L19" s="915">
        <f>L40+L41</f>
        <v>5590410.750048046</v>
      </c>
      <c r="M19" s="916">
        <f t="shared" si="5"/>
        <v>619472.86695836391</v>
      </c>
      <c r="N19" s="915">
        <f>O40+O41</f>
        <v>5762664.3076559557</v>
      </c>
      <c r="O19" s="916">
        <f t="shared" si="4"/>
        <v>791726.42456627358</v>
      </c>
      <c r="P19" s="306"/>
      <c r="Q19" s="306"/>
      <c r="R19" s="291"/>
    </row>
    <row r="20" spans="1:18" ht="14.25" thickBot="1" x14ac:dyDescent="0.45">
      <c r="A20" s="424" t="s">
        <v>345</v>
      </c>
      <c r="C20" s="429">
        <f>+C9</f>
        <v>1.2477734474553056E-2</v>
      </c>
      <c r="D20" s="292" t="s">
        <v>67</v>
      </c>
      <c r="E20" s="441"/>
      <c r="F20" s="431">
        <v>1.0236807822923627E-2</v>
      </c>
      <c r="G20" s="432">
        <f>(+C20-F20)/F20</f>
        <v>0.21890873506594957</v>
      </c>
      <c r="H20" s="441"/>
      <c r="I20" s="908" t="s">
        <v>10</v>
      </c>
      <c r="J20" s="927">
        <f>SUM(J13:J19)</f>
        <v>46408157.869998857</v>
      </c>
      <c r="K20" s="927">
        <f>SUM(K13:K19)</f>
        <v>47158169.147293821</v>
      </c>
      <c r="L20" s="919">
        <f>SUM(L13:L19)</f>
        <v>47158169.390967488</v>
      </c>
      <c r="M20" s="920">
        <f t="shared" ref="M20:O20" si="6">SUM(M13:M19)</f>
        <v>0.24367365892976522</v>
      </c>
      <c r="N20" s="919">
        <f t="shared" si="6"/>
        <v>48611222.272242926</v>
      </c>
      <c r="O20" s="929">
        <f t="shared" si="6"/>
        <v>1453053.1249491053</v>
      </c>
    </row>
    <row r="21" spans="1:18" x14ac:dyDescent="0.4">
      <c r="C21" s="290"/>
      <c r="D21" s="292"/>
      <c r="E21" s="415"/>
      <c r="F21" s="442"/>
      <c r="G21" s="427"/>
      <c r="H21" s="441"/>
    </row>
    <row r="22" spans="1:18" x14ac:dyDescent="0.4">
      <c r="C22" s="290"/>
      <c r="D22" s="292"/>
      <c r="E22" s="415"/>
      <c r="F22" s="442"/>
      <c r="G22" s="427"/>
      <c r="H22" s="441"/>
      <c r="I22" s="443"/>
      <c r="J22" s="846"/>
      <c r="K22" s="291"/>
      <c r="L22" s="291"/>
      <c r="M22" s="291"/>
    </row>
    <row r="23" spans="1:18" x14ac:dyDescent="0.4">
      <c r="A23" s="446" t="s">
        <v>174</v>
      </c>
      <c r="B23" s="446"/>
      <c r="C23" s="447">
        <f>+'EEC Calculation'!B41</f>
        <v>47158169.147293821</v>
      </c>
      <c r="D23" s="448"/>
      <c r="E23" s="449"/>
      <c r="F23" s="447">
        <v>51298188.33164192</v>
      </c>
      <c r="G23" s="450">
        <f>(+C23-F23)/F23</f>
        <v>-8.070497846011529E-2</v>
      </c>
      <c r="H23" s="444"/>
      <c r="I23" s="445"/>
      <c r="J23" s="846"/>
      <c r="K23" s="291"/>
      <c r="L23" s="291"/>
      <c r="M23" s="291"/>
    </row>
    <row r="24" spans="1:18" x14ac:dyDescent="0.4">
      <c r="E24" s="453"/>
      <c r="H24" s="415"/>
      <c r="I24" s="451"/>
      <c r="J24" s="846"/>
      <c r="K24" s="291"/>
      <c r="L24" s="291"/>
      <c r="M24" s="452"/>
    </row>
    <row r="25" spans="1:18" x14ac:dyDescent="0.4">
      <c r="C25" s="455"/>
      <c r="F25" s="1068" t="s">
        <v>668</v>
      </c>
      <c r="G25" s="1069"/>
      <c r="H25" s="1068" t="s">
        <v>669</v>
      </c>
      <c r="I25" s="1069"/>
      <c r="J25" s="846"/>
      <c r="K25" s="291"/>
      <c r="L25" s="291"/>
      <c r="M25" s="291"/>
    </row>
    <row r="26" spans="1:18" ht="33.75" customHeight="1" x14ac:dyDescent="0.4">
      <c r="A26" s="285" t="s">
        <v>441</v>
      </c>
      <c r="B26" s="286"/>
      <c r="C26" s="286"/>
      <c r="D26" s="1051" t="s">
        <v>680</v>
      </c>
      <c r="E26" s="1052"/>
      <c r="F26" s="1053" t="s">
        <v>671</v>
      </c>
      <c r="G26" s="1054"/>
      <c r="H26" s="1053" t="s">
        <v>670</v>
      </c>
      <c r="I26" s="1054"/>
      <c r="M26" s="291"/>
    </row>
    <row r="27" spans="1:18" ht="41.65" x14ac:dyDescent="0.4">
      <c r="A27" s="456" t="s">
        <v>346</v>
      </c>
      <c r="B27" s="288" t="s">
        <v>361</v>
      </c>
      <c r="C27" s="288" t="s">
        <v>341</v>
      </c>
      <c r="D27" s="403" t="s">
        <v>651</v>
      </c>
      <c r="E27" s="289" t="s">
        <v>652</v>
      </c>
      <c r="F27" s="403" t="s">
        <v>651</v>
      </c>
      <c r="G27" s="289" t="s">
        <v>653</v>
      </c>
      <c r="H27" s="403" t="s">
        <v>651</v>
      </c>
      <c r="I27" s="289" t="s">
        <v>652</v>
      </c>
      <c r="K27" s="864" t="s">
        <v>679</v>
      </c>
      <c r="L27" s="863">
        <v>1.6161200000000001E-2</v>
      </c>
      <c r="N27" s="864" t="s">
        <v>672</v>
      </c>
      <c r="O27" s="863">
        <v>4.7471489999999998E-2</v>
      </c>
    </row>
    <row r="28" spans="1:18" x14ac:dyDescent="0.4">
      <c r="A28" s="290"/>
      <c r="B28" s="291"/>
      <c r="C28" s="291"/>
      <c r="D28" s="290"/>
      <c r="E28" s="292"/>
      <c r="F28" s="290"/>
      <c r="G28" s="292"/>
      <c r="H28" s="290"/>
      <c r="I28" s="292"/>
    </row>
    <row r="29" spans="1:18" x14ac:dyDescent="0.4">
      <c r="A29" s="287" t="s">
        <v>339</v>
      </c>
      <c r="B29" s="291"/>
      <c r="C29" s="291"/>
      <c r="D29" s="290"/>
      <c r="E29" s="292"/>
      <c r="F29" s="839">
        <f>L27</f>
        <v>1.6161200000000001E-2</v>
      </c>
      <c r="G29" s="292"/>
      <c r="H29" s="839">
        <f>O27</f>
        <v>4.7471489999999998E-2</v>
      </c>
      <c r="I29" s="292"/>
      <c r="L29" s="895" t="s">
        <v>664</v>
      </c>
      <c r="O29" s="895" t="s">
        <v>664</v>
      </c>
    </row>
    <row r="30" spans="1:18" x14ac:dyDescent="0.4">
      <c r="A30" s="287"/>
      <c r="B30" s="291"/>
      <c r="C30" s="291"/>
      <c r="D30" s="290"/>
      <c r="E30" s="292"/>
      <c r="F30" s="290"/>
      <c r="G30" s="292"/>
      <c r="H30" s="290"/>
      <c r="I30" s="292"/>
      <c r="K30" s="838" t="s">
        <v>649</v>
      </c>
      <c r="L30" s="838" t="s">
        <v>650</v>
      </c>
      <c r="N30" s="838" t="s">
        <v>649</v>
      </c>
      <c r="O30" s="838" t="s">
        <v>650</v>
      </c>
    </row>
    <row r="31" spans="1:18" x14ac:dyDescent="0.4">
      <c r="A31" s="293" t="s">
        <v>3</v>
      </c>
      <c r="B31" s="294">
        <f>'EEC Calculation'!$C$68</f>
        <v>2017308355.0608244</v>
      </c>
      <c r="C31" s="295">
        <f>F8</f>
        <v>1.1881085167974793E-2</v>
      </c>
      <c r="D31" s="407">
        <f>C8</f>
        <v>1.0514180472178947E-2</v>
      </c>
      <c r="E31" s="296">
        <f>D31/C31-1</f>
        <v>-0.11504880879739066</v>
      </c>
      <c r="F31" s="404">
        <f>$C31*(1+F$29)</f>
        <v>1.2073097761591467E-2</v>
      </c>
      <c r="G31" s="840">
        <f>F31/C31-1</f>
        <v>1.6161199999999987E-2</v>
      </c>
      <c r="H31" s="404">
        <f t="shared" ref="H31:H33" si="7">$C31*(1+H$29)</f>
        <v>1.2445097983715457E-2</v>
      </c>
      <c r="I31" s="840">
        <f>H31/C31-1</f>
        <v>4.747148999999995E-2</v>
      </c>
      <c r="K31" s="837">
        <f>'EEC Calculation'!C68</f>
        <v>2017308355.0608244</v>
      </c>
      <c r="L31" s="510">
        <f>F31*K31</f>
        <v>24355160.985924602</v>
      </c>
      <c r="N31" s="837">
        <f>K31</f>
        <v>2017308355.0608244</v>
      </c>
      <c r="O31" s="510">
        <f>(C31*(1+O$27))*N31</f>
        <v>25105600.142099809</v>
      </c>
    </row>
    <row r="32" spans="1:18" x14ac:dyDescent="0.4">
      <c r="A32" s="293" t="s">
        <v>4</v>
      </c>
      <c r="B32" s="294">
        <f>'EEC Calculation'!$C$101-'EEC Calculation'!$C$72</f>
        <v>305506221.09511364</v>
      </c>
      <c r="C32" s="295">
        <f>F9</f>
        <v>1.0236807822923627E-2</v>
      </c>
      <c r="D32" s="407">
        <f>C9</f>
        <v>1.2477734474553056E-2</v>
      </c>
      <c r="E32" s="296">
        <f>D32/C32-1</f>
        <v>0.21890873506594954</v>
      </c>
      <c r="F32" s="404">
        <f t="shared" ref="F32:F33" si="8">$C32*(1+F$29)</f>
        <v>1.0402246921511461E-2</v>
      </c>
      <c r="G32" s="840">
        <f>F32/C32-1</f>
        <v>1.6161199999999987E-2</v>
      </c>
      <c r="H32" s="404">
        <f t="shared" si="7"/>
        <v>1.0722764343121468E-2</v>
      </c>
      <c r="I32" s="840">
        <f t="shared" ref="I32:I44" si="9">H32/C32-1</f>
        <v>4.747148999999995E-2</v>
      </c>
      <c r="K32" s="837">
        <f>'EEC Calculation'!C101-'EEC Calculation'!C72</f>
        <v>305506221.09511364</v>
      </c>
      <c r="L32" s="510">
        <f>F32*K32</f>
        <v>3177951.1478892458</v>
      </c>
      <c r="N32" s="837">
        <f>K32</f>
        <v>305506221.09511364</v>
      </c>
      <c r="O32" s="510">
        <f>(C32*(1+O$27))*N32</f>
        <v>3275871.214160468</v>
      </c>
    </row>
    <row r="33" spans="1:16" x14ac:dyDescent="0.4">
      <c r="A33" s="293" t="s">
        <v>47</v>
      </c>
      <c r="B33" s="294">
        <f>'EEC Calculation'!$C$118</f>
        <v>6789470.0772284642</v>
      </c>
      <c r="C33" s="295">
        <f>F10</f>
        <v>7.5702523544102568E-3</v>
      </c>
      <c r="D33" s="407">
        <f>C10</f>
        <v>7.0952838370032228E-3</v>
      </c>
      <c r="E33" s="296">
        <f>D33/C33-1</f>
        <v>-6.274143782410746E-2</v>
      </c>
      <c r="F33" s="404">
        <f t="shared" si="8"/>
        <v>7.6925967167603519E-3</v>
      </c>
      <c r="G33" s="840">
        <f>F33/C33-1</f>
        <v>1.6161199999999987E-2</v>
      </c>
      <c r="H33" s="404">
        <f t="shared" si="7"/>
        <v>7.9296235133501196E-3</v>
      </c>
      <c r="I33" s="840">
        <f t="shared" si="9"/>
        <v>4.747148999999995E-2</v>
      </c>
      <c r="K33" s="837">
        <f>'EEC Calculation'!C118</f>
        <v>6789470.0772284642</v>
      </c>
      <c r="L33" s="510">
        <f>F33*K33</f>
        <v>52228.65522463034</v>
      </c>
      <c r="N33" s="837">
        <f>K33</f>
        <v>6789470.0772284642</v>
      </c>
      <c r="O33" s="510">
        <f>(C33*(1+O$27))*N33</f>
        <v>53837.94156757788</v>
      </c>
    </row>
    <row r="34" spans="1:16" x14ac:dyDescent="0.4">
      <c r="A34" s="290"/>
      <c r="B34" s="294"/>
      <c r="C34" s="295"/>
      <c r="D34" s="408"/>
      <c r="E34" s="297"/>
      <c r="F34" s="405"/>
      <c r="G34" s="840"/>
      <c r="H34" s="405"/>
      <c r="I34" s="840"/>
      <c r="K34" s="837"/>
      <c r="L34" s="510"/>
      <c r="N34" s="837"/>
      <c r="O34" s="510"/>
    </row>
    <row r="35" spans="1:16" x14ac:dyDescent="0.4">
      <c r="A35" s="287" t="s">
        <v>340</v>
      </c>
      <c r="B35" s="294"/>
      <c r="C35" s="295"/>
      <c r="D35" s="408"/>
      <c r="E35" s="297"/>
      <c r="F35" s="405"/>
      <c r="G35" s="840"/>
      <c r="H35" s="405"/>
      <c r="I35" s="840"/>
      <c r="K35" s="837"/>
      <c r="L35" s="510"/>
      <c r="N35" s="837"/>
      <c r="O35" s="510"/>
    </row>
    <row r="36" spans="1:16" x14ac:dyDescent="0.4">
      <c r="A36" s="298" t="s">
        <v>337</v>
      </c>
      <c r="B36" s="294"/>
      <c r="C36" s="295"/>
      <c r="D36" s="408"/>
      <c r="E36" s="297"/>
      <c r="F36" s="405"/>
      <c r="G36" s="840"/>
      <c r="H36" s="405"/>
      <c r="I36" s="840"/>
      <c r="K36" s="837"/>
      <c r="L36" s="510"/>
      <c r="N36" s="837"/>
      <c r="O36" s="510"/>
    </row>
    <row r="37" spans="1:16" x14ac:dyDescent="0.4">
      <c r="A37" s="402" t="s">
        <v>1</v>
      </c>
      <c r="B37" s="294">
        <f>'EEC Calculation'!$B$106</f>
        <v>1358651965.2546864</v>
      </c>
      <c r="C37" s="295">
        <f>F14</f>
        <v>6.6197719734247661E-3</v>
      </c>
      <c r="D37" s="407">
        <f>C14</f>
        <v>7.9624132850054912E-3</v>
      </c>
      <c r="E37" s="296">
        <f t="shared" ref="E37:E44" si="10">D37/C37-1</f>
        <v>0.20282289434904865</v>
      </c>
      <c r="F37" s="404">
        <f t="shared" ref="F37:F38" si="11">$C37*(1+F$29)</f>
        <v>6.7267554322416783E-3</v>
      </c>
      <c r="G37" s="840">
        <f>F37/C37-1</f>
        <v>1.6161199999999987E-2</v>
      </c>
      <c r="H37" s="404">
        <f t="shared" ref="H37:H44" si="12">$C37*(1+H$29)</f>
        <v>6.9340224124634798E-3</v>
      </c>
      <c r="I37" s="840">
        <f t="shared" si="9"/>
        <v>4.747148999999995E-2</v>
      </c>
      <c r="K37" s="837">
        <f>'EEC Calculation'!B106</f>
        <v>1358651965.2546864</v>
      </c>
      <c r="L37" s="510">
        <f>F37*K37</f>
        <v>9139319.4878027942</v>
      </c>
      <c r="N37" s="837">
        <f>K37</f>
        <v>1358651965.2546864</v>
      </c>
      <c r="O37" s="510">
        <f>(C37*(1+O$27))*N37</f>
        <v>9420923.1778135486</v>
      </c>
    </row>
    <row r="38" spans="1:16" x14ac:dyDescent="0.4">
      <c r="A38" s="402" t="s">
        <v>2</v>
      </c>
      <c r="B38" s="294">
        <f>'EEC Calculation'!$B$109</f>
        <v>4069140.035446885</v>
      </c>
      <c r="C38" s="295">
        <f>F15</f>
        <v>1.13825</v>
      </c>
      <c r="D38" s="407">
        <f>C15</f>
        <v>1.5076281362878166</v>
      </c>
      <c r="E38" s="296">
        <f t="shared" si="10"/>
        <v>0.32451406658275128</v>
      </c>
      <c r="F38" s="404">
        <f t="shared" si="11"/>
        <v>1.1566454858999999</v>
      </c>
      <c r="G38" s="840">
        <f>F38/C38-1</f>
        <v>1.6161199999999987E-2</v>
      </c>
      <c r="H38" s="404">
        <f t="shared" si="12"/>
        <v>1.1922844234924999</v>
      </c>
      <c r="I38" s="840">
        <f t="shared" si="9"/>
        <v>4.747148999999995E-2</v>
      </c>
      <c r="K38" s="837">
        <f>'EEC Calculation'!B109</f>
        <v>4069140.035446885</v>
      </c>
      <c r="L38" s="510">
        <f>F38*K38</f>
        <v>4706552.4534946056</v>
      </c>
      <c r="N38" s="837">
        <f>K38</f>
        <v>4069140.035446885</v>
      </c>
      <c r="O38" s="510">
        <f>(C38*(1+O$27))*N38</f>
        <v>4851572.28127304</v>
      </c>
    </row>
    <row r="39" spans="1:16" x14ac:dyDescent="0.4">
      <c r="A39" s="298" t="s">
        <v>338</v>
      </c>
      <c r="B39" s="294"/>
      <c r="C39" s="295"/>
      <c r="D39" s="407"/>
      <c r="E39" s="296"/>
      <c r="F39" s="405"/>
      <c r="G39" s="841"/>
      <c r="H39" s="404"/>
      <c r="I39" s="840"/>
      <c r="K39" s="837"/>
      <c r="L39" s="510"/>
      <c r="N39" s="837"/>
      <c r="O39" s="510"/>
    </row>
    <row r="40" spans="1:16" x14ac:dyDescent="0.4">
      <c r="A40" s="402" t="s">
        <v>1</v>
      </c>
      <c r="B40" s="294">
        <f>'EEC Calculation'!$B$123</f>
        <v>700597466.8927716</v>
      </c>
      <c r="C40" s="295">
        <f>F17</f>
        <v>5.2086163716222877E-3</v>
      </c>
      <c r="D40" s="407">
        <f>C17</f>
        <v>4.7700572571896553E-3</v>
      </c>
      <c r="E40" s="296">
        <f t="shared" si="10"/>
        <v>-8.4198774327478021E-2</v>
      </c>
      <c r="F40" s="404">
        <f t="shared" ref="F40:F41" si="13">$C40*(1+F$29)</f>
        <v>5.2927938625273495E-3</v>
      </c>
      <c r="G40" s="840">
        <f>F40/C40-1</f>
        <v>1.6161199999999987E-2</v>
      </c>
      <c r="H40" s="404">
        <f t="shared" si="12"/>
        <v>5.4558771516215916E-3</v>
      </c>
      <c r="I40" s="840">
        <f t="shared" si="9"/>
        <v>4.747148999999995E-2</v>
      </c>
      <c r="K40" s="837">
        <f>'EEC Calculation'!B123</f>
        <v>700597466.8927716</v>
      </c>
      <c r="L40" s="510">
        <f>F40*K40</f>
        <v>3708117.9728722693</v>
      </c>
      <c r="N40" s="837">
        <f>K40</f>
        <v>700597466.8927716</v>
      </c>
      <c r="O40" s="510">
        <f>(C40*(1+O$27))*N40</f>
        <v>3822373.7121042372</v>
      </c>
    </row>
    <row r="41" spans="1:16" x14ac:dyDescent="0.4">
      <c r="A41" s="402" t="s">
        <v>2</v>
      </c>
      <c r="B41" s="294">
        <f>'EEC Calculation'!$B$126</f>
        <v>1526885.5499130297</v>
      </c>
      <c r="C41" s="295">
        <f>F18</f>
        <v>1.21316</v>
      </c>
      <c r="D41" s="407">
        <f>C18</f>
        <v>1.066908945377024</v>
      </c>
      <c r="E41" s="296">
        <f t="shared" si="10"/>
        <v>-0.12055380545268224</v>
      </c>
      <c r="F41" s="404">
        <f t="shared" si="13"/>
        <v>1.232766121392</v>
      </c>
      <c r="G41" s="840">
        <f>F41/C41-1</f>
        <v>1.6161199999999987E-2</v>
      </c>
      <c r="H41" s="404">
        <f t="shared" si="12"/>
        <v>1.2707505128084</v>
      </c>
      <c r="I41" s="840">
        <f t="shared" si="9"/>
        <v>4.747148999999995E-2</v>
      </c>
      <c r="K41" s="837">
        <f>'EEC Calculation'!B126</f>
        <v>1526885.5499130297</v>
      </c>
      <c r="L41" s="510">
        <f>F41*K41</f>
        <v>1882292.7771757767</v>
      </c>
      <c r="N41" s="837">
        <f>K41</f>
        <v>1526885.5499130297</v>
      </c>
      <c r="O41" s="510">
        <f>(C41*(1+O$27))*N41</f>
        <v>1940290.5955517183</v>
      </c>
    </row>
    <row r="42" spans="1:16" x14ac:dyDescent="0.4">
      <c r="A42" s="290"/>
      <c r="B42" s="294"/>
      <c r="C42" s="295"/>
      <c r="D42" s="290"/>
      <c r="E42" s="296"/>
      <c r="F42" s="405"/>
      <c r="G42" s="841"/>
      <c r="H42" s="404"/>
      <c r="I42" s="840"/>
      <c r="K42" s="837"/>
      <c r="L42" s="510"/>
      <c r="N42" s="837"/>
      <c r="O42" s="510"/>
    </row>
    <row r="43" spans="1:16" x14ac:dyDescent="0.4">
      <c r="A43" s="287" t="s">
        <v>345</v>
      </c>
      <c r="B43" s="294"/>
      <c r="C43" s="295"/>
      <c r="D43" s="290"/>
      <c r="E43" s="296"/>
      <c r="F43" s="405"/>
      <c r="G43" s="841"/>
      <c r="H43" s="404"/>
      <c r="I43" s="840"/>
      <c r="K43" s="837"/>
      <c r="L43" s="510"/>
      <c r="N43" s="837"/>
      <c r="O43" s="510"/>
    </row>
    <row r="44" spans="1:16" x14ac:dyDescent="0.4">
      <c r="A44" s="290"/>
      <c r="B44" s="294">
        <f>'EEC Calculation'!$C$72</f>
        <v>13126578.48</v>
      </c>
      <c r="C44" s="295">
        <f>F20</f>
        <v>1.0236807822923627E-2</v>
      </c>
      <c r="D44" s="407">
        <f>C20</f>
        <v>1.2477734474553056E-2</v>
      </c>
      <c r="E44" s="296">
        <f t="shared" si="10"/>
        <v>0.21890873506594954</v>
      </c>
      <c r="F44" s="404">
        <f>$C44*(1+F$29)</f>
        <v>1.0402246921511461E-2</v>
      </c>
      <c r="G44" s="840">
        <f>F44/C44-1</f>
        <v>1.6161199999999987E-2</v>
      </c>
      <c r="H44" s="404">
        <f t="shared" si="12"/>
        <v>1.0722764343121468E-2</v>
      </c>
      <c r="I44" s="840">
        <f t="shared" si="9"/>
        <v>4.747148999999995E-2</v>
      </c>
      <c r="K44" s="837">
        <f>'EEC Calculation'!C72</f>
        <v>13126578.48</v>
      </c>
      <c r="L44" s="510">
        <f>F44*K44</f>
        <v>136545.91058355861</v>
      </c>
      <c r="N44" s="837">
        <f>K44</f>
        <v>13126578.48</v>
      </c>
      <c r="O44" s="510">
        <f>(C44*(1+O$27))*N44</f>
        <v>140753.20767252959</v>
      </c>
    </row>
    <row r="45" spans="1:16" x14ac:dyDescent="0.4">
      <c r="A45" s="299"/>
      <c r="B45" s="300"/>
      <c r="C45" s="301"/>
      <c r="D45" s="406"/>
      <c r="E45" s="302"/>
      <c r="F45" s="406"/>
      <c r="G45" s="302"/>
      <c r="H45" s="406"/>
      <c r="I45" s="302"/>
      <c r="K45" s="837"/>
      <c r="L45" s="510"/>
      <c r="N45" s="837"/>
      <c r="O45" s="510"/>
    </row>
    <row r="46" spans="1:16" x14ac:dyDescent="0.4">
      <c r="A46" s="291"/>
      <c r="B46" s="291"/>
      <c r="C46" s="291"/>
      <c r="D46" s="291"/>
      <c r="E46" s="291"/>
      <c r="F46" s="291"/>
      <c r="G46" s="291"/>
      <c r="H46" s="452"/>
      <c r="K46" s="424" t="s">
        <v>606</v>
      </c>
      <c r="L46" s="931">
        <f>SUM(L31:L44)</f>
        <v>47158169.390967481</v>
      </c>
      <c r="M46" s="424"/>
      <c r="N46" s="424" t="s">
        <v>606</v>
      </c>
      <c r="O46" s="931">
        <f>SUM(O31:O44)</f>
        <v>48611222.272242926</v>
      </c>
    </row>
    <row r="47" spans="1:16" x14ac:dyDescent="0.4">
      <c r="H47" s="454"/>
      <c r="K47" s="417" t="s">
        <v>654</v>
      </c>
      <c r="L47" s="932">
        <f>'EEC Calculation'!B41</f>
        <v>47158169.147293821</v>
      </c>
      <c r="M47" s="424"/>
      <c r="N47" s="417" t="s">
        <v>654</v>
      </c>
      <c r="O47" s="932">
        <f>L47-'2021 Rate Factors'!B21</f>
        <v>48611222.147293821</v>
      </c>
      <c r="P47" s="510">
        <f>O47-L47</f>
        <v>1453053</v>
      </c>
    </row>
    <row r="48" spans="1:16" x14ac:dyDescent="0.4">
      <c r="H48" s="452"/>
      <c r="K48" s="424" t="s">
        <v>330</v>
      </c>
      <c r="L48" s="931">
        <f>L46-L47</f>
        <v>0.2436736598610878</v>
      </c>
      <c r="M48" s="424"/>
      <c r="N48" s="424" t="s">
        <v>330</v>
      </c>
      <c r="O48" s="931">
        <f>O46-O47</f>
        <v>0.12494910508394241</v>
      </c>
    </row>
  </sheetData>
  <mergeCells count="13">
    <mergeCell ref="C4:D4"/>
    <mergeCell ref="F4:G4"/>
    <mergeCell ref="F5:G5"/>
    <mergeCell ref="F25:G25"/>
    <mergeCell ref="H25:I25"/>
    <mergeCell ref="P6:R6"/>
    <mergeCell ref="D26:E26"/>
    <mergeCell ref="F26:G26"/>
    <mergeCell ref="C5:D5"/>
    <mergeCell ref="H26:I26"/>
    <mergeCell ref="J5:O5"/>
    <mergeCell ref="N6:O6"/>
    <mergeCell ref="L6:M6"/>
  </mergeCells>
  <phoneticPr fontId="0" type="noConversion"/>
  <conditionalFormatting sqref="G8">
    <cfRule type="cellIs" dxfId="4" priority="5" operator="greaterThan">
      <formula>0</formula>
    </cfRule>
  </conditionalFormatting>
  <conditionalFormatting sqref="G9:G10">
    <cfRule type="cellIs" dxfId="3" priority="4" operator="greaterThan">
      <formula>0</formula>
    </cfRule>
  </conditionalFormatting>
  <conditionalFormatting sqref="G14:G15">
    <cfRule type="cellIs" dxfId="2" priority="3" operator="greaterThan">
      <formula>0</formula>
    </cfRule>
  </conditionalFormatting>
  <conditionalFormatting sqref="G17:G18">
    <cfRule type="cellIs" dxfId="1" priority="2" operator="greaterThan">
      <formula>0</formula>
    </cfRule>
  </conditionalFormatting>
  <conditionalFormatting sqref="G20">
    <cfRule type="cellIs" dxfId="0" priority="1" operator="greaterThan">
      <formula>0</formula>
    </cfRule>
  </conditionalFormatting>
  <printOptions horizontalCentered="1"/>
  <pageMargins left="0.7" right="0.7" top="0.75" bottom="0.75" header="0.3" footer="0.3"/>
  <pageSetup scale="69" orientation="portrait" r:id="rId1"/>
  <headerFooter alignWithMargins="0">
    <oddFooter xml:space="preserve">&amp;L&amp;F&amp;R&amp;D    </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5:L55"/>
  <sheetViews>
    <sheetView topLeftCell="A10" zoomScale="120" zoomScaleNormal="120" workbookViewId="0">
      <selection activeCell="B30" sqref="B30"/>
    </sheetView>
  </sheetViews>
  <sheetFormatPr defaultColWidth="9.1328125" defaultRowHeight="15.4" x14ac:dyDescent="0.45"/>
  <cols>
    <col min="1" max="1" width="55.86328125" style="491" customWidth="1"/>
    <col min="2" max="2" width="14.73046875" style="491" customWidth="1"/>
    <col min="3" max="3" width="19.1328125" style="491" customWidth="1"/>
    <col min="4" max="4" width="11.265625" style="491" bestFit="1" customWidth="1"/>
    <col min="5" max="6" width="9.1328125" style="491"/>
    <col min="7" max="7" width="12.3984375" style="491" bestFit="1" customWidth="1"/>
    <col min="8" max="8" width="24.265625" style="491" customWidth="1"/>
    <col min="9" max="9" width="12.73046875" style="491" bestFit="1" customWidth="1"/>
    <col min="10" max="10" width="14.59765625" style="491" bestFit="1" customWidth="1"/>
    <col min="11" max="16384" width="9.1328125" style="491"/>
  </cols>
  <sheetData>
    <row r="5" spans="1:10" x14ac:dyDescent="0.45">
      <c r="A5" s="499" t="s">
        <v>364</v>
      </c>
      <c r="B5" s="496">
        <f>'EEC Calculation'!B9</f>
        <v>46762300.89165359</v>
      </c>
    </row>
    <row r="6" spans="1:10" x14ac:dyDescent="0.45">
      <c r="A6" s="499"/>
      <c r="B6" s="492"/>
    </row>
    <row r="7" spans="1:10" x14ac:dyDescent="0.45">
      <c r="A7" s="493" t="s">
        <v>365</v>
      </c>
      <c r="B7" s="492"/>
      <c r="I7" s="680"/>
      <c r="J7" s="680"/>
    </row>
    <row r="8" spans="1:10" x14ac:dyDescent="0.45">
      <c r="A8" s="494" t="s">
        <v>433</v>
      </c>
      <c r="B8" s="492">
        <f>+'EEC Calculation'!B16</f>
        <v>9974.5399999999936</v>
      </c>
      <c r="C8" s="503"/>
      <c r="D8" s="503"/>
      <c r="E8" s="503"/>
      <c r="F8" s="503"/>
      <c r="G8" s="503"/>
      <c r="H8" s="503"/>
      <c r="I8" s="681"/>
      <c r="J8" s="681"/>
    </row>
    <row r="9" spans="1:10" x14ac:dyDescent="0.45">
      <c r="A9" s="494" t="s">
        <v>434</v>
      </c>
      <c r="B9" s="492">
        <f>'EEC Calculation'!B17</f>
        <v>162453.81284918424</v>
      </c>
      <c r="C9" s="503"/>
      <c r="D9" s="503"/>
      <c r="E9" s="503"/>
      <c r="F9" s="503"/>
      <c r="G9" s="503"/>
      <c r="H9" s="503"/>
      <c r="I9" s="492"/>
      <c r="J9" s="492"/>
    </row>
    <row r="10" spans="1:10" x14ac:dyDescent="0.45">
      <c r="A10" s="494" t="s">
        <v>436</v>
      </c>
      <c r="B10" s="501">
        <f>'EEC Calculation'!B25</f>
        <v>1198025.9552436443</v>
      </c>
      <c r="C10" s="503"/>
      <c r="D10" s="842"/>
      <c r="E10" s="842"/>
      <c r="F10" s="503"/>
      <c r="G10" s="503"/>
      <c r="H10" s="503"/>
      <c r="I10" s="492"/>
      <c r="J10" s="492"/>
    </row>
    <row r="11" spans="1:10" x14ac:dyDescent="0.45">
      <c r="A11" s="494" t="s">
        <v>437</v>
      </c>
      <c r="B11" s="501">
        <f>-'EEC Collection True-Up'!L33</f>
        <v>1504115.8678390987</v>
      </c>
      <c r="C11" s="843"/>
      <c r="D11" s="844"/>
      <c r="E11" s="844"/>
      <c r="F11" s="503"/>
      <c r="G11" s="503"/>
      <c r="H11" s="503"/>
      <c r="I11" s="492"/>
      <c r="J11" s="492"/>
    </row>
    <row r="12" spans="1:10" x14ac:dyDescent="0.45">
      <c r="A12" s="502" t="s">
        <v>659</v>
      </c>
      <c r="B12" s="500">
        <f>B26</f>
        <v>-2957168.8678390989</v>
      </c>
      <c r="C12" s="843"/>
      <c r="D12" s="844"/>
      <c r="E12" s="844"/>
      <c r="F12" s="503"/>
      <c r="G12" s="503"/>
      <c r="H12" s="503"/>
      <c r="I12" s="492"/>
      <c r="J12" s="492"/>
    </row>
    <row r="13" spans="1:10" x14ac:dyDescent="0.45">
      <c r="A13" s="497" t="s">
        <v>359</v>
      </c>
      <c r="B13" s="496">
        <f>SUM(B8:B12)</f>
        <v>-82598.691907171626</v>
      </c>
      <c r="C13" s="503"/>
      <c r="D13" s="503"/>
      <c r="E13" s="503"/>
      <c r="F13" s="503"/>
      <c r="G13" s="503"/>
      <c r="H13" s="503"/>
      <c r="I13" s="492"/>
      <c r="J13" s="492"/>
    </row>
    <row r="14" spans="1:10" x14ac:dyDescent="0.45">
      <c r="B14" s="492"/>
      <c r="C14" s="503"/>
      <c r="D14" s="503"/>
      <c r="E14" s="503"/>
      <c r="F14" s="503"/>
      <c r="G14" s="503"/>
      <c r="H14" s="503"/>
      <c r="I14" s="492"/>
      <c r="J14" s="492"/>
    </row>
    <row r="15" spans="1:10" x14ac:dyDescent="0.45">
      <c r="A15" s="491" t="s">
        <v>439</v>
      </c>
      <c r="B15" s="492">
        <f>B13+B5</f>
        <v>46679702.199746415</v>
      </c>
      <c r="C15" s="845"/>
      <c r="D15" s="503"/>
      <c r="E15" s="503"/>
      <c r="F15" s="503"/>
      <c r="G15" s="503"/>
      <c r="H15" s="503"/>
      <c r="I15" s="492"/>
      <c r="J15" s="492"/>
    </row>
    <row r="16" spans="1:10" x14ac:dyDescent="0.45">
      <c r="A16" s="506" t="s">
        <v>435</v>
      </c>
      <c r="B16" s="495">
        <f>B15*0.01025</f>
        <v>478466.94754740078</v>
      </c>
      <c r="D16" s="504"/>
      <c r="E16" s="503"/>
      <c r="F16" s="503"/>
      <c r="G16" s="503"/>
      <c r="H16" s="503"/>
    </row>
    <row r="17" spans="1:12" x14ac:dyDescent="0.45">
      <c r="A17" s="497" t="s">
        <v>438</v>
      </c>
      <c r="B17" s="496">
        <f>SUM(B15:B16)</f>
        <v>47158169.147293814</v>
      </c>
      <c r="C17" s="503"/>
      <c r="D17" s="503"/>
      <c r="E17" s="503"/>
      <c r="F17" s="503"/>
      <c r="G17" s="503"/>
      <c r="H17" s="503"/>
      <c r="L17" s="615"/>
    </row>
    <row r="18" spans="1:12" x14ac:dyDescent="0.45">
      <c r="A18" s="497"/>
      <c r="B18" s="496"/>
      <c r="C18" s="504"/>
      <c r="D18" s="503"/>
      <c r="E18" s="503"/>
      <c r="F18" s="503"/>
      <c r="G18" s="503"/>
      <c r="H18" s="503"/>
      <c r="L18" s="615"/>
    </row>
    <row r="19" spans="1:12" x14ac:dyDescent="0.45">
      <c r="A19" s="497"/>
      <c r="F19" s="503"/>
      <c r="G19" s="503"/>
      <c r="H19" s="503"/>
      <c r="L19" s="615"/>
    </row>
    <row r="20" spans="1:12" x14ac:dyDescent="0.45">
      <c r="A20" s="505" t="s">
        <v>660</v>
      </c>
      <c r="B20" s="851"/>
      <c r="C20" s="851"/>
      <c r="D20" s="851"/>
      <c r="E20" s="851"/>
      <c r="F20" s="852"/>
      <c r="L20" s="615"/>
    </row>
    <row r="21" spans="1:12" x14ac:dyDescent="0.45">
      <c r="A21" s="853" t="s">
        <v>362</v>
      </c>
      <c r="B21" s="854">
        <f>IF(B29=1,-1903053+450000,0)</f>
        <v>-1453053</v>
      </c>
      <c r="C21" s="855" t="s">
        <v>656</v>
      </c>
      <c r="D21" s="855"/>
      <c r="E21" s="855"/>
      <c r="F21" s="856"/>
      <c r="L21" s="615"/>
    </row>
    <row r="22" spans="1:12" x14ac:dyDescent="0.45">
      <c r="A22" s="853" t="s">
        <v>681</v>
      </c>
      <c r="B22" s="854">
        <f>'EEC Collection True-Up'!K33</f>
        <v>-7143.159097880125</v>
      </c>
      <c r="C22" s="855"/>
      <c r="D22" s="855"/>
      <c r="E22" s="854"/>
      <c r="F22" s="856"/>
      <c r="L22" s="615"/>
    </row>
    <row r="23" spans="1:12" x14ac:dyDescent="0.45">
      <c r="A23" s="853" t="s">
        <v>410</v>
      </c>
      <c r="B23" s="854">
        <f>IF(B30=1,'EEC Collection True-Up'!J33/1.045,0)</f>
        <v>-1432509.7691303529</v>
      </c>
      <c r="C23" s="855"/>
      <c r="D23" s="855"/>
      <c r="E23" s="855"/>
      <c r="F23" s="856"/>
      <c r="I23" s="562"/>
      <c r="K23" s="494"/>
      <c r="L23" s="562"/>
    </row>
    <row r="24" spans="1:12" x14ac:dyDescent="0.45">
      <c r="A24" s="853" t="s">
        <v>417</v>
      </c>
      <c r="B24" s="854">
        <f>0.0135*B23</f>
        <v>-19338.881883259764</v>
      </c>
      <c r="C24" s="855"/>
      <c r="D24" s="855"/>
      <c r="E24" s="855"/>
      <c r="F24" s="856"/>
    </row>
    <row r="25" spans="1:12" x14ac:dyDescent="0.45">
      <c r="A25" s="933" t="s">
        <v>657</v>
      </c>
      <c r="B25" s="934">
        <f>B23*0.0315</f>
        <v>-45124.057727606116</v>
      </c>
      <c r="C25" s="855"/>
      <c r="D25" s="855"/>
      <c r="E25" s="855"/>
      <c r="F25" s="856"/>
    </row>
    <row r="26" spans="1:12" x14ac:dyDescent="0.45">
      <c r="A26" s="857" t="s">
        <v>440</v>
      </c>
      <c r="B26" s="858">
        <f>SUM(B21:B25)</f>
        <v>-2957168.8678390989</v>
      </c>
      <c r="C26" s="855"/>
      <c r="D26" s="855"/>
      <c r="E26" s="855"/>
      <c r="F26" s="856"/>
    </row>
    <row r="27" spans="1:12" x14ac:dyDescent="0.45">
      <c r="A27" s="859"/>
      <c r="B27" s="860"/>
      <c r="C27" s="861"/>
      <c r="D27" s="861"/>
      <c r="E27" s="861"/>
      <c r="F27" s="862"/>
    </row>
    <row r="28" spans="1:12" x14ac:dyDescent="0.45">
      <c r="B28" s="492"/>
    </row>
    <row r="29" spans="1:12" x14ac:dyDescent="0.45">
      <c r="A29" s="843" t="s">
        <v>684</v>
      </c>
      <c r="B29" s="975">
        <v>1</v>
      </c>
      <c r="C29" s="503" t="s">
        <v>683</v>
      </c>
    </row>
    <row r="30" spans="1:12" x14ac:dyDescent="0.45">
      <c r="A30" s="976" t="s">
        <v>685</v>
      </c>
      <c r="B30" s="975">
        <v>1</v>
      </c>
      <c r="C30" s="503" t="s">
        <v>686</v>
      </c>
    </row>
    <row r="31" spans="1:12" x14ac:dyDescent="0.45">
      <c r="B31" s="492"/>
    </row>
    <row r="32" spans="1:12" x14ac:dyDescent="0.45">
      <c r="B32" s="492"/>
    </row>
    <row r="33" spans="2:2" x14ac:dyDescent="0.45">
      <c r="B33" s="492"/>
    </row>
    <row r="34" spans="2:2" x14ac:dyDescent="0.45">
      <c r="B34" s="492"/>
    </row>
    <row r="35" spans="2:2" x14ac:dyDescent="0.45">
      <c r="B35" s="492"/>
    </row>
    <row r="36" spans="2:2" x14ac:dyDescent="0.45">
      <c r="B36" s="492"/>
    </row>
    <row r="37" spans="2:2" x14ac:dyDescent="0.45">
      <c r="B37" s="492"/>
    </row>
    <row r="38" spans="2:2" x14ac:dyDescent="0.45">
      <c r="B38" s="492"/>
    </row>
    <row r="39" spans="2:2" x14ac:dyDescent="0.45">
      <c r="B39" s="492"/>
    </row>
    <row r="40" spans="2:2" x14ac:dyDescent="0.45">
      <c r="B40" s="492"/>
    </row>
    <row r="41" spans="2:2" x14ac:dyDescent="0.45">
      <c r="B41" s="492"/>
    </row>
    <row r="42" spans="2:2" x14ac:dyDescent="0.45">
      <c r="B42" s="492"/>
    </row>
    <row r="43" spans="2:2" x14ac:dyDescent="0.45">
      <c r="B43" s="492"/>
    </row>
    <row r="44" spans="2:2" x14ac:dyDescent="0.45">
      <c r="B44" s="492"/>
    </row>
    <row r="45" spans="2:2" x14ac:dyDescent="0.45">
      <c r="B45" s="492"/>
    </row>
    <row r="46" spans="2:2" x14ac:dyDescent="0.45">
      <c r="B46" s="492"/>
    </row>
    <row r="47" spans="2:2" x14ac:dyDescent="0.45">
      <c r="B47" s="492"/>
    </row>
    <row r="48" spans="2:2" x14ac:dyDescent="0.45">
      <c r="B48" s="492"/>
    </row>
    <row r="49" spans="2:2" x14ac:dyDescent="0.45">
      <c r="B49" s="492"/>
    </row>
    <row r="50" spans="2:2" x14ac:dyDescent="0.45">
      <c r="B50" s="492"/>
    </row>
    <row r="51" spans="2:2" x14ac:dyDescent="0.45">
      <c r="B51" s="492"/>
    </row>
    <row r="52" spans="2:2" x14ac:dyDescent="0.45">
      <c r="B52" s="492"/>
    </row>
    <row r="53" spans="2:2" x14ac:dyDescent="0.45">
      <c r="B53" s="492"/>
    </row>
    <row r="54" spans="2:2" x14ac:dyDescent="0.45">
      <c r="B54" s="492"/>
    </row>
    <row r="55" spans="2:2" x14ac:dyDescent="0.45">
      <c r="B55" s="492"/>
    </row>
  </sheetData>
  <pageMargins left="0.7" right="0.7" top="0.75" bottom="0.75" header="0.3" footer="0.3"/>
  <pageSetup orientation="portrait" horizontalDpi="0"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70F697875E57E4D8C03C69FF087712B" ma:contentTypeVersion="6" ma:contentTypeDescription="Create a new document." ma:contentTypeScope="" ma:versionID="3ea8776c389d776896503e987c2b4f5e">
  <xsd:schema xmlns:xsd="http://www.w3.org/2001/XMLSchema" xmlns:xs="http://www.w3.org/2001/XMLSchema" xmlns:p="http://schemas.microsoft.com/office/2006/metadata/properties" xmlns:ns2="dd0a94a7-a4a3-444b-9e76-7a1ca6467016" xmlns:ns3="954a93ea-2f19-43e2-b48e-f560567cc747" targetNamespace="http://schemas.microsoft.com/office/2006/metadata/properties" ma:root="true" ma:fieldsID="ed318eb1b60ff4f9e5f441122d138829" ns2:_="" ns3:_="">
    <xsd:import namespace="dd0a94a7-a4a3-444b-9e76-7a1ca6467016"/>
    <xsd:import namespace="954a93ea-2f19-43e2-b48e-f560567cc7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a94a7-a4a3-444b-9e76-7a1ca64670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4a93ea-2f19-43e2-b48e-f560567cc74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1A7176-F25E-4ED0-A6C5-0556A19786AC}">
  <ds:schemaRefs>
    <ds:schemaRef ds:uri="http://purl.org/dc/terms/"/>
    <ds:schemaRef ds:uri="http://purl.org/dc/dcmitype/"/>
    <ds:schemaRef ds:uri="954a93ea-2f19-43e2-b48e-f560567cc747"/>
    <ds:schemaRef ds:uri="http://schemas.microsoft.com/office/2006/metadata/properties"/>
    <ds:schemaRef ds:uri="http://schemas.microsoft.com/office/2006/documentManagement/types"/>
    <ds:schemaRef ds:uri="http://schemas.microsoft.com/office/infopath/2007/PartnerControls"/>
    <ds:schemaRef ds:uri="dd0a94a7-a4a3-444b-9e76-7a1ca6467016"/>
    <ds:schemaRef ds:uri="http://purl.org/dc/elements/1.1/"/>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8143E531-CC9C-490C-B168-CAE137C245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a94a7-a4a3-444b-9e76-7a1ca6467016"/>
    <ds:schemaRef ds:uri="954a93ea-2f19-43e2-b48e-f560567cc7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36C9BC-3112-4CFE-9F54-F645210995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vt:i4>
      </vt:variant>
    </vt:vector>
  </HeadingPairs>
  <TitlesOfParts>
    <vt:vector size="17" baseType="lpstr">
      <vt:lpstr>2019 FA Data</vt:lpstr>
      <vt:lpstr>2019 Detailed True-up</vt:lpstr>
      <vt:lpstr>Sheet1</vt:lpstr>
      <vt:lpstr>Gross Consumption</vt:lpstr>
      <vt:lpstr>2018-2020 C&amp;I Comp</vt:lpstr>
      <vt:lpstr>2018-2019 Comp</vt:lpstr>
      <vt:lpstr>Util Rev and Load Data</vt:lpstr>
      <vt:lpstr>EEC Uncollectibles</vt:lpstr>
      <vt:lpstr>Net Meter Est</vt:lpstr>
      <vt:lpstr>EEC Collection True-Up</vt:lpstr>
      <vt:lpstr>2020 Collection Forecast</vt:lpstr>
      <vt:lpstr>EEC Calculation</vt:lpstr>
      <vt:lpstr>EEC Rates Report</vt:lpstr>
      <vt:lpstr>2021 Rate Factors</vt:lpstr>
      <vt:lpstr>'EEC Calculation'!Print_Area</vt:lpstr>
      <vt:lpstr>'EEC Rates Report'!Print_Area</vt:lpstr>
      <vt:lpstr>'Util Rev and Load Data'!Print_Area</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David Westman</cp:lastModifiedBy>
  <cp:lastPrinted>2019-09-09T14:21:09Z</cp:lastPrinted>
  <dcterms:created xsi:type="dcterms:W3CDTF">2003-10-13T18:25:46Z</dcterms:created>
  <dcterms:modified xsi:type="dcterms:W3CDTF">2020-09-04T19:05:38Z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0x010100C70F697875E57E4D8C03C69FF087712B</vt:lpwstr>
  </property>
</Properties>
</file>