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N:\PSB - Dockets\2020 Cases\20-2022-INV\"/>
    </mc:Choice>
  </mc:AlternateContent>
  <xr:revisionPtr revIDLastSave="0" documentId="8_{C29837B0-4685-49B7-8E52-21EAFCF61ED5}" xr6:coauthVersionLast="45" xr6:coauthVersionMax="45" xr10:uidLastSave="{00000000-0000-0000-0000-000000000000}"/>
  <bookViews>
    <workbookView xWindow="-120" yWindow="-120" windowWidth="20730" windowHeight="1116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W34" i="1" l="1"/>
  <c r="K34" i="1"/>
  <c r="F34" i="1"/>
  <c r="B34" i="1"/>
  <c r="AE37" i="1" l="1"/>
  <c r="AD37" i="1"/>
  <c r="R37" i="1"/>
  <c r="I37" i="1"/>
  <c r="E37" i="1"/>
  <c r="AE21" i="1"/>
  <c r="AD21" i="1"/>
  <c r="R21" i="1"/>
  <c r="I21" i="1"/>
  <c r="E21" i="1"/>
  <c r="I33" i="2"/>
  <c r="I30" i="2"/>
  <c r="I27" i="2"/>
  <c r="I12" i="2"/>
  <c r="I9" i="2"/>
  <c r="I6" i="2"/>
  <c r="AA29" i="1" l="1"/>
  <c r="Z29" i="1"/>
  <c r="Y29" i="1"/>
  <c r="W29" i="1"/>
  <c r="AA14" i="1"/>
  <c r="Z14" i="1"/>
  <c r="Y14" i="1"/>
  <c r="X14"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AF21" i="1" s="1"/>
  <c r="K14" i="2"/>
  <c r="K18" i="2" s="1"/>
  <c r="G14" i="2"/>
  <c r="G18" i="2" s="1"/>
  <c r="E14" i="2"/>
  <c r="C14" i="2"/>
  <c r="C18" i="2" s="1"/>
  <c r="I14" i="2"/>
  <c r="M3" i="2"/>
  <c r="AF37" i="1" s="1"/>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00000000-0006-0000-0000-000001000000}">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0000000-0006-0000-0000-000002000000}">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00000000-0006-0000-0000-000003000000}">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00000000-0006-0000-0000-000004000000}">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00000000-0006-0000-0000-000005000000}">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00000000-0006-0000-0000-000006000000}">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<sst xmlns="http://schemas.openxmlformats.org/spreadsheetml/2006/main" count="385" uniqueCount="104">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</sst>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sz val="10"/>
      <name val="Arial"/>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6">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22" fillId="0" borderId="0" xfId="1" applyNumberFormat="1" applyFont="1"/>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E12" activePane="bottomRight" state="frozen"/>
      <selection pane="topRight" activeCell="B1" sqref="B1"/>
      <selection pane="bottomLeft" activeCell="A14" sqref="A14"/>
      <selection pane="bottomRight" activeCell="A4" sqref="A4"/>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2" t="s">
        <v>62</v>
      </c>
      <c r="F5" s="393"/>
      <c r="G5" s="393"/>
      <c r="H5" s="393"/>
      <c r="I5" s="393"/>
      <c r="J5" s="394"/>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2" t="s">
        <v>94</v>
      </c>
      <c r="E6" s="352"/>
      <c r="F6" s="352"/>
      <c r="G6" s="352"/>
      <c r="H6" s="352"/>
      <c r="I6" s="352"/>
      <c r="J6" s="352"/>
      <c r="K6" s="352"/>
      <c r="L6" s="352"/>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77" t="s">
        <v>3</v>
      </c>
      <c r="C8" s="378"/>
      <c r="D8" s="378"/>
      <c r="E8" s="379"/>
      <c r="F8" s="385" t="s">
        <v>70</v>
      </c>
      <c r="G8" s="386"/>
      <c r="H8" s="386"/>
      <c r="I8" s="386"/>
      <c r="J8" s="386"/>
      <c r="K8" s="386"/>
      <c r="L8" s="386"/>
      <c r="M8" s="386"/>
      <c r="N8" s="386"/>
      <c r="O8" s="386"/>
      <c r="P8" s="386"/>
      <c r="Q8" s="386"/>
      <c r="R8" s="387"/>
      <c r="S8" s="368" t="s">
        <v>9</v>
      </c>
      <c r="T8" s="369"/>
      <c r="U8" s="369"/>
      <c r="V8" s="369"/>
      <c r="W8" s="369"/>
      <c r="X8" s="369"/>
      <c r="Y8" s="369"/>
      <c r="Z8" s="369"/>
      <c r="AA8" s="369"/>
      <c r="AB8" s="369"/>
      <c r="AC8" s="369"/>
      <c r="AD8" s="370"/>
      <c r="AE8" s="18"/>
    </row>
    <row r="9" spans="1:35" s="213" customFormat="1" ht="19.5" customHeight="1" thickBot="1" x14ac:dyDescent="0.25">
      <c r="A9" s="314" t="s">
        <v>74</v>
      </c>
      <c r="B9" s="207"/>
      <c r="C9" s="208"/>
      <c r="D9" s="209"/>
      <c r="E9" s="210"/>
      <c r="F9" s="380" t="s">
        <v>13</v>
      </c>
      <c r="G9" s="380"/>
      <c r="H9" s="380"/>
      <c r="I9" s="380"/>
      <c r="J9" s="381"/>
      <c r="K9" s="382" t="s">
        <v>8</v>
      </c>
      <c r="L9" s="383"/>
      <c r="M9" s="383"/>
      <c r="N9" s="383"/>
      <c r="O9" s="383"/>
      <c r="P9" s="383"/>
      <c r="Q9" s="384"/>
      <c r="R9" s="139"/>
      <c r="S9" s="415" t="s">
        <v>42</v>
      </c>
      <c r="T9" s="380"/>
      <c r="U9" s="380"/>
      <c r="V9" s="381"/>
      <c r="W9" s="382" t="s">
        <v>8</v>
      </c>
      <c r="X9" s="383"/>
      <c r="Y9" s="383"/>
      <c r="Z9" s="383"/>
      <c r="AA9" s="383"/>
      <c r="AB9" s="383"/>
      <c r="AC9" s="384"/>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71" t="s">
        <v>22</v>
      </c>
      <c r="O10" s="372"/>
      <c r="P10" s="373"/>
      <c r="Q10" s="25" t="s">
        <v>7</v>
      </c>
      <c r="R10" s="47" t="s">
        <v>17</v>
      </c>
      <c r="S10" s="48" t="s">
        <v>66</v>
      </c>
      <c r="T10" s="215" t="s">
        <v>18</v>
      </c>
      <c r="U10" s="141" t="s">
        <v>19</v>
      </c>
      <c r="V10" s="33" t="s">
        <v>7</v>
      </c>
      <c r="W10" s="48" t="s">
        <v>66</v>
      </c>
      <c r="X10" s="215" t="s">
        <v>18</v>
      </c>
      <c r="Y10" s="141"/>
      <c r="Z10" s="374" t="s">
        <v>22</v>
      </c>
      <c r="AA10" s="375"/>
      <c r="AB10" s="376"/>
      <c r="AC10" s="137" t="s">
        <v>7</v>
      </c>
      <c r="AD10" s="36" t="s">
        <v>7</v>
      </c>
      <c r="AE10" s="127" t="s">
        <v>10</v>
      </c>
      <c r="AF10" s="403" t="s">
        <v>68</v>
      </c>
      <c r="AG10" s="404"/>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405"/>
      <c r="AG11" s="406"/>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11"/>
      <c r="AG12" s="412"/>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3"/>
      <c r="AG13" s="414"/>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f>59082+4923</f>
        <v>64005</v>
      </c>
      <c r="Y14" s="241">
        <f>31728362+10859316</f>
        <v>42587678</v>
      </c>
      <c r="Z14" s="242">
        <f>2739537+3669254</f>
        <v>6408791</v>
      </c>
      <c r="AA14" s="241">
        <f>1771424+1052532</f>
        <v>2823956</v>
      </c>
      <c r="AB14" s="118">
        <f>Z14+AA14</f>
        <v>9232747</v>
      </c>
      <c r="AC14" s="34">
        <f>X14+Y14+AB14</f>
        <v>51884430</v>
      </c>
      <c r="AD14" s="125">
        <f>V14+AC14</f>
        <v>51884430</v>
      </c>
      <c r="AE14" s="27">
        <v>0</v>
      </c>
      <c r="AF14" s="399">
        <f>AE14+AD14+R14+E14</f>
        <v>51884430</v>
      </c>
      <c r="AG14" s="400"/>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407">
        <f>AE15+AD15+R15+E15</f>
        <v>0</v>
      </c>
      <c r="AG15" s="408"/>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64005</v>
      </c>
      <c r="Y16" s="121">
        <f t="shared" si="1"/>
        <v>42587678</v>
      </c>
      <c r="Z16" s="124">
        <f t="shared" si="1"/>
        <v>6408791</v>
      </c>
      <c r="AA16" s="121">
        <f t="shared" si="1"/>
        <v>2823956</v>
      </c>
      <c r="AB16" s="119">
        <f t="shared" si="1"/>
        <v>9232747</v>
      </c>
      <c r="AC16" s="116">
        <f t="shared" si="1"/>
        <v>51884430</v>
      </c>
      <c r="AD16" s="124">
        <f t="shared" si="1"/>
        <v>51884430</v>
      </c>
      <c r="AE16" s="28">
        <f t="shared" si="1"/>
        <v>0</v>
      </c>
      <c r="AF16" s="409">
        <f t="shared" si="1"/>
        <v>51884430</v>
      </c>
      <c r="AG16" s="410"/>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5"/>
      <c r="AG17" s="396"/>
      <c r="AI17" s="228"/>
    </row>
    <row r="18" spans="1:35" s="235" customFormat="1" x14ac:dyDescent="0.2">
      <c r="A18" s="65" t="s">
        <v>39</v>
      </c>
      <c r="B18" s="335" t="s">
        <v>44</v>
      </c>
      <c r="C18" s="248">
        <v>39709169</v>
      </c>
      <c r="D18" s="249">
        <v>246947115</v>
      </c>
      <c r="E18" s="122">
        <f>SUM(C18:D18)</f>
        <v>286656284</v>
      </c>
      <c r="F18" s="187" t="s">
        <v>44</v>
      </c>
      <c r="G18" s="248">
        <v>6055572</v>
      </c>
      <c r="H18" s="249">
        <v>34639961</v>
      </c>
      <c r="I18" s="249">
        <v>4506950</v>
      </c>
      <c r="J18" s="122">
        <f>SUM(G18:I18)</f>
        <v>45202483</v>
      </c>
      <c r="K18" s="339" t="s">
        <v>44</v>
      </c>
      <c r="L18" s="248">
        <v>7481796</v>
      </c>
      <c r="M18" s="250">
        <v>119141151</v>
      </c>
      <c r="N18" s="251">
        <v>61645883</v>
      </c>
      <c r="O18" s="249">
        <v>9056269</v>
      </c>
      <c r="P18" s="122">
        <f>SUM(N18:O18)</f>
        <v>70702152</v>
      </c>
      <c r="Q18" s="117">
        <f>L18+M18+P18</f>
        <v>197325099</v>
      </c>
      <c r="R18" s="349">
        <f>Q18+J18</f>
        <v>242527582</v>
      </c>
      <c r="S18" s="187" t="s">
        <v>44</v>
      </c>
      <c r="T18" s="252">
        <f>T19-T16</f>
        <v>0</v>
      </c>
      <c r="U18" s="253">
        <f>U19-U16</f>
        <v>0</v>
      </c>
      <c r="V18" s="122">
        <f>V19-V16</f>
        <v>0</v>
      </c>
      <c r="W18" s="187" t="s">
        <v>44</v>
      </c>
      <c r="X18" s="252">
        <f t="shared" ref="X18:AC18" si="2">X19-X16</f>
        <v>382773</v>
      </c>
      <c r="Y18" s="253">
        <f t="shared" si="2"/>
        <v>47424450</v>
      </c>
      <c r="Z18" s="254">
        <f t="shared" si="2"/>
        <v>19804569</v>
      </c>
      <c r="AA18" s="253">
        <f t="shared" si="2"/>
        <v>4337415</v>
      </c>
      <c r="AB18" s="122">
        <f t="shared" si="2"/>
        <v>24141984</v>
      </c>
      <c r="AC18" s="117">
        <f t="shared" si="2"/>
        <v>71949207</v>
      </c>
      <c r="AD18" s="129">
        <f>AC18+V18</f>
        <v>71949207</v>
      </c>
      <c r="AE18" s="155">
        <v>0</v>
      </c>
      <c r="AF18" s="397">
        <f>AE18+AD18+R18+E18</f>
        <v>601133073</v>
      </c>
      <c r="AG18" s="398"/>
      <c r="AI18" s="228"/>
    </row>
    <row r="19" spans="1:35" s="13" customFormat="1" ht="13.5" customHeight="1" x14ac:dyDescent="0.2">
      <c r="A19" s="66" t="s">
        <v>92</v>
      </c>
      <c r="B19" s="79" t="s">
        <v>44</v>
      </c>
      <c r="C19" s="180">
        <f>C18+C16</f>
        <v>39709169</v>
      </c>
      <c r="D19" s="181">
        <f>D18+D16</f>
        <v>246947115</v>
      </c>
      <c r="E19" s="118">
        <f>E18+E16</f>
        <v>286656284</v>
      </c>
      <c r="F19" s="176" t="s">
        <v>44</v>
      </c>
      <c r="G19" s="180">
        <f>G18+G16</f>
        <v>6055572</v>
      </c>
      <c r="H19" s="181">
        <f>H18+H16</f>
        <v>34639961</v>
      </c>
      <c r="I19" s="181">
        <f>I18+I16</f>
        <v>4506950</v>
      </c>
      <c r="J19" s="118">
        <f>J18+J16</f>
        <v>45202483</v>
      </c>
      <c r="K19" s="177" t="s">
        <v>44</v>
      </c>
      <c r="L19" s="180">
        <f t="shared" ref="L19:R19" si="3">L18+L16</f>
        <v>7481796</v>
      </c>
      <c r="M19" s="123">
        <f t="shared" si="3"/>
        <v>119141151</v>
      </c>
      <c r="N19" s="180">
        <f t="shared" si="3"/>
        <v>61645883</v>
      </c>
      <c r="O19" s="181">
        <f t="shared" si="3"/>
        <v>9056269</v>
      </c>
      <c r="P19" s="123">
        <f t="shared" si="3"/>
        <v>70702152</v>
      </c>
      <c r="Q19" s="126">
        <f t="shared" si="3"/>
        <v>197325099</v>
      </c>
      <c r="R19" s="126">
        <f t="shared" si="3"/>
        <v>242527582</v>
      </c>
      <c r="S19" s="176" t="s">
        <v>44</v>
      </c>
      <c r="T19" s="150">
        <v>0</v>
      </c>
      <c r="U19" s="151">
        <v>0</v>
      </c>
      <c r="V19" s="123">
        <f>T19+U19</f>
        <v>0</v>
      </c>
      <c r="W19" s="176" t="s">
        <v>44</v>
      </c>
      <c r="X19" s="150">
        <v>446778</v>
      </c>
      <c r="Y19" s="151">
        <v>90012128</v>
      </c>
      <c r="Z19" s="152">
        <v>26213360</v>
      </c>
      <c r="AA19" s="151">
        <v>7161371</v>
      </c>
      <c r="AB19" s="123">
        <f>Z19+AA19</f>
        <v>33374731</v>
      </c>
      <c r="AC19" s="126">
        <f>X19+Y19+AB19</f>
        <v>123833637</v>
      </c>
      <c r="AD19" s="130">
        <f>V19+AC19</f>
        <v>123833637</v>
      </c>
      <c r="AE19" s="27">
        <f>AE18+AE16</f>
        <v>0</v>
      </c>
      <c r="AF19" s="399">
        <f>SUM(AF16:AG18)</f>
        <v>653017503</v>
      </c>
      <c r="AG19" s="400"/>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5"/>
      <c r="AG20" s="396"/>
    </row>
    <row r="21" spans="1:35" s="255" customFormat="1" x14ac:dyDescent="0.2">
      <c r="A21" s="347" t="s">
        <v>23</v>
      </c>
      <c r="B21" s="85" t="s">
        <v>44</v>
      </c>
      <c r="C21" s="184" t="s">
        <v>44</v>
      </c>
      <c r="D21" s="185" t="s">
        <v>44</v>
      </c>
      <c r="E21" s="186">
        <f>'Lighting Reconciliation'!C24</f>
        <v>286919159</v>
      </c>
      <c r="F21" s="187" t="s">
        <v>44</v>
      </c>
      <c r="G21" s="184" t="s">
        <v>44</v>
      </c>
      <c r="H21" s="184" t="s">
        <v>44</v>
      </c>
      <c r="I21" s="188">
        <f>'Lighting Reconciliation'!I24</f>
        <v>2558298</v>
      </c>
      <c r="J21" s="189" t="s">
        <v>44</v>
      </c>
      <c r="K21" s="187" t="s">
        <v>44</v>
      </c>
      <c r="L21" s="184" t="s">
        <v>44</v>
      </c>
      <c r="M21" s="190" t="s">
        <v>44</v>
      </c>
      <c r="N21" s="185" t="s">
        <v>44</v>
      </c>
      <c r="O21" s="184" t="s">
        <v>44</v>
      </c>
      <c r="P21" s="190" t="s">
        <v>44</v>
      </c>
      <c r="Q21" s="190" t="s">
        <v>44</v>
      </c>
      <c r="R21" s="186">
        <f>'Lighting Reconciliation'!E24+'Lighting Reconciliation'!I24</f>
        <v>242259298</v>
      </c>
      <c r="S21" s="187" t="s">
        <v>44</v>
      </c>
      <c r="T21" s="185" t="s">
        <v>44</v>
      </c>
      <c r="U21" s="184" t="s">
        <v>44</v>
      </c>
      <c r="V21" s="190" t="s">
        <v>44</v>
      </c>
      <c r="W21" s="187" t="s">
        <v>44</v>
      </c>
      <c r="X21" s="184" t="s">
        <v>44</v>
      </c>
      <c r="Y21" s="190" t="s">
        <v>44</v>
      </c>
      <c r="Z21" s="185" t="s">
        <v>44</v>
      </c>
      <c r="AA21" s="184" t="s">
        <v>44</v>
      </c>
      <c r="AB21" s="190" t="s">
        <v>44</v>
      </c>
      <c r="AC21" s="190" t="s">
        <v>44</v>
      </c>
      <c r="AD21" s="191">
        <f>'Lighting Reconciliation'!G24</f>
        <v>123839046</v>
      </c>
      <c r="AE21" s="192">
        <f>'Lighting Reconciliation'!K24</f>
        <v>0</v>
      </c>
      <c r="AF21" s="401">
        <f>'Lighting Reconciliation'!M24</f>
        <v>653017503</v>
      </c>
      <c r="AG21" s="402"/>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8"/>
      <c r="AG22" s="389"/>
    </row>
    <row r="23" spans="1:35" s="269" customFormat="1" ht="13.5" thickBot="1" x14ac:dyDescent="0.25">
      <c r="A23" s="262" t="s">
        <v>11</v>
      </c>
      <c r="B23" s="263" t="s">
        <v>44</v>
      </c>
      <c r="C23" s="264" t="s">
        <v>44</v>
      </c>
      <c r="D23" s="264" t="s">
        <v>44</v>
      </c>
      <c r="E23" s="350">
        <f>E19-E21</f>
        <v>-262875</v>
      </c>
      <c r="F23" s="265" t="s">
        <v>44</v>
      </c>
      <c r="G23" s="264" t="s">
        <v>44</v>
      </c>
      <c r="H23" s="264" t="s">
        <v>44</v>
      </c>
      <c r="I23" s="196">
        <f>I19-I21</f>
        <v>1948652</v>
      </c>
      <c r="J23" s="197" t="s">
        <v>44</v>
      </c>
      <c r="K23" s="265" t="s">
        <v>44</v>
      </c>
      <c r="L23" s="264" t="s">
        <v>44</v>
      </c>
      <c r="M23" s="266" t="s">
        <v>44</v>
      </c>
      <c r="N23" s="267" t="s">
        <v>44</v>
      </c>
      <c r="O23" s="264" t="s">
        <v>44</v>
      </c>
      <c r="P23" s="266" t="s">
        <v>44</v>
      </c>
      <c r="Q23" s="266" t="s">
        <v>44</v>
      </c>
      <c r="R23" s="195">
        <f>R19-R21</f>
        <v>268284</v>
      </c>
      <c r="S23" s="268" t="s">
        <v>44</v>
      </c>
      <c r="T23" s="267" t="s">
        <v>44</v>
      </c>
      <c r="U23" s="264" t="s">
        <v>44</v>
      </c>
      <c r="V23" s="266" t="s">
        <v>44</v>
      </c>
      <c r="W23" s="268" t="s">
        <v>44</v>
      </c>
      <c r="X23" s="264" t="s">
        <v>44</v>
      </c>
      <c r="Y23" s="266" t="s">
        <v>44</v>
      </c>
      <c r="Z23" s="267" t="s">
        <v>44</v>
      </c>
      <c r="AA23" s="264" t="s">
        <v>44</v>
      </c>
      <c r="AB23" s="266" t="s">
        <v>44</v>
      </c>
      <c r="AC23" s="266" t="s">
        <v>44</v>
      </c>
      <c r="AD23" s="198">
        <f>AD19-AD21</f>
        <v>-5409</v>
      </c>
      <c r="AE23" s="198">
        <f>AE19-AE21</f>
        <v>0</v>
      </c>
      <c r="AF23" s="390">
        <f>AF19-AF21</f>
        <v>0</v>
      </c>
      <c r="AG23" s="391"/>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f>1+1</f>
        <v>2</v>
      </c>
      <c r="X29" s="107" t="s">
        <v>44</v>
      </c>
      <c r="Y29" s="284">
        <f>397498414+163312853</f>
        <v>560811267</v>
      </c>
      <c r="Z29" s="285">
        <f>624467+304375</f>
        <v>928842</v>
      </c>
      <c r="AA29" s="284">
        <f>600076+298326</f>
        <v>898402</v>
      </c>
      <c r="AB29" s="111">
        <f>SUM(Z29:AA29)</f>
        <v>1827244</v>
      </c>
      <c r="AC29" s="98">
        <f>Y29</f>
        <v>560811267</v>
      </c>
      <c r="AD29" s="98">
        <f>AC29</f>
        <v>560811267</v>
      </c>
      <c r="AE29" s="163" t="s">
        <v>44</v>
      </c>
      <c r="AF29" s="131">
        <f>AD29</f>
        <v>560811267</v>
      </c>
      <c r="AG29" s="132">
        <f>AB29</f>
        <v>1827244</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2</v>
      </c>
      <c r="X31" s="162" t="s">
        <v>44</v>
      </c>
      <c r="Y31" s="99">
        <f>SUM(Y29:Y30)</f>
        <v>560811267</v>
      </c>
      <c r="Z31" s="100">
        <f t="shared" ref="Z31:AA31" si="5">SUM(Z29:Z30)</f>
        <v>928842</v>
      </c>
      <c r="AA31" s="99">
        <f t="shared" si="5"/>
        <v>898402</v>
      </c>
      <c r="AB31" s="111">
        <f>SUM(Z31:AA31)</f>
        <v>1827244</v>
      </c>
      <c r="AC31" s="98">
        <f>SUM(AC29:AC30)</f>
        <v>560811267</v>
      </c>
      <c r="AD31" s="98">
        <f>SUM(AD29:AD30)</f>
        <v>560811267</v>
      </c>
      <c r="AE31" s="163">
        <f>AE30</f>
        <v>0</v>
      </c>
      <c r="AF31" s="131">
        <f>SUM(AF29:AF30)</f>
        <v>560811267</v>
      </c>
      <c r="AG31" s="132">
        <f>SUM(AG29:AG30)</f>
        <v>1827244</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f>238299-14107-185-1259</f>
        <v>222748</v>
      </c>
      <c r="C34" s="296" t="s">
        <v>44</v>
      </c>
      <c r="D34" s="286">
        <v>1501327000</v>
      </c>
      <c r="E34" s="96">
        <f>D34</f>
        <v>1501327000</v>
      </c>
      <c r="F34" s="145">
        <f>32231+1990</f>
        <v>34221</v>
      </c>
      <c r="G34" s="296" t="s">
        <v>44</v>
      </c>
      <c r="H34" s="286">
        <v>191542863</v>
      </c>
      <c r="I34" s="286">
        <v>9592000</v>
      </c>
      <c r="J34" s="96">
        <f>I34+H34</f>
        <v>201134863</v>
      </c>
      <c r="K34" s="148">
        <f>5298+21+3680</f>
        <v>8999</v>
      </c>
      <c r="L34" s="296" t="s">
        <v>44</v>
      </c>
      <c r="M34" s="286">
        <v>1277876137</v>
      </c>
      <c r="N34" s="287">
        <v>4092514</v>
      </c>
      <c r="O34" s="286">
        <v>2353651</v>
      </c>
      <c r="P34" s="96">
        <f>SUM(N34:O34)</f>
        <v>6446165</v>
      </c>
      <c r="Q34" s="103">
        <f>M34</f>
        <v>1277876137</v>
      </c>
      <c r="R34" s="103">
        <f>Q34+J34</f>
        <v>1479011000</v>
      </c>
      <c r="S34" s="148">
        <v>0</v>
      </c>
      <c r="T34" s="296" t="s">
        <v>44</v>
      </c>
      <c r="U34" s="286">
        <v>0</v>
      </c>
      <c r="V34" s="114">
        <f>U34</f>
        <v>0</v>
      </c>
      <c r="W34" s="297">
        <f>71+1-2</f>
        <v>70</v>
      </c>
      <c r="X34" s="296" t="s">
        <v>44</v>
      </c>
      <c r="Y34" s="298">
        <f>Y35-Y31-Y33</f>
        <v>587276733</v>
      </c>
      <c r="Z34" s="299">
        <f t="shared" ref="Z34:AA34" si="6">Z35-Z31-Z33</f>
        <v>1433190</v>
      </c>
      <c r="AA34" s="298">
        <f t="shared" si="6"/>
        <v>1563793</v>
      </c>
      <c r="AB34" s="96">
        <f>SUM(Z34:AA34)</f>
        <v>2996983</v>
      </c>
      <c r="AC34" s="103">
        <f>Y34</f>
        <v>587276733</v>
      </c>
      <c r="AD34" s="103">
        <f t="shared" ref="AD34" si="7">AC34+U34</f>
        <v>587276733</v>
      </c>
      <c r="AE34" s="174">
        <v>0</v>
      </c>
      <c r="AF34" s="169">
        <f>+R34+E34+AD34+AE34</f>
        <v>3567614733</v>
      </c>
      <c r="AG34" s="170">
        <f>AB34+P34</f>
        <v>9443148</v>
      </c>
      <c r="AH34" s="227"/>
    </row>
    <row r="35" spans="1:34" s="4" customFormat="1" x14ac:dyDescent="0.2">
      <c r="A35" s="57" t="s">
        <v>93</v>
      </c>
      <c r="B35" s="102">
        <f>SUM(B31:B34)</f>
        <v>222748</v>
      </c>
      <c r="C35" s="107" t="s">
        <v>44</v>
      </c>
      <c r="D35" s="99">
        <f>SUM(D31:D34)</f>
        <v>1501327000</v>
      </c>
      <c r="E35" s="95">
        <f>SUM(E31:E34)</f>
        <v>1501327000</v>
      </c>
      <c r="F35" s="102">
        <f>SUM(F31:F34)</f>
        <v>34221</v>
      </c>
      <c r="G35" s="107" t="s">
        <v>44</v>
      </c>
      <c r="H35" s="99">
        <f>SUM(H31:H34)</f>
        <v>191542863</v>
      </c>
      <c r="I35" s="99">
        <f>SUM(I31:I34)</f>
        <v>9592000</v>
      </c>
      <c r="J35" s="95">
        <f>SUM(J31:J34)</f>
        <v>201134863</v>
      </c>
      <c r="K35" s="101">
        <f>SUM(K31:K34)</f>
        <v>8999</v>
      </c>
      <c r="L35" s="107" t="s">
        <v>44</v>
      </c>
      <c r="M35" s="99">
        <f>SUM(M31:M34)</f>
        <v>1277876137</v>
      </c>
      <c r="N35" s="100">
        <f>SUM(N31:N34)</f>
        <v>4092514</v>
      </c>
      <c r="O35" s="99">
        <v>1</v>
      </c>
      <c r="P35" s="97">
        <f t="shared" ref="P35" si="8">SUM(P31:P34)</f>
        <v>6446165</v>
      </c>
      <c r="Q35" s="98">
        <f>SUM(Q31:Q34)</f>
        <v>1277876137</v>
      </c>
      <c r="R35" s="98">
        <f>SUM(R31:R34)</f>
        <v>1479011000</v>
      </c>
      <c r="S35" s="101">
        <f>SUM(S31:S34)</f>
        <v>0</v>
      </c>
      <c r="T35" s="107" t="s">
        <v>44</v>
      </c>
      <c r="U35" s="99">
        <f>SUM(U31:U34)</f>
        <v>0</v>
      </c>
      <c r="V35" s="75">
        <f>SUM(V31:V34)</f>
        <v>0</v>
      </c>
      <c r="W35" s="70">
        <f>SUM(W31:W34)</f>
        <v>72</v>
      </c>
      <c r="X35" s="107" t="s">
        <v>44</v>
      </c>
      <c r="Y35" s="153">
        <v>1148088000</v>
      </c>
      <c r="Z35" s="154">
        <v>2362032</v>
      </c>
      <c r="AA35" s="153">
        <v>2462195</v>
      </c>
      <c r="AB35" s="97">
        <f>Z35+AA35</f>
        <v>4824227</v>
      </c>
      <c r="AC35" s="98">
        <f>AC31+AC34+AC33</f>
        <v>1148088000</v>
      </c>
      <c r="AD35" s="98">
        <f>SUM(AD31:AD34)</f>
        <v>1148088000</v>
      </c>
      <c r="AE35" s="113">
        <f>SUM(AE31:AE34)</f>
        <v>0</v>
      </c>
      <c r="AF35" s="133">
        <f>SUM(AF31:AF34)</f>
        <v>4128426000</v>
      </c>
      <c r="AG35" s="134">
        <f>SUM(AG31:AG34)</f>
        <v>11270392</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f>'Lighting Reconciliation'!C3</f>
        <v>1501957000</v>
      </c>
      <c r="F37" s="85" t="s">
        <v>44</v>
      </c>
      <c r="G37" s="86" t="s">
        <v>44</v>
      </c>
      <c r="H37" s="87" t="s">
        <v>44</v>
      </c>
      <c r="I37" s="199">
        <f>'Lighting Reconciliation'!I3</f>
        <v>3809000</v>
      </c>
      <c r="J37" s="157" t="s">
        <v>44</v>
      </c>
      <c r="K37" s="85" t="s">
        <v>44</v>
      </c>
      <c r="L37" s="86" t="s">
        <v>44</v>
      </c>
      <c r="M37" s="88" t="s">
        <v>44</v>
      </c>
      <c r="N37" s="85" t="s">
        <v>44</v>
      </c>
      <c r="O37" s="86" t="s">
        <v>44</v>
      </c>
      <c r="P37" s="157" t="s">
        <v>44</v>
      </c>
      <c r="Q37" s="164" t="s">
        <v>44</v>
      </c>
      <c r="R37" s="149">
        <f>'Lighting Reconciliation'!E3+'Lighting Reconciliation'!I3</f>
        <v>1478366000</v>
      </c>
      <c r="S37" s="85" t="s">
        <v>44</v>
      </c>
      <c r="T37" s="86" t="s">
        <v>44</v>
      </c>
      <c r="U37" s="86" t="s">
        <v>44</v>
      </c>
      <c r="V37" s="89" t="s">
        <v>44</v>
      </c>
      <c r="W37" s="87" t="s">
        <v>44</v>
      </c>
      <c r="X37" s="86" t="s">
        <v>44</v>
      </c>
      <c r="Y37" s="110" t="s">
        <v>44</v>
      </c>
      <c r="Z37" s="85" t="s">
        <v>44</v>
      </c>
      <c r="AA37" s="86" t="s">
        <v>44</v>
      </c>
      <c r="AB37" s="157" t="s">
        <v>44</v>
      </c>
      <c r="AC37" s="164" t="s">
        <v>44</v>
      </c>
      <c r="AD37" s="166">
        <f>+'Lighting Reconciliation'!G3</f>
        <v>1148103000</v>
      </c>
      <c r="AE37" s="166">
        <f>'Lighting Reconciliation'!K3</f>
        <v>0</v>
      </c>
      <c r="AF37" s="175">
        <f>'Lighting Reconciliation'!M3</f>
        <v>4128426000</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-630000</v>
      </c>
      <c r="F39" s="263" t="s">
        <v>44</v>
      </c>
      <c r="G39" s="305" t="s">
        <v>44</v>
      </c>
      <c r="H39" s="305" t="s">
        <v>44</v>
      </c>
      <c r="I39" s="200">
        <f>I35-I37</f>
        <v>5783000</v>
      </c>
      <c r="J39" s="158" t="s">
        <v>44</v>
      </c>
      <c r="K39" s="263" t="s">
        <v>44</v>
      </c>
      <c r="L39" s="305" t="s">
        <v>44</v>
      </c>
      <c r="M39" s="305" t="s">
        <v>44</v>
      </c>
      <c r="N39" s="263" t="s">
        <v>44</v>
      </c>
      <c r="O39" s="305" t="s">
        <v>44</v>
      </c>
      <c r="P39" s="158" t="s">
        <v>44</v>
      </c>
      <c r="Q39" s="165" t="s">
        <v>44</v>
      </c>
      <c r="R39" s="78">
        <f>R35-R37</f>
        <v>645000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-15000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3" t="s">
        <v>47</v>
      </c>
      <c r="C41" s="354"/>
      <c r="D41" s="354"/>
      <c r="E41" s="354"/>
      <c r="F41" s="354"/>
      <c r="G41" s="354"/>
      <c r="H41" s="354"/>
      <c r="I41" s="354"/>
      <c r="J41" s="354"/>
      <c r="K41" s="354"/>
      <c r="L41" s="354"/>
      <c r="M41" s="354"/>
      <c r="N41" s="354"/>
      <c r="O41" s="355"/>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6" t="s">
        <v>48</v>
      </c>
      <c r="C43" s="357"/>
      <c r="D43" s="357"/>
      <c r="E43" s="357"/>
      <c r="F43" s="357"/>
      <c r="G43" s="357"/>
      <c r="H43" s="357"/>
      <c r="I43" s="357"/>
      <c r="J43" s="357"/>
      <c r="K43" s="358"/>
      <c r="L43" s="359" t="s">
        <v>103</v>
      </c>
      <c r="M43" s="360"/>
      <c r="N43" s="360"/>
      <c r="O43" s="361"/>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6" t="s">
        <v>102</v>
      </c>
      <c r="C45" s="357"/>
      <c r="D45" s="357"/>
      <c r="E45" s="357"/>
      <c r="F45" s="357"/>
      <c r="G45" s="357"/>
      <c r="H45" s="357"/>
      <c r="I45" s="357"/>
      <c r="J45" s="357"/>
      <c r="K45" s="357"/>
      <c r="L45" s="357"/>
      <c r="M45" s="357"/>
      <c r="N45" s="357"/>
      <c r="O45" s="358"/>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62" t="s">
        <v>89</v>
      </c>
      <c r="C47" s="363"/>
      <c r="D47" s="363"/>
      <c r="E47" s="363"/>
      <c r="F47" s="363"/>
      <c r="G47" s="363"/>
      <c r="H47" s="363"/>
      <c r="I47" s="364"/>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62" t="s">
        <v>96</v>
      </c>
      <c r="C49" s="363"/>
      <c r="D49" s="363"/>
      <c r="E49" s="363"/>
      <c r="F49" s="363"/>
      <c r="G49" s="363"/>
      <c r="H49" s="364"/>
      <c r="I49" s="365" t="s">
        <v>97</v>
      </c>
      <c r="J49" s="366"/>
      <c r="K49" s="366"/>
      <c r="L49" s="366"/>
      <c r="M49" s="366"/>
      <c r="N49" s="366"/>
      <c r="O49" s="367"/>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Lookups!$A$4:$A$19</xm:f>
          </x14:formula1>
          <xm:sqref>T5</xm:sqref>
        </x14:dataValidation>
        <x14:dataValidation type="list" showInputMessage="1" showErrorMessage="1" xr:uid="{00000000-0002-0000-0000-000001000000}">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9"/>
  <sheetViews>
    <sheetView workbookViewId="0"/>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v>1501957000</v>
      </c>
      <c r="D3" s="8"/>
      <c r="E3" s="8">
        <v>1474557000</v>
      </c>
      <c r="F3" s="8"/>
      <c r="G3" s="8">
        <v>1148103000</v>
      </c>
      <c r="H3" s="8"/>
      <c r="I3" s="8">
        <v>3809000</v>
      </c>
      <c r="J3" s="8"/>
      <c r="K3" s="8">
        <v>0</v>
      </c>
      <c r="M3" s="9">
        <f>SUM(C3:K3)</f>
        <v>4128426000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v>-630000</v>
      </c>
      <c r="D6" s="351"/>
      <c r="E6" s="351"/>
      <c r="F6" s="351"/>
      <c r="G6" s="351"/>
      <c r="H6" s="351"/>
      <c r="I6" s="351">
        <f>-C6</f>
        <v>630000</v>
      </c>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351"/>
      <c r="D9" s="351"/>
      <c r="E9" s="10">
        <v>-5138000</v>
      </c>
      <c r="F9" s="351"/>
      <c r="G9" s="351"/>
      <c r="H9" s="351"/>
      <c r="I9" s="351">
        <f>-E9</f>
        <v>5138000</v>
      </c>
      <c r="J9" s="8"/>
      <c r="K9" s="8"/>
    </row>
    <row r="10" spans="1:13" x14ac:dyDescent="0.2">
      <c r="C10" s="351"/>
      <c r="D10" s="351"/>
      <c r="E10" s="351"/>
      <c r="F10" s="351"/>
      <c r="G10" s="351"/>
      <c r="H10" s="351"/>
      <c r="I10" s="351"/>
      <c r="J10" s="8"/>
      <c r="K10" s="8"/>
    </row>
    <row r="11" spans="1:13" x14ac:dyDescent="0.2">
      <c r="A11" t="s">
        <v>28</v>
      </c>
      <c r="C11" s="351"/>
      <c r="D11" s="351"/>
      <c r="E11" s="351"/>
      <c r="F11" s="351"/>
      <c r="G11" s="351"/>
      <c r="H11" s="351"/>
      <c r="I11" s="351"/>
      <c r="J11" s="8"/>
      <c r="K11" s="8"/>
    </row>
    <row r="12" spans="1:13" x14ac:dyDescent="0.2">
      <c r="A12" t="s">
        <v>29</v>
      </c>
      <c r="C12" s="351"/>
      <c r="D12" s="351"/>
      <c r="E12" s="351"/>
      <c r="F12" s="351"/>
      <c r="G12" s="10">
        <v>-15000</v>
      </c>
      <c r="H12" s="351"/>
      <c r="I12" s="351">
        <f>-G12</f>
        <v>15000</v>
      </c>
      <c r="J12" s="8"/>
      <c r="K12" s="8"/>
    </row>
    <row r="13" spans="1:13" x14ac:dyDescent="0.2">
      <c r="C13" s="8" t="s">
        <v>30</v>
      </c>
      <c r="D13" s="8"/>
      <c r="E13" s="8" t="s">
        <v>30</v>
      </c>
      <c r="F13" s="8"/>
      <c r="G13" s="8" t="s">
        <v>31</v>
      </c>
      <c r="H13" s="8"/>
      <c r="I13" s="8" t="s">
        <v>32</v>
      </c>
      <c r="J13" s="8"/>
      <c r="K13" s="8" t="s">
        <v>33</v>
      </c>
    </row>
    <row r="14" spans="1:13" x14ac:dyDescent="0.2">
      <c r="A14" t="s">
        <v>34</v>
      </c>
      <c r="C14" s="8">
        <f>SUM(C3:C12)</f>
        <v>1501327000</v>
      </c>
      <c r="D14" s="8"/>
      <c r="E14" s="8">
        <f>SUM(E3:E12)</f>
        <v>1469419000</v>
      </c>
      <c r="F14" s="8"/>
      <c r="G14" s="8">
        <f>SUM(G3:G12)</f>
        <v>1148088000</v>
      </c>
      <c r="H14" s="8"/>
      <c r="I14" s="8">
        <f>SUM(I3:I12)</f>
        <v>9592000</v>
      </c>
      <c r="J14" s="8"/>
      <c r="K14" s="8">
        <f>SUM(K3:K12)</f>
        <v>0</v>
      </c>
      <c r="M14" s="9">
        <f>SUM(C14:K14)</f>
        <v>4128426000</v>
      </c>
    </row>
    <row r="15" spans="1:13" x14ac:dyDescent="0.2">
      <c r="C15" s="8"/>
      <c r="D15" s="8"/>
      <c r="E15" s="8"/>
      <c r="F15" s="8"/>
      <c r="G15" s="8"/>
      <c r="H15" s="8"/>
      <c r="I15" s="8"/>
      <c r="J15" s="8"/>
      <c r="K15" s="8"/>
    </row>
    <row r="16" spans="1:13" x14ac:dyDescent="0.2">
      <c r="A16" t="s">
        <v>35</v>
      </c>
      <c r="C16" s="8"/>
      <c r="D16" s="8"/>
      <c r="E16" s="8">
        <f>+I14</f>
        <v>9592000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1501327000</v>
      </c>
      <c r="D18" s="8"/>
      <c r="E18" s="8">
        <f>+E14+E16</f>
        <v>1479011000</v>
      </c>
      <c r="F18" s="8"/>
      <c r="G18" s="8">
        <f>+G14+G16</f>
        <v>1148088000</v>
      </c>
      <c r="H18" s="8"/>
      <c r="I18" s="8">
        <f>+I14+I16</f>
        <v>9592000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v>286919159</v>
      </c>
      <c r="D24" s="8"/>
      <c r="E24" s="8">
        <v>239701000</v>
      </c>
      <c r="F24" s="8"/>
      <c r="G24" s="8">
        <v>123839046</v>
      </c>
      <c r="H24" s="8"/>
      <c r="I24" s="8">
        <v>2558298</v>
      </c>
      <c r="J24" s="8"/>
      <c r="K24" s="8">
        <v>0</v>
      </c>
      <c r="M24" s="9">
        <f>SUM(C24:K24)</f>
        <v>653017503</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v>-262875</v>
      </c>
      <c r="D27" s="351"/>
      <c r="E27" s="351"/>
      <c r="F27" s="351"/>
      <c r="G27" s="351"/>
      <c r="H27" s="351"/>
      <c r="I27" s="351">
        <f>-C27</f>
        <v>262875</v>
      </c>
      <c r="J27" s="8"/>
      <c r="K27" s="8"/>
    </row>
    <row r="28" spans="1:13" x14ac:dyDescent="0.2">
      <c r="C28" s="351"/>
      <c r="D28" s="351"/>
      <c r="E28" s="351"/>
      <c r="F28" s="351"/>
      <c r="G28" s="351"/>
      <c r="H28" s="351"/>
      <c r="I28" s="351"/>
      <c r="J28" s="8"/>
      <c r="K28" s="8"/>
    </row>
    <row r="29" spans="1:13" x14ac:dyDescent="0.2">
      <c r="A29" t="s">
        <v>28</v>
      </c>
      <c r="C29" s="351"/>
      <c r="D29" s="351"/>
      <c r="J29" s="8"/>
      <c r="K29" s="8"/>
    </row>
    <row r="30" spans="1:13" x14ac:dyDescent="0.2">
      <c r="A30" t="s">
        <v>29</v>
      </c>
      <c r="C30" s="351"/>
      <c r="D30" s="351"/>
      <c r="E30" s="10">
        <v>-1680368</v>
      </c>
      <c r="F30" s="351"/>
      <c r="G30" s="351"/>
      <c r="H30" s="351"/>
      <c r="I30" s="351">
        <f>-E30</f>
        <v>1680368</v>
      </c>
      <c r="J30" s="8"/>
      <c r="K30" s="8"/>
    </row>
    <row r="31" spans="1:13" x14ac:dyDescent="0.2">
      <c r="C31" s="351"/>
      <c r="D31" s="351"/>
      <c r="E31" s="351"/>
      <c r="F31" s="351"/>
      <c r="G31" s="351"/>
      <c r="H31" s="351"/>
      <c r="I31" s="351"/>
      <c r="J31" s="8"/>
      <c r="K31" s="8"/>
    </row>
    <row r="32" spans="1:13" x14ac:dyDescent="0.2">
      <c r="A32" t="s">
        <v>28</v>
      </c>
      <c r="C32" s="351"/>
      <c r="D32" s="351"/>
      <c r="E32" s="351"/>
      <c r="F32" s="351"/>
      <c r="G32" s="351"/>
      <c r="H32" s="351"/>
      <c r="I32" s="351"/>
      <c r="J32" s="8"/>
      <c r="K32" s="8"/>
    </row>
    <row r="33" spans="1:13" x14ac:dyDescent="0.2">
      <c r="A33" t="s">
        <v>29</v>
      </c>
      <c r="C33" s="351"/>
      <c r="D33" s="351"/>
      <c r="E33" s="351"/>
      <c r="F33" s="351"/>
      <c r="G33" s="10">
        <v>-5409</v>
      </c>
      <c r="H33" s="351"/>
      <c r="I33" s="351">
        <f>-G33</f>
        <v>5409</v>
      </c>
      <c r="J33" s="8"/>
      <c r="K33" s="8"/>
    </row>
    <row r="34" spans="1:13" x14ac:dyDescent="0.2">
      <c r="C34" s="8" t="s">
        <v>30</v>
      </c>
      <c r="D34" s="8"/>
      <c r="E34" s="8" t="s">
        <v>30</v>
      </c>
      <c r="F34" s="8"/>
      <c r="G34" s="8" t="s">
        <v>31</v>
      </c>
      <c r="H34" s="8"/>
      <c r="I34" s="8" t="s">
        <v>32</v>
      </c>
      <c r="J34" s="8"/>
      <c r="K34" s="8" t="s">
        <v>33</v>
      </c>
    </row>
    <row r="35" spans="1:13" x14ac:dyDescent="0.2">
      <c r="A35" t="s">
        <v>34</v>
      </c>
      <c r="C35" s="8">
        <f>SUM(C24:C33)</f>
        <v>286656284</v>
      </c>
      <c r="D35" s="8"/>
      <c r="E35" s="8">
        <f>SUM(E24:E33)</f>
        <v>238020632</v>
      </c>
      <c r="F35" s="8"/>
      <c r="G35" s="8">
        <f>SUM(G24:G33)</f>
        <v>123833637</v>
      </c>
      <c r="H35" s="8"/>
      <c r="I35" s="8">
        <f>SUM(I24:I33)</f>
        <v>4506950</v>
      </c>
      <c r="J35" s="8"/>
      <c r="K35" s="8">
        <f>SUM(K24:K33)</f>
        <v>0</v>
      </c>
      <c r="M35" s="9">
        <f>SUM(C35:K35)</f>
        <v>653017503</v>
      </c>
    </row>
    <row r="36" spans="1:13" x14ac:dyDescent="0.2">
      <c r="C36" s="8"/>
      <c r="D36" s="8"/>
      <c r="E36" s="8"/>
      <c r="F36" s="8"/>
      <c r="G36" s="8"/>
      <c r="H36" s="8"/>
      <c r="I36" s="8"/>
      <c r="J36" s="8"/>
      <c r="K36" s="8"/>
    </row>
    <row r="37" spans="1:13" x14ac:dyDescent="0.2">
      <c r="A37" t="s">
        <v>35</v>
      </c>
      <c r="C37" s="8"/>
      <c r="D37" s="8"/>
      <c r="E37" s="8">
        <f>+I35</f>
        <v>4506950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286656284</v>
      </c>
      <c r="D39" s="8"/>
      <c r="E39" s="8">
        <f>+E35+E37</f>
        <v>242527582</v>
      </c>
      <c r="F39" s="8"/>
      <c r="G39" s="8">
        <f>+G35+G37</f>
        <v>123833637</v>
      </c>
      <c r="H39" s="8"/>
      <c r="I39" s="8">
        <f>+I35+I37</f>
        <v>4506950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7"/>
  <sheetViews>
    <sheetView workbookViewId="0">
      <selection activeCell="C13" sqref="C13"/>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99297.14</v>
      </c>
    </row>
    <row r="16" spans="1:3" x14ac:dyDescent="0.2">
      <c r="B16" s="43" t="s">
        <v>61</v>
      </c>
      <c r="C16" s="42">
        <v>56688.86</v>
      </c>
    </row>
    <row r="17" spans="3:4" x14ac:dyDescent="0.2">
      <c r="C17" s="11">
        <f>C15+C16</f>
        <v>155986</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98BC4DDC-67FE-4D93-A585-7510A60971E9}">
  <ds:schemaRefs>
    <ds:schemaRef ds:uri="http://purl.org/dc/terms/"/>
    <ds:schemaRef ds:uri="http://schemas.openxmlformats.org/package/2006/metadata/core-properties"/>
    <ds:schemaRef ds:uri="http://purl.org/dc/dcmitype/"/>
    <ds:schemaRef ds:uri="027dd270-bece-4e06-95bb-d7c817c48342"/>
    <ds:schemaRef ds:uri="http://purl.org/dc/elements/1.1/"/>
    <ds:schemaRef ds:uri="http://schemas.microsoft.com/office/2006/metadata/properties"/>
    <ds:schemaRef ds:uri="http://schemas.microsoft.com/office/2006/documentManagement/types"/>
    <ds:schemaRef ds:uri="http://schemas.microsoft.com/office/infopath/2007/PartnerControls"/>
    <ds:schemaRef ds:uri="310a40b4-f97a-4cc9-8aa9-9a505b47d23d"/>
    <ds:schemaRef ds:uri="http://www.w3.org/XML/1998/namespace"/>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Anderson, Holly</cp:lastModifiedBy>
  <cp:lastPrinted>2013-09-14T13:46:41Z</cp:lastPrinted>
  <dcterms:created xsi:type="dcterms:W3CDTF">2003-10-13T18:25:46Z</dcterms:created>
  <dcterms:modified xsi:type="dcterms:W3CDTF">2020-08-03T12:40:38Z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