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vppsant\iso_markets\Regulatory\Net-Metering\2019\5.100 Revisions Proceeding\"/>
    </mc:Choice>
  </mc:AlternateContent>
  <xr:revisionPtr revIDLastSave="0" documentId="8_{FFA47E1D-8F98-4213-BAFC-2C3B1C68EB12}" xr6:coauthVersionLast="45" xr6:coauthVersionMax="45" xr10:uidLastSave="{00000000-0000-0000-0000-000000000000}"/>
  <bookViews>
    <workbookView xWindow="-120" yWindow="-120" windowWidth="20730" windowHeight="11160" tabRatio="722" xr2:uid="{00000000-000D-0000-FFFF-FFFF00000000}"/>
  </bookViews>
  <sheets>
    <sheet name="Total Retail Sales" sheetId="6" r:id="rId1"/>
    <sheet name="Blended Rate Calc" sheetId="1" state="hidden" r:id="rId2"/>
    <sheet name="Solar_NM_kW" sheetId="7" r:id="rId3"/>
    <sheet name="NM_Compensation_Rates" sheetId="4" r:id="rId4"/>
    <sheet name="NM_Cost-Benefit" sheetId="5" r:id="rId5"/>
    <sheet name="RES Req" sheetId="8" r:id="rId6"/>
  </sheets>
  <externalReferences>
    <externalReference r:id="rId7"/>
  </externalReferences>
  <definedNames>
    <definedName name="_xlnm.Print_Area" localSheetId="1">'Blended Rate Calc'!$A$1:$N$18</definedName>
    <definedName name="_xlnm.Print_Area" localSheetId="4">'NM_Cost-Benefit'!$B$1:$O$18</definedName>
    <definedName name="_xlnm.Print_Area" localSheetId="5">'RES Req'!$B$2:$R$28</definedName>
    <definedName name="_xlnm.Print_Titles" localSheetId="3">NM_Compensation_Rates!$B:$B</definedName>
    <definedName name="_xlnm.Print_Titles" localSheetId="4">'NM_Cost-Benefit'!$B:$B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5" l="1"/>
  <c r="K17" i="5"/>
  <c r="K16" i="5"/>
  <c r="K15" i="5"/>
  <c r="K14" i="5"/>
  <c r="K13" i="5"/>
  <c r="K12" i="5"/>
  <c r="K11" i="5"/>
  <c r="K10" i="5"/>
  <c r="K9" i="5"/>
  <c r="K8" i="5"/>
  <c r="K7" i="5" l="1"/>
  <c r="F19" i="6"/>
  <c r="S19" i="4"/>
  <c r="C7" i="5"/>
  <c r="C9" i="5"/>
  <c r="C10" i="5"/>
  <c r="C12" i="5"/>
  <c r="C13" i="5"/>
  <c r="C14" i="5"/>
  <c r="C15" i="5"/>
  <c r="C16" i="5"/>
  <c r="C17" i="5"/>
  <c r="C18" i="5"/>
  <c r="C8" i="5"/>
  <c r="C40" i="7"/>
  <c r="U19" i="4" l="1"/>
  <c r="M19" i="4"/>
  <c r="N19" i="4"/>
  <c r="O19" i="4"/>
  <c r="P19" i="4"/>
  <c r="R19" i="4"/>
  <c r="T19" i="4"/>
  <c r="C17" i="8" l="1"/>
  <c r="C18" i="8" s="1"/>
  <c r="C19" i="8" s="1"/>
  <c r="C20" i="8" s="1"/>
  <c r="C21" i="8" s="1"/>
  <c r="C22" i="8" s="1"/>
  <c r="C23" i="8" s="1"/>
  <c r="C24" i="8" s="1"/>
  <c r="C25" i="8" s="1"/>
  <c r="C26" i="8" s="1"/>
  <c r="D27" i="8" l="1"/>
  <c r="D17" i="8"/>
  <c r="Q17" i="8" s="1"/>
  <c r="D18" i="8"/>
  <c r="K18" i="8" s="1"/>
  <c r="D19" i="8"/>
  <c r="M19" i="8" s="1"/>
  <c r="D20" i="8"/>
  <c r="O20" i="8" s="1"/>
  <c r="D21" i="8"/>
  <c r="Q21" i="8" s="1"/>
  <c r="D22" i="8"/>
  <c r="K22" i="8" s="1"/>
  <c r="D23" i="8"/>
  <c r="M23" i="8" s="1"/>
  <c r="D24" i="8"/>
  <c r="O24" i="8" s="1"/>
  <c r="D25" i="8"/>
  <c r="Q25" i="8" s="1"/>
  <c r="D26" i="8"/>
  <c r="D16" i="8"/>
  <c r="O16" i="8" s="1"/>
  <c r="P24" i="8" l="1"/>
  <c r="E18" i="8"/>
  <c r="E22" i="8"/>
  <c r="E21" i="8"/>
  <c r="M21" i="8"/>
  <c r="G23" i="8"/>
  <c r="I23" i="8"/>
  <c r="Q23" i="8"/>
  <c r="K24" i="8"/>
  <c r="O18" i="8"/>
  <c r="J17" i="8"/>
  <c r="P18" i="8"/>
  <c r="N21" i="8"/>
  <c r="P22" i="8"/>
  <c r="R23" i="8"/>
  <c r="P16" i="8"/>
  <c r="O22" i="8"/>
  <c r="R17" i="8"/>
  <c r="F19" i="8"/>
  <c r="R21" i="8"/>
  <c r="F23" i="8"/>
  <c r="H24" i="8"/>
  <c r="G18" i="8"/>
  <c r="G22" i="8"/>
  <c r="H18" i="8"/>
  <c r="F21" i="8"/>
  <c r="H22" i="8"/>
  <c r="J23" i="8"/>
  <c r="J25" i="8"/>
  <c r="N19" i="8"/>
  <c r="L18" i="8"/>
  <c r="J21" i="8"/>
  <c r="L22" i="8"/>
  <c r="N23" i="8"/>
  <c r="R25" i="8"/>
  <c r="H16" i="8"/>
  <c r="M18" i="8"/>
  <c r="K21" i="8"/>
  <c r="M22" i="8"/>
  <c r="O23" i="8"/>
  <c r="H20" i="8"/>
  <c r="I16" i="8"/>
  <c r="Q16" i="8"/>
  <c r="K17" i="8"/>
  <c r="G19" i="8"/>
  <c r="O19" i="8"/>
  <c r="I20" i="8"/>
  <c r="Q20" i="8"/>
  <c r="I24" i="8"/>
  <c r="Q24" i="8"/>
  <c r="K25" i="8"/>
  <c r="J16" i="8"/>
  <c r="R16" i="8"/>
  <c r="L17" i="8"/>
  <c r="F18" i="8"/>
  <c r="N18" i="8"/>
  <c r="H19" i="8"/>
  <c r="P19" i="8"/>
  <c r="J20" i="8"/>
  <c r="R20" i="8"/>
  <c r="L21" i="8"/>
  <c r="F22" i="8"/>
  <c r="N22" i="8"/>
  <c r="H23" i="8"/>
  <c r="P23" i="8"/>
  <c r="J24" i="8"/>
  <c r="R24" i="8"/>
  <c r="L25" i="8"/>
  <c r="K16" i="8"/>
  <c r="Q19" i="8"/>
  <c r="M25" i="8"/>
  <c r="L16" i="8"/>
  <c r="R19" i="8"/>
  <c r="N25" i="8"/>
  <c r="E16" i="8"/>
  <c r="M16" i="8"/>
  <c r="G17" i="8"/>
  <c r="O17" i="8"/>
  <c r="I18" i="8"/>
  <c r="Q18" i="8"/>
  <c r="K19" i="8"/>
  <c r="E20" i="8"/>
  <c r="M20" i="8"/>
  <c r="G21" i="8"/>
  <c r="O21" i="8"/>
  <c r="I22" i="8"/>
  <c r="Q22" i="8"/>
  <c r="K23" i="8"/>
  <c r="E24" i="8"/>
  <c r="M24" i="8"/>
  <c r="G25" i="8"/>
  <c r="O25" i="8"/>
  <c r="E17" i="8"/>
  <c r="M17" i="8"/>
  <c r="I19" i="8"/>
  <c r="K20" i="8"/>
  <c r="E25" i="8"/>
  <c r="F17" i="8"/>
  <c r="L20" i="8"/>
  <c r="F25" i="8"/>
  <c r="F16" i="8"/>
  <c r="N16" i="8"/>
  <c r="H17" i="8"/>
  <c r="P17" i="8"/>
  <c r="J18" i="8"/>
  <c r="R18" i="8"/>
  <c r="L19" i="8"/>
  <c r="F20" i="8"/>
  <c r="N20" i="8"/>
  <c r="H21" i="8"/>
  <c r="P21" i="8"/>
  <c r="J22" i="8"/>
  <c r="R22" i="8"/>
  <c r="L23" i="8"/>
  <c r="F24" i="8"/>
  <c r="N24" i="8"/>
  <c r="H25" i="8"/>
  <c r="P25" i="8"/>
  <c r="P20" i="8"/>
  <c r="N17" i="8"/>
  <c r="J19" i="8"/>
  <c r="L24" i="8"/>
  <c r="G16" i="8"/>
  <c r="I17" i="8"/>
  <c r="E19" i="8"/>
  <c r="G20" i="8"/>
  <c r="I21" i="8"/>
  <c r="E23" i="8"/>
  <c r="G24" i="8"/>
  <c r="I25" i="8"/>
  <c r="F27" i="8" l="1"/>
  <c r="E27" i="8"/>
  <c r="G27" i="8"/>
  <c r="H27" i="8"/>
  <c r="G28" i="8" l="1"/>
  <c r="F28" i="8"/>
  <c r="H28" i="8"/>
  <c r="I27" i="8"/>
  <c r="I28" i="8" s="1"/>
  <c r="J27" i="8" l="1"/>
  <c r="J28" i="8" s="1"/>
  <c r="K27" i="8" l="1"/>
  <c r="K28" i="8" s="1"/>
  <c r="L27" i="8" l="1"/>
  <c r="L28" i="8" s="1"/>
  <c r="M27" i="8" l="1"/>
  <c r="M28" i="8" s="1"/>
  <c r="N27" i="8" l="1"/>
  <c r="N28" i="8" s="1"/>
  <c r="O27" i="8" l="1"/>
  <c r="O28" i="8" s="1"/>
  <c r="P27" i="8" l="1"/>
  <c r="P28" i="8" s="1"/>
  <c r="Q27" i="8" l="1"/>
  <c r="Q28" i="8" s="1"/>
  <c r="R27" i="8"/>
  <c r="R28" i="8" l="1"/>
  <c r="H28" i="7" l="1"/>
  <c r="D28" i="7"/>
  <c r="E28" i="7" l="1"/>
  <c r="D40" i="7"/>
  <c r="M30" i="7"/>
  <c r="M29" i="7"/>
  <c r="H40" i="7"/>
  <c r="I28" i="7"/>
  <c r="N30" i="7" l="1"/>
  <c r="N29" i="7"/>
  <c r="N31" i="7" s="1"/>
  <c r="M31" i="7"/>
  <c r="J28" i="7"/>
  <c r="E40" i="7"/>
  <c r="O9" i="5"/>
  <c r="O10" i="5"/>
  <c r="O11" i="5"/>
  <c r="O12" i="5"/>
  <c r="O13" i="5"/>
  <c r="O14" i="5"/>
  <c r="O15" i="5"/>
  <c r="O16" i="5"/>
  <c r="O17" i="5"/>
  <c r="O18" i="5"/>
  <c r="O7" i="5"/>
  <c r="O8" i="5"/>
  <c r="D16" i="6"/>
  <c r="G12" i="7"/>
  <c r="C11" i="5" s="1"/>
  <c r="E27" i="7"/>
  <c r="J27" i="7" s="1"/>
  <c r="D27" i="7"/>
  <c r="I27" i="7" s="1"/>
  <c r="C27" i="7"/>
  <c r="H27" i="7" s="1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1" i="7"/>
  <c r="I31" i="7"/>
  <c r="H31" i="7"/>
  <c r="J30" i="7"/>
  <c r="I30" i="7"/>
  <c r="H30" i="7"/>
  <c r="J29" i="7"/>
  <c r="I29" i="7"/>
  <c r="H29" i="7"/>
  <c r="D29" i="7"/>
  <c r="E29" i="7"/>
  <c r="D30" i="7"/>
  <c r="E30" i="7"/>
  <c r="D31" i="7"/>
  <c r="E31" i="7"/>
  <c r="D32" i="7"/>
  <c r="E32" i="7"/>
  <c r="D33" i="7"/>
  <c r="E33" i="7"/>
  <c r="D35" i="7"/>
  <c r="E35" i="7"/>
  <c r="D36" i="7"/>
  <c r="E36" i="7"/>
  <c r="D37" i="7"/>
  <c r="E37" i="7"/>
  <c r="D38" i="7"/>
  <c r="E38" i="7"/>
  <c r="D39" i="7"/>
  <c r="E39" i="7"/>
  <c r="C30" i="7"/>
  <c r="C31" i="7"/>
  <c r="C32" i="7"/>
  <c r="D11" i="5" s="1"/>
  <c r="C33" i="7"/>
  <c r="C35" i="7"/>
  <c r="C36" i="7"/>
  <c r="C37" i="7"/>
  <c r="C38" i="7"/>
  <c r="C39" i="7"/>
  <c r="C29" i="7"/>
  <c r="F15" i="6"/>
  <c r="E15" i="6"/>
  <c r="C15" i="6"/>
  <c r="E14" i="6"/>
  <c r="C14" i="6"/>
  <c r="E13" i="6"/>
  <c r="F13" i="6" s="1"/>
  <c r="C13" i="6"/>
  <c r="E12" i="6"/>
  <c r="C12" i="6"/>
  <c r="E11" i="6"/>
  <c r="F11" i="6" s="1"/>
  <c r="C11" i="6"/>
  <c r="E10" i="6"/>
  <c r="F10" i="6" s="1"/>
  <c r="C10" i="6"/>
  <c r="E9" i="6"/>
  <c r="C9" i="6"/>
  <c r="E8" i="6"/>
  <c r="F8" i="6" s="1"/>
  <c r="C8" i="6"/>
  <c r="E7" i="6"/>
  <c r="F7" i="6" s="1"/>
  <c r="C7" i="6"/>
  <c r="E6" i="6"/>
  <c r="F6" i="6" s="1"/>
  <c r="C6" i="6"/>
  <c r="E5" i="6"/>
  <c r="C5" i="6"/>
  <c r="C16" i="6" s="1"/>
  <c r="N11" i="5" l="1"/>
  <c r="H11" i="5"/>
  <c r="D16" i="5"/>
  <c r="O29" i="7"/>
  <c r="O30" i="7"/>
  <c r="D17" i="5"/>
  <c r="D14" i="5"/>
  <c r="D12" i="5"/>
  <c r="D8" i="5"/>
  <c r="D10" i="5"/>
  <c r="D18" i="5"/>
  <c r="D9" i="5"/>
  <c r="D13" i="5"/>
  <c r="D15" i="5"/>
  <c r="E16" i="6"/>
  <c r="F12" i="6"/>
  <c r="F9" i="6"/>
  <c r="F14" i="6"/>
  <c r="F5" i="6"/>
  <c r="N15" i="5" l="1"/>
  <c r="H15" i="5"/>
  <c r="N12" i="5"/>
  <c r="H12" i="5"/>
  <c r="N9" i="5"/>
  <c r="H9" i="5"/>
  <c r="N18" i="5"/>
  <c r="H18" i="5"/>
  <c r="N14" i="5"/>
  <c r="H14" i="5"/>
  <c r="N17" i="5"/>
  <c r="H17" i="5"/>
  <c r="N13" i="5"/>
  <c r="H13" i="5"/>
  <c r="N16" i="5"/>
  <c r="H16" i="5"/>
  <c r="N10" i="5"/>
  <c r="H10" i="5"/>
  <c r="N8" i="5"/>
  <c r="H8" i="5"/>
  <c r="O31" i="7"/>
  <c r="E7" i="5"/>
  <c r="F16" i="6"/>
  <c r="D7" i="5" l="1"/>
  <c r="B18" i="5"/>
  <c r="B15" i="5"/>
  <c r="B10" i="5"/>
  <c r="B5" i="5"/>
  <c r="P6" i="4"/>
  <c r="O12" i="4"/>
  <c r="B7" i="4"/>
  <c r="B9" i="5" s="1"/>
  <c r="D7" i="4"/>
  <c r="D8" i="4"/>
  <c r="B9" i="4"/>
  <c r="B11" i="5" s="1"/>
  <c r="D9" i="4"/>
  <c r="B10" i="4"/>
  <c r="B12" i="5" s="1"/>
  <c r="D10" i="4"/>
  <c r="B11" i="4"/>
  <c r="B13" i="5" s="1"/>
  <c r="D11" i="4"/>
  <c r="B12" i="4"/>
  <c r="B14" i="5" s="1"/>
  <c r="D12" i="4"/>
  <c r="D13" i="4"/>
  <c r="B14" i="4"/>
  <c r="B16" i="5" s="1"/>
  <c r="D14" i="4"/>
  <c r="B15" i="4"/>
  <c r="B17" i="5" s="1"/>
  <c r="D15" i="4"/>
  <c r="D16" i="4"/>
  <c r="D6" i="4"/>
  <c r="N6" i="4" s="1"/>
  <c r="B6" i="4"/>
  <c r="B8" i="5" s="1"/>
  <c r="N13" i="4" l="1"/>
  <c r="S13" i="4"/>
  <c r="T13" i="4"/>
  <c r="U13" i="4"/>
  <c r="R13" i="4"/>
  <c r="O14" i="4"/>
  <c r="E16" i="5" s="1"/>
  <c r="F16" i="5" s="1"/>
  <c r="U14" i="4"/>
  <c r="S14" i="4"/>
  <c r="R14" i="4"/>
  <c r="T14" i="4"/>
  <c r="N9" i="4"/>
  <c r="T9" i="4"/>
  <c r="U9" i="4"/>
  <c r="R9" i="4"/>
  <c r="S9" i="4"/>
  <c r="P12" i="4"/>
  <c r="S12" i="4"/>
  <c r="T12" i="4"/>
  <c r="U12" i="4"/>
  <c r="R12" i="4"/>
  <c r="N8" i="4"/>
  <c r="R8" i="4"/>
  <c r="S8" i="4"/>
  <c r="T8" i="4"/>
  <c r="U8" i="4"/>
  <c r="O6" i="4"/>
  <c r="U6" i="4"/>
  <c r="R6" i="4"/>
  <c r="S6" i="4"/>
  <c r="T6" i="4"/>
  <c r="O7" i="4"/>
  <c r="S7" i="4"/>
  <c r="T7" i="4"/>
  <c r="U7" i="4"/>
  <c r="R7" i="4"/>
  <c r="N16" i="4"/>
  <c r="R16" i="4"/>
  <c r="S16" i="4"/>
  <c r="T16" i="4"/>
  <c r="U16" i="4"/>
  <c r="M11" i="4"/>
  <c r="R11" i="4"/>
  <c r="S11" i="4"/>
  <c r="T11" i="4"/>
  <c r="U11" i="4"/>
  <c r="M6" i="4"/>
  <c r="E8" i="5" s="1"/>
  <c r="F8" i="5" s="1"/>
  <c r="O15" i="4"/>
  <c r="S15" i="4"/>
  <c r="T15" i="4"/>
  <c r="U15" i="4"/>
  <c r="R15" i="4"/>
  <c r="N10" i="4"/>
  <c r="S10" i="4"/>
  <c r="R10" i="4"/>
  <c r="T10" i="4"/>
  <c r="U10" i="4"/>
  <c r="N14" i="4"/>
  <c r="N7" i="5"/>
  <c r="H7" i="5"/>
  <c r="I7" i="5" s="1"/>
  <c r="F7" i="5"/>
  <c r="P14" i="4"/>
  <c r="N7" i="4"/>
  <c r="M16" i="4"/>
  <c r="N12" i="4"/>
  <c r="M14" i="4"/>
  <c r="O11" i="4"/>
  <c r="M9" i="4"/>
  <c r="P9" i="4"/>
  <c r="M8" i="4"/>
  <c r="O9" i="4"/>
  <c r="P16" i="4"/>
  <c r="P8" i="4"/>
  <c r="M15" i="4"/>
  <c r="M7" i="4"/>
  <c r="P11" i="4"/>
  <c r="N15" i="4"/>
  <c r="M13" i="4"/>
  <c r="O16" i="4"/>
  <c r="P13" i="4"/>
  <c r="N11" i="4"/>
  <c r="O8" i="4"/>
  <c r="M12" i="4"/>
  <c r="O13" i="4"/>
  <c r="P10" i="4"/>
  <c r="P15" i="4"/>
  <c r="O10" i="4"/>
  <c r="P7" i="4"/>
  <c r="M10" i="4"/>
  <c r="D25" i="1"/>
  <c r="E11" i="5" l="1"/>
  <c r="F11" i="5" s="1"/>
  <c r="E9" i="5"/>
  <c r="F9" i="5" s="1"/>
  <c r="E17" i="5"/>
  <c r="F17" i="5" s="1"/>
  <c r="E14" i="5"/>
  <c r="F14" i="5" s="1"/>
  <c r="E18" i="5"/>
  <c r="F18" i="5" s="1"/>
  <c r="E10" i="5"/>
  <c r="F10" i="5" s="1"/>
  <c r="E12" i="5"/>
  <c r="F12" i="5" s="1"/>
  <c r="E15" i="5"/>
  <c r="F15" i="5" s="1"/>
  <c r="E13" i="5"/>
  <c r="F13" i="5" s="1"/>
  <c r="I16" i="5"/>
  <c r="L16" i="5" s="1"/>
  <c r="I8" i="5"/>
  <c r="L23" i="1"/>
  <c r="L24" i="1"/>
  <c r="L25" i="1"/>
  <c r="L26" i="1"/>
  <c r="L27" i="1"/>
  <c r="L28" i="1"/>
  <c r="L29" i="1"/>
  <c r="L30" i="1"/>
  <c r="L31" i="1"/>
  <c r="L32" i="1"/>
  <c r="L22" i="1"/>
  <c r="I11" i="5" l="1"/>
  <c r="L11" i="5" s="1"/>
  <c r="I17" i="5"/>
  <c r="L17" i="5" s="1"/>
  <c r="I12" i="5"/>
  <c r="L12" i="5" s="1"/>
  <c r="I9" i="5"/>
  <c r="L9" i="5" s="1"/>
  <c r="I14" i="5"/>
  <c r="L14" i="5" s="1"/>
  <c r="I15" i="5"/>
  <c r="L15" i="5" s="1"/>
  <c r="I13" i="5"/>
  <c r="L13" i="5" s="1"/>
  <c r="I10" i="5"/>
  <c r="L10" i="5" s="1"/>
  <c r="I18" i="5"/>
  <c r="L18" i="5" s="1"/>
  <c r="L8" i="5"/>
  <c r="E6" i="1"/>
  <c r="E7" i="1"/>
  <c r="E8" i="1"/>
  <c r="E9" i="1"/>
  <c r="E10" i="1"/>
  <c r="E11" i="1"/>
  <c r="E12" i="1"/>
  <c r="E13" i="1"/>
  <c r="E14" i="1"/>
  <c r="E15" i="1"/>
  <c r="H6" i="1"/>
  <c r="H7" i="1"/>
  <c r="H8" i="1"/>
  <c r="H9" i="1"/>
  <c r="H10" i="1"/>
  <c r="H11" i="1"/>
  <c r="H12" i="1"/>
  <c r="H13" i="1"/>
  <c r="H14" i="1"/>
  <c r="H15" i="1"/>
  <c r="I6" i="1" l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K14" i="1" s="1"/>
  <c r="I15" i="1"/>
  <c r="J15" i="1"/>
  <c r="L7" i="5" l="1"/>
  <c r="K10" i="1"/>
  <c r="K7" i="1"/>
  <c r="K6" i="1"/>
  <c r="K11" i="1"/>
  <c r="K9" i="1"/>
  <c r="K12" i="1"/>
  <c r="K15" i="1"/>
  <c r="K13" i="1"/>
  <c r="K8" i="1"/>
  <c r="H5" i="1" l="1"/>
  <c r="E5" i="1"/>
  <c r="J5" i="1" l="1"/>
  <c r="I5" i="1"/>
  <c r="K5" i="1" l="1"/>
  <c r="N5" i="1"/>
  <c r="M6" i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N16" i="1" s="1"/>
  <c r="N15" i="1" l="1"/>
  <c r="N9" i="1"/>
  <c r="N13" i="1"/>
  <c r="N12" i="1"/>
  <c r="N8" i="1"/>
  <c r="N11" i="1"/>
  <c r="N7" i="1"/>
  <c r="N14" i="1"/>
  <c r="N10" i="1"/>
  <c r="N6" i="1"/>
</calcChain>
</file>

<file path=xl/sharedStrings.xml><?xml version="1.0" encoding="utf-8"?>
<sst xmlns="http://schemas.openxmlformats.org/spreadsheetml/2006/main" count="274" uniqueCount="134">
  <si>
    <t>Residential Blended Rate $/kWh</t>
  </si>
  <si>
    <t>Statewide Average Blended Residential Rate
$/kWh</t>
  </si>
  <si>
    <t>Applicable Blended Residential Rate $/kWh</t>
  </si>
  <si>
    <t>Barton</t>
  </si>
  <si>
    <t>Enosburg</t>
  </si>
  <si>
    <t>Hardwick - Residential</t>
  </si>
  <si>
    <t>Hyde Park</t>
  </si>
  <si>
    <t>Jacksonville</t>
  </si>
  <si>
    <t>Johnson</t>
  </si>
  <si>
    <t xml:space="preserve">Ludlow </t>
  </si>
  <si>
    <t>Lyndonville</t>
  </si>
  <si>
    <t>Morrisville - Residential</t>
  </si>
  <si>
    <t>Northfield</t>
  </si>
  <si>
    <t>Orleans</t>
  </si>
  <si>
    <t>Swanton*</t>
  </si>
  <si>
    <t>* Swanton does not have inclining block rates, the "NYPA" block was elminated as of August 2015</t>
  </si>
  <si>
    <t>VPPSA Municipal-Specific Blended Rate Calculations Using 2017 data; Applicable 07/01/18</t>
  </si>
  <si>
    <t>Customer Charge $</t>
  </si>
  <si>
    <t>NYPA Revenue</t>
  </si>
  <si>
    <t>Tailblock Revenue</t>
  </si>
  <si>
    <t>NYPA kWh</t>
  </si>
  <si>
    <t>Tailblock kWh</t>
  </si>
  <si>
    <t>A</t>
  </si>
  <si>
    <t>B</t>
  </si>
  <si>
    <t>C</t>
  </si>
  <si>
    <t>E</t>
  </si>
  <si>
    <t>K</t>
  </si>
  <si>
    <t>Total
Residential Revenue</t>
  </si>
  <si>
    <t>Enosburg***</t>
  </si>
  <si>
    <t>Eligible 
Residential Energy kWh</t>
  </si>
  <si>
    <t>Total
 Residential
kWh</t>
  </si>
  <si>
    <t xml:space="preserve">
Residential Energy  $</t>
  </si>
  <si>
    <t>General Residential Rate per Rule 5.127</t>
  </si>
  <si>
    <t>Ludlow</t>
  </si>
  <si>
    <t xml:space="preserve">D = A+B+C </t>
  </si>
  <si>
    <t>F</t>
  </si>
  <si>
    <t>G = E + F</t>
  </si>
  <si>
    <t>H = B + C</t>
  </si>
  <si>
    <t>I = E + F</t>
  </si>
  <si>
    <t>J = H / I</t>
  </si>
  <si>
    <t>L</t>
  </si>
  <si>
    <t>Lesser of  J, K, L</t>
  </si>
  <si>
    <t>Current General Residential Tariff 
Tail Block Rate $/KwH</t>
  </si>
  <si>
    <t>cust chg from Clay</t>
  </si>
  <si>
    <t>Member</t>
  </si>
  <si>
    <t>$/kWh</t>
  </si>
  <si>
    <t>kWh/Year</t>
  </si>
  <si>
    <t>Using 2017 data; Applicable 07/01/18</t>
  </si>
  <si>
    <t>Category I</t>
  </si>
  <si>
    <t>Category II</t>
  </si>
  <si>
    <t>Category III</t>
  </si>
  <si>
    <t>Category IV</t>
  </si>
  <si>
    <t>Hardwick</t>
  </si>
  <si>
    <t>Morrisville</t>
  </si>
  <si>
    <t>Swanton</t>
  </si>
  <si>
    <t>Net Metering</t>
  </si>
  <si>
    <t>RECs Transferred to Utility</t>
  </si>
  <si>
    <t>Net-Metered Compensation Rates</t>
  </si>
  <si>
    <t>Total</t>
  </si>
  <si>
    <t>Solar Only After 7/1/2017</t>
  </si>
  <si>
    <t>Net-Metering Avoided Costs</t>
  </si>
  <si>
    <t>Cross Subsidy</t>
  </si>
  <si>
    <t>Rate Impact</t>
  </si>
  <si>
    <t>2018 Total Retail Sales</t>
  </si>
  <si>
    <t>&amp; Cross Subsidy</t>
  </si>
  <si>
    <t>kWh</t>
  </si>
  <si>
    <t>$</t>
  </si>
  <si>
    <t xml:space="preserve">Total </t>
  </si>
  <si>
    <t>Source: A. Simard, 9/27/2019</t>
  </si>
  <si>
    <t>Post 7/1/2017</t>
  </si>
  <si>
    <t>RECs Retained by Customer</t>
  </si>
  <si>
    <t>N</t>
  </si>
  <si>
    <t>Sum of &lt;=15kW</t>
  </si>
  <si>
    <t>Sum of &gt;15 &amp; &lt;=150 kW</t>
  </si>
  <si>
    <t>Sum of &gt;150 &amp; &lt;=500 kW</t>
  </si>
  <si>
    <t>BARTON</t>
  </si>
  <si>
    <t>JACKSONVILLE</t>
  </si>
  <si>
    <t>JOHNSON</t>
  </si>
  <si>
    <t>LYNDONVILLE</t>
  </si>
  <si>
    <t>NORTHFIELD</t>
  </si>
  <si>
    <t>ORLEANS</t>
  </si>
  <si>
    <t>SWANTON</t>
  </si>
  <si>
    <t>Grand Total</t>
  </si>
  <si>
    <t>Y</t>
  </si>
  <si>
    <t>LUDLOW</t>
  </si>
  <si>
    <t>Utility</t>
  </si>
  <si>
    <t>Solar Net-Metering Production</t>
  </si>
  <si>
    <t>Solar Net Metered Installations (kW)</t>
  </si>
  <si>
    <t>RECs Retained by the Customer</t>
  </si>
  <si>
    <t>NM Compensation</t>
  </si>
  <si>
    <t>Net Metering Rate Impact</t>
  </si>
  <si>
    <t>2018 Peak kW</t>
  </si>
  <si>
    <t>Ave $/kWh</t>
  </si>
  <si>
    <t>Net Metering Penetration</t>
  </si>
  <si>
    <t>NM Energy (kWh/Yr)</t>
  </si>
  <si>
    <t xml:space="preserve">NM Peak (kW) </t>
  </si>
  <si>
    <t>Year</t>
  </si>
  <si>
    <t>VT_1</t>
  </si>
  <si>
    <t>VT_1 - VT_2</t>
  </si>
  <si>
    <t>VT_3</t>
  </si>
  <si>
    <t>kWh/Yr</t>
  </si>
  <si>
    <t>CF%</t>
  </si>
  <si>
    <t>kW Installed</t>
  </si>
  <si>
    <t>REC Adjustor +</t>
  </si>
  <si>
    <t>REC Adjustor    -</t>
  </si>
  <si>
    <t>Retail Sales (kWh)</t>
  </si>
  <si>
    <t>Tier II %</t>
  </si>
  <si>
    <t>RES Requirements - Tier II</t>
  </si>
  <si>
    <t>Cumulative Installed Capacity Required to Meet Tier II</t>
  </si>
  <si>
    <t>YOY Change</t>
  </si>
  <si>
    <t>kW</t>
  </si>
  <si>
    <t>Burlington</t>
  </si>
  <si>
    <t>Accounts (not systems)</t>
  </si>
  <si>
    <t>RECS</t>
  </si>
  <si>
    <t>CATEGORY I</t>
  </si>
  <si>
    <t>CATEGORY II</t>
  </si>
  <si>
    <t>CATEGORY III</t>
  </si>
  <si>
    <t>TOTAL</t>
  </si>
  <si>
    <t>AC Capacity</t>
  </si>
  <si>
    <t>Adjustors as of 7/1/2019</t>
  </si>
  <si>
    <t>BED Only</t>
  </si>
  <si>
    <t>Value of Avoided Costs</t>
  </si>
  <si>
    <t>D</t>
  </si>
  <si>
    <t>E / D</t>
  </si>
  <si>
    <t>F = C * $0.076/kWh</t>
  </si>
  <si>
    <t>H</t>
  </si>
  <si>
    <t>G = D - F</t>
  </si>
  <si>
    <t>G / H</t>
  </si>
  <si>
    <t>Source: C. Lamont, 10/15/12019</t>
  </si>
  <si>
    <t>Based on BED's current tariff.</t>
  </si>
  <si>
    <t>Residential Rates</t>
  </si>
  <si>
    <t>Net Metering Capacity</t>
  </si>
  <si>
    <t xml:space="preserve">Net Metering Compensation </t>
  </si>
  <si>
    <t>($/Yr)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</si>
</sst>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.00000_);_(&quot;$&quot;* \(#,##0.00000\);_(&quot;$&quot;* &quot;-&quot;??_);_(@_)"/>
    <numFmt numFmtId="166" formatCode="0.00000"/>
    <numFmt numFmtId="167" formatCode="_(&quot;$&quot;* #,##0_);_(&quot;$&quot;* \(#,##0\);_(&quot;$&quot;* &quot;-&quot;??_);_(@_)"/>
    <numFmt numFmtId="168" formatCode="_(&quot;$&quot;* #,##0.000000_);_(&quot;$&quot;* \(#,##0.000000\);_(&quot;$&quot;* &quot;-&quot;??_);_(@_)"/>
    <numFmt numFmtId="169" formatCode="&quot;$&quot;#,##0"/>
    <numFmt numFmtId="170" formatCode="_(* #,##0.00000_);_(* \(#,##0.00000\);_(* &quot;-&quot;??_);_(@_)"/>
    <numFmt numFmtId="171" formatCode="_(* #,##0.00000_);_(* \(#,##0.00000\);_(* &quot;-&quot;?????_);_(@_)"/>
    <numFmt numFmtId="172" formatCode="0_)"/>
    <numFmt numFmtId="173" formatCode="&quot;$&quot;#,##0.000"/>
    <numFmt numFmtId="174" formatCode="0.0%"/>
    <numFmt numFmtId="175" formatCode="&quot;$&quot;#,##0.0000"/>
  </numFmts>
  <fonts count="34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2"/>
    </font>
    <font>
      <b/>
      <sz val="12"/>
      <color rgb="FF0000FF"/>
      <name val="Times New Roman"/>
      <family val="1"/>
    </font>
    <font>
      <sz val="12"/>
      <color theme="1"/>
      <name val="Arial MT"/>
    </font>
    <font>
      <sz val="11"/>
      <color theme="1"/>
      <name val="Calibri"/>
      <family val="2"/>
    </font>
    <font>
      <b/>
      <sz val="12"/>
      <color rgb="FFFF0000"/>
      <name val="Times New Roman"/>
      <family val="1"/>
    </font>
    <font>
      <sz val="12"/>
      <color rgb="FF0000FF"/>
      <name val="Times New Roman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sz val="12"/>
      <color rgb="FF0000FF"/>
      <name val="Times New Roman"/>
      <family val="1"/>
    </font>
    <font>
      <sz val="12"/>
      <name val="SWISS"/>
    </font>
    <font>
      <sz val="10"/>
      <name val="Times New Roman"/>
      <family val="1"/>
    </font>
    <font>
      <u/>
      <sz val="10"/>
      <color indexed="12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AvenirNext LT Pro Regular"/>
      <family val="2"/>
    </font>
    <font>
      <sz val="12"/>
      <color theme="1"/>
      <name val="AvenirNext LT Pro Regular"/>
      <family val="2"/>
    </font>
    <font>
      <sz val="9"/>
      <color theme="1"/>
      <name val="AvenirNext LT Pro Regular"/>
      <family val="2"/>
    </font>
    <font>
      <u/>
      <sz val="12"/>
      <color theme="10"/>
      <name val="Times New Roman"/>
      <family val="2"/>
    </font>
    <font>
      <b/>
      <sz val="11"/>
      <color theme="1"/>
      <name val="AvenirNext LT Pro Regular"/>
      <family val="2"/>
    </font>
    <font>
      <sz val="11"/>
      <color theme="1"/>
      <name val="AvenirNext LT Pro Regular"/>
      <family val="2"/>
    </font>
    <font>
      <u/>
      <sz val="9"/>
      <color theme="10"/>
      <name val="Times New Roman"/>
      <family val="2"/>
    </font>
    <font>
      <sz val="12"/>
      <color theme="1"/>
      <name val="Avenir Next LT Pro Light"/>
      <family val="2"/>
    </font>
    <font>
      <b/>
      <sz val="12"/>
      <color theme="1"/>
      <name val="Avenir Next LT Pro Light"/>
      <family val="2"/>
    </font>
    <font>
      <b/>
      <sz val="11"/>
      <color theme="1"/>
      <name val="Avenir Next LT Pro Light"/>
      <family val="2"/>
    </font>
    <font>
      <b/>
      <sz val="11"/>
      <name val="Avenir Next LT Pro Light"/>
      <family val="2"/>
    </font>
    <font>
      <sz val="11"/>
      <name val="Avenir Next LT Pro Light"/>
      <family val="2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/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</borders>
  <cellStyleXfs count="29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72" fontId="17" fillId="0" borderId="0"/>
    <xf numFmtId="0" fontId="14" fillId="0" borderId="0"/>
    <xf numFmtId="172" fontId="17" fillId="0" borderId="0"/>
    <xf numFmtId="0" fontId="14" fillId="0" borderId="0"/>
    <xf numFmtId="0" fontId="14" fillId="0" borderId="0"/>
    <xf numFmtId="0" fontId="18" fillId="0" borderId="0"/>
    <xf numFmtId="9" fontId="1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2" fillId="0" borderId="0"/>
  </cellStyleXfs>
  <cellXfs count="1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0" xfId="0" applyFill="1"/>
    <xf numFmtId="44" fontId="0" fillId="0" borderId="0" xfId="0" applyNumberFormat="1" applyFill="1"/>
    <xf numFmtId="164" fontId="7" fillId="0" borderId="0" xfId="1" applyNumberFormat="1" applyFont="1" applyFill="1"/>
    <xf numFmtId="165" fontId="6" fillId="0" borderId="0" xfId="0" applyNumberFormat="1" applyFont="1" applyFill="1"/>
    <xf numFmtId="0" fontId="0" fillId="0" borderId="0" xfId="0" applyAlignment="1">
      <alignment horizontal="right"/>
    </xf>
    <xf numFmtId="4" fontId="0" fillId="0" borderId="0" xfId="0" applyNumberFormat="1"/>
    <xf numFmtId="44" fontId="0" fillId="0" borderId="0" xfId="0" applyNumberFormat="1"/>
    <xf numFmtId="0" fontId="1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166" fontId="8" fillId="2" borderId="0" xfId="0" applyNumberFormat="1" applyFont="1" applyFill="1"/>
    <xf numFmtId="165" fontId="9" fillId="2" borderId="0" xfId="0" applyNumberFormat="1" applyFont="1" applyFill="1" applyAlignment="1">
      <alignment horizontal="center"/>
    </xf>
    <xf numFmtId="166" fontId="0" fillId="2" borderId="0" xfId="0" applyNumberFormat="1" applyFill="1"/>
    <xf numFmtId="165" fontId="12" fillId="0" borderId="0" xfId="2" applyNumberFormat="1" applyFont="1" applyFill="1"/>
    <xf numFmtId="44" fontId="6" fillId="3" borderId="0" xfId="0" applyNumberFormat="1" applyFont="1" applyFill="1" applyAlignment="1">
      <alignment horizontal="center"/>
    </xf>
    <xf numFmtId="164" fontId="7" fillId="3" borderId="0" xfId="1" applyNumberFormat="1" applyFont="1" applyFill="1"/>
    <xf numFmtId="0" fontId="0" fillId="0" borderId="0" xfId="0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0" fillId="5" borderId="0" xfId="0" applyFill="1" applyAlignment="1">
      <alignment horizontal="center"/>
    </xf>
    <xf numFmtId="0" fontId="0" fillId="0" borderId="0" xfId="0" quotePrefix="1" applyFill="1"/>
    <xf numFmtId="164" fontId="0" fillId="0" borderId="0" xfId="1" applyNumberFormat="1" applyFont="1"/>
    <xf numFmtId="167" fontId="0" fillId="0" borderId="0" xfId="0" applyNumberFormat="1"/>
    <xf numFmtId="168" fontId="0" fillId="0" borderId="0" xfId="0" applyNumberFormat="1"/>
    <xf numFmtId="0" fontId="0" fillId="4" borderId="0" xfId="0" applyFill="1"/>
    <xf numFmtId="167" fontId="12" fillId="0" borderId="0" xfId="2" applyNumberFormat="1" applyFont="1"/>
    <xf numFmtId="164" fontId="12" fillId="0" borderId="0" xfId="1" applyNumberFormat="1" applyFont="1"/>
    <xf numFmtId="167" fontId="0" fillId="3" borderId="0" xfId="2" applyNumberFormat="1" applyFont="1" applyFill="1"/>
    <xf numFmtId="0" fontId="0" fillId="3" borderId="0" xfId="0" applyFill="1"/>
    <xf numFmtId="165" fontId="12" fillId="3" borderId="0" xfId="2" applyNumberFormat="1" applyFont="1" applyFill="1" applyAlignment="1">
      <alignment horizontal="center"/>
    </xf>
    <xf numFmtId="0" fontId="12" fillId="0" borderId="0" xfId="0" applyFont="1" applyFill="1"/>
    <xf numFmtId="169" fontId="12" fillId="0" borderId="0" xfId="0" applyNumberFormat="1" applyFont="1"/>
    <xf numFmtId="167" fontId="12" fillId="0" borderId="0" xfId="2" applyNumberFormat="1" applyFont="1" applyFill="1"/>
    <xf numFmtId="164" fontId="12" fillId="0" borderId="0" xfId="1" applyNumberFormat="1" applyFont="1" applyFill="1"/>
    <xf numFmtId="167" fontId="15" fillId="0" borderId="0" xfId="2" applyNumberFormat="1" applyFont="1"/>
    <xf numFmtId="0" fontId="8" fillId="4" borderId="0" xfId="0" applyFont="1" applyFill="1" applyAlignment="1">
      <alignment wrapText="1"/>
    </xf>
    <xf numFmtId="167" fontId="0" fillId="0" borderId="0" xfId="0" applyNumberFormat="1" applyFill="1"/>
    <xf numFmtId="164" fontId="0" fillId="0" borderId="0" xfId="1" applyNumberFormat="1" applyFont="1" applyFill="1"/>
    <xf numFmtId="170" fontId="10" fillId="0" borderId="0" xfId="1" applyNumberFormat="1" applyFont="1"/>
    <xf numFmtId="167" fontId="16" fillId="0" borderId="0" xfId="2" applyNumberFormat="1" applyFont="1" applyProtection="1"/>
    <xf numFmtId="171" fontId="0" fillId="0" borderId="0" xfId="0" applyNumberFormat="1"/>
    <xf numFmtId="0" fontId="0" fillId="0" borderId="2" xfId="0" applyFill="1" applyBorder="1"/>
    <xf numFmtId="170" fontId="0" fillId="0" borderId="0" xfId="0" applyNumberFormat="1"/>
    <xf numFmtId="166" fontId="9" fillId="0" borderId="0" xfId="0" applyNumberFormat="1" applyFont="1"/>
    <xf numFmtId="166" fontId="0" fillId="0" borderId="0" xfId="0" applyNumberFormat="1"/>
    <xf numFmtId="164" fontId="0" fillId="0" borderId="0" xfId="1" applyNumberFormat="1" applyFont="1" applyBorder="1"/>
    <xf numFmtId="164" fontId="0" fillId="0" borderId="1" xfId="1" applyNumberFormat="1" applyFont="1" applyBorder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1" fillId="2" borderId="3" xfId="0" applyFont="1" applyFill="1" applyBorder="1" applyAlignment="1">
      <alignment wrapText="1"/>
    </xf>
    <xf numFmtId="0" fontId="22" fillId="0" borderId="0" xfId="0" applyFont="1" applyAlignment="1">
      <alignment wrapText="1"/>
    </xf>
    <xf numFmtId="3" fontId="22" fillId="0" borderId="3" xfId="0" applyNumberFormat="1" applyFont="1" applyBorder="1" applyAlignment="1">
      <alignment horizontal="center"/>
    </xf>
    <xf numFmtId="0" fontId="25" fillId="0" borderId="0" xfId="0" applyFont="1"/>
    <xf numFmtId="0" fontId="26" fillId="0" borderId="0" xfId="0" applyFont="1"/>
    <xf numFmtId="0" fontId="25" fillId="2" borderId="3" xfId="0" applyFont="1" applyFill="1" applyBorder="1" applyAlignment="1">
      <alignment vertical="center" wrapText="1"/>
    </xf>
    <xf numFmtId="173" fontId="25" fillId="2" borderId="3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6" fillId="0" borderId="3" xfId="0" applyFont="1" applyBorder="1"/>
    <xf numFmtId="173" fontId="26" fillId="0" borderId="3" xfId="0" applyNumberFormat="1" applyFont="1" applyBorder="1" applyAlignment="1">
      <alignment horizontal="center"/>
    </xf>
    <xf numFmtId="0" fontId="27" fillId="0" borderId="0" xfId="26" applyFont="1"/>
    <xf numFmtId="9" fontId="25" fillId="2" borderId="3" xfId="25" applyFont="1" applyFill="1" applyBorder="1" applyAlignment="1">
      <alignment horizontal="center" vertical="center" wrapText="1"/>
    </xf>
    <xf numFmtId="173" fontId="25" fillId="2" borderId="3" xfId="25" applyNumberFormat="1" applyFont="1" applyFill="1" applyBorder="1" applyAlignment="1">
      <alignment horizontal="center" vertical="center" wrapText="1"/>
    </xf>
    <xf numFmtId="169" fontId="26" fillId="0" borderId="3" xfId="0" applyNumberFormat="1" applyFont="1" applyBorder="1" applyAlignment="1">
      <alignment horizontal="center"/>
    </xf>
    <xf numFmtId="174" fontId="26" fillId="0" borderId="3" xfId="25" applyNumberFormat="1" applyFont="1" applyBorder="1" applyAlignment="1">
      <alignment horizontal="center"/>
    </xf>
    <xf numFmtId="44" fontId="20" fillId="0" borderId="0" xfId="27" applyFont="1" applyAlignment="1">
      <alignment horizontal="left"/>
    </xf>
    <xf numFmtId="3" fontId="2" fillId="0" borderId="0" xfId="28" applyNumberFormat="1" applyAlignment="1">
      <alignment horizontal="center"/>
    </xf>
    <xf numFmtId="169" fontId="2" fillId="0" borderId="0" xfId="28" applyNumberFormat="1" applyAlignment="1">
      <alignment horizontal="center"/>
    </xf>
    <xf numFmtId="0" fontId="2" fillId="0" borderId="0" xfId="28"/>
    <xf numFmtId="0" fontId="20" fillId="2" borderId="3" xfId="28" applyFont="1" applyFill="1" applyBorder="1"/>
    <xf numFmtId="3" fontId="20" fillId="2" borderId="3" xfId="28" applyNumberFormat="1" applyFont="1" applyFill="1" applyBorder="1" applyAlignment="1">
      <alignment horizontal="center"/>
    </xf>
    <xf numFmtId="169" fontId="20" fillId="2" borderId="3" xfId="27" applyNumberFormat="1" applyFont="1" applyFill="1" applyBorder="1" applyAlignment="1">
      <alignment horizontal="center" wrapText="1"/>
    </xf>
    <xf numFmtId="0" fontId="20" fillId="0" borderId="3" xfId="28" applyFont="1" applyBorder="1"/>
    <xf numFmtId="3" fontId="2" fillId="0" borderId="3" xfId="28" applyNumberFormat="1" applyBorder="1" applyAlignment="1">
      <alignment horizontal="center"/>
    </xf>
    <xf numFmtId="169" fontId="2" fillId="0" borderId="3" xfId="28" applyNumberFormat="1" applyBorder="1" applyAlignment="1">
      <alignment horizontal="center"/>
    </xf>
    <xf numFmtId="173" fontId="2" fillId="0" borderId="3" xfId="28" applyNumberFormat="1" applyBorder="1" applyAlignment="1">
      <alignment horizontal="center"/>
    </xf>
    <xf numFmtId="3" fontId="20" fillId="0" borderId="3" xfId="28" applyNumberFormat="1" applyFont="1" applyBorder="1" applyAlignment="1">
      <alignment horizontal="center"/>
    </xf>
    <xf numFmtId="169" fontId="20" fillId="0" borderId="3" xfId="28" applyNumberFormat="1" applyFont="1" applyBorder="1" applyAlignment="1">
      <alignment horizontal="center"/>
    </xf>
    <xf numFmtId="0" fontId="21" fillId="0" borderId="0" xfId="0" applyFont="1" applyAlignment="1">
      <alignment wrapText="1"/>
    </xf>
    <xf numFmtId="0" fontId="22" fillId="0" borderId="3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2" borderId="3" xfId="0" applyFont="1" applyFill="1" applyBorder="1" applyAlignment="1">
      <alignment horizontal="center" wrapText="1"/>
    </xf>
    <xf numFmtId="0" fontId="21" fillId="0" borderId="3" xfId="0" applyFont="1" applyBorder="1"/>
    <xf numFmtId="1" fontId="21" fillId="0" borderId="3" xfId="0" applyNumberFormat="1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9" fontId="21" fillId="2" borderId="3" xfId="25" applyFont="1" applyFill="1" applyBorder="1" applyAlignment="1">
      <alignment horizontal="center" wrapText="1"/>
    </xf>
    <xf numFmtId="173" fontId="25" fillId="0" borderId="3" xfId="0" applyNumberFormat="1" applyFont="1" applyBorder="1" applyAlignment="1">
      <alignment horizontal="center"/>
    </xf>
    <xf numFmtId="173" fontId="26" fillId="0" borderId="0" xfId="0" applyNumberFormat="1" applyFont="1"/>
    <xf numFmtId="3" fontId="22" fillId="0" borderId="0" xfId="0" applyNumberFormat="1" applyFont="1"/>
    <xf numFmtId="3" fontId="22" fillId="0" borderId="3" xfId="0" applyNumberFormat="1" applyFont="1" applyBorder="1" applyAlignment="1">
      <alignment horizontal="left"/>
    </xf>
    <xf numFmtId="3" fontId="22" fillId="0" borderId="0" xfId="0" applyNumberFormat="1" applyFont="1" applyAlignment="1">
      <alignment horizontal="center"/>
    </xf>
    <xf numFmtId="3" fontId="21" fillId="2" borderId="3" xfId="0" applyNumberFormat="1" applyFont="1" applyFill="1" applyBorder="1" applyAlignment="1">
      <alignment horizontal="center"/>
    </xf>
    <xf numFmtId="9" fontId="21" fillId="2" borderId="3" xfId="25" applyFont="1" applyFill="1" applyBorder="1" applyAlignment="1">
      <alignment wrapText="1"/>
    </xf>
    <xf numFmtId="3" fontId="26" fillId="0" borderId="3" xfId="0" applyNumberFormat="1" applyFont="1" applyBorder="1" applyAlignment="1">
      <alignment horizontal="center"/>
    </xf>
    <xf numFmtId="0" fontId="28" fillId="0" borderId="0" xfId="0" applyFont="1"/>
    <xf numFmtId="0" fontId="29" fillId="0" borderId="0" xfId="0" applyFont="1"/>
    <xf numFmtId="0" fontId="30" fillId="2" borderId="3" xfId="0" applyFont="1" applyFill="1" applyBorder="1" applyAlignment="1">
      <alignment horizontal="center"/>
    </xf>
    <xf numFmtId="0" fontId="28" fillId="0" borderId="3" xfId="0" applyFont="1" applyBorder="1" applyAlignment="1">
      <alignment horizontal="center"/>
    </xf>
    <xf numFmtId="10" fontId="28" fillId="0" borderId="3" xfId="25" applyNumberFormat="1" applyFont="1" applyBorder="1" applyAlignment="1">
      <alignment horizontal="center"/>
    </xf>
    <xf numFmtId="174" fontId="28" fillId="0" borderId="3" xfId="25" applyNumberFormat="1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3" fontId="32" fillId="0" borderId="3" xfId="25" applyNumberFormat="1" applyFont="1" applyBorder="1" applyAlignment="1">
      <alignment horizontal="center"/>
    </xf>
    <xf numFmtId="9" fontId="28" fillId="0" borderId="3" xfId="25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29" fillId="0" borderId="3" xfId="0" applyFont="1" applyBorder="1"/>
    <xf numFmtId="3" fontId="31" fillId="0" borderId="3" xfId="25" applyNumberFormat="1" applyFont="1" applyBorder="1" applyAlignment="1">
      <alignment horizontal="center"/>
    </xf>
    <xf numFmtId="0" fontId="30" fillId="2" borderId="3" xfId="0" applyFont="1" applyFill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7" xfId="0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33" fillId="0" borderId="8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/>
    </xf>
    <xf numFmtId="9" fontId="26" fillId="0" borderId="0" xfId="25" applyFont="1"/>
    <xf numFmtId="0" fontId="24" fillId="0" borderId="0" xfId="26"/>
    <xf numFmtId="0" fontId="22" fillId="0" borderId="0" xfId="0" applyFont="1" applyBorder="1" applyAlignment="1">
      <alignment horizontal="left"/>
    </xf>
    <xf numFmtId="3" fontId="22" fillId="0" borderId="0" xfId="0" applyNumberFormat="1" applyFont="1" applyBorder="1" applyAlignment="1">
      <alignment horizontal="center"/>
    </xf>
    <xf numFmtId="3" fontId="22" fillId="0" borderId="0" xfId="0" applyNumberFormat="1" applyFont="1" applyBorder="1" applyAlignment="1">
      <alignment horizontal="left"/>
    </xf>
    <xf numFmtId="173" fontId="20" fillId="0" borderId="3" xfId="28" applyNumberFormat="1" applyFont="1" applyBorder="1" applyAlignment="1">
      <alignment horizontal="center"/>
    </xf>
    <xf numFmtId="175" fontId="26" fillId="0" borderId="3" xfId="0" applyNumberFormat="1" applyFont="1" applyBorder="1" applyAlignment="1">
      <alignment horizontal="center"/>
    </xf>
    <xf numFmtId="0" fontId="1" fillId="0" borderId="0" xfId="28" applyFont="1"/>
    <xf numFmtId="0" fontId="25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3" fontId="21" fillId="2" borderId="3" xfId="0" applyNumberFormat="1" applyFont="1" applyFill="1" applyBorder="1" applyAlignment="1">
      <alignment horizontal="center"/>
    </xf>
    <xf numFmtId="3" fontId="21" fillId="2" borderId="4" xfId="0" applyNumberFormat="1" applyFont="1" applyFill="1" applyBorder="1" applyAlignment="1">
      <alignment horizontal="center"/>
    </xf>
    <xf numFmtId="3" fontId="21" fillId="2" borderId="5" xfId="0" applyNumberFormat="1" applyFont="1" applyFill="1" applyBorder="1" applyAlignment="1">
      <alignment horizontal="center"/>
    </xf>
    <xf numFmtId="3" fontId="21" fillId="2" borderId="6" xfId="0" applyNumberFormat="1" applyFont="1" applyFill="1" applyBorder="1" applyAlignment="1">
      <alignment horizontal="center"/>
    </xf>
  </cellXfs>
  <cellStyles count="29">
    <cellStyle name="Comma" xfId="1" builtinId="3"/>
    <cellStyle name="Comma 2" xfId="9" xr:uid="{00000000-0005-0000-0000-000001000000}"/>
    <cellStyle name="Comma 3" xfId="10" xr:uid="{00000000-0005-0000-0000-000002000000}"/>
    <cellStyle name="Comma 4" xfId="11" xr:uid="{00000000-0005-0000-0000-000003000000}"/>
    <cellStyle name="Comma 5" xfId="8" xr:uid="{00000000-0005-0000-0000-000035000000}"/>
    <cellStyle name="Currency" xfId="2" builtinId="4"/>
    <cellStyle name="Currency 2" xfId="4" xr:uid="{00000000-0005-0000-0000-00002F000000}"/>
    <cellStyle name="Currency 2 2" xfId="13" xr:uid="{00000000-0005-0000-0000-000005000000}"/>
    <cellStyle name="Currency 3" xfId="14" xr:uid="{00000000-0005-0000-0000-000006000000}"/>
    <cellStyle name="Currency 4" xfId="12" xr:uid="{00000000-0005-0000-0000-000039000000}"/>
    <cellStyle name="Currency 5" xfId="27" xr:uid="{3E65A0A2-15DA-4077-A495-C9BCD250E557}"/>
    <cellStyle name="Hyperlink" xfId="26" builtinId="8"/>
    <cellStyle name="Hyperlink 2" xfId="15" xr:uid="{00000000-0005-0000-0000-00003C000000}"/>
    <cellStyle name="Normal" xfId="0" builtinId="0"/>
    <cellStyle name="Normal 2" xfId="5" xr:uid="{00000000-0005-0000-0000-00002F000000}"/>
    <cellStyle name="Normal 2 2" xfId="16" xr:uid="{00000000-0005-0000-0000-000009000000}"/>
    <cellStyle name="Normal 3" xfId="3" xr:uid="{00000000-0005-0000-0000-000030000000}"/>
    <cellStyle name="Normal 3 2" xfId="17" xr:uid="{00000000-0005-0000-0000-00000A000000}"/>
    <cellStyle name="Normal 4" xfId="18" xr:uid="{00000000-0005-0000-0000-00000B000000}"/>
    <cellStyle name="Normal 5" xfId="19" xr:uid="{00000000-0005-0000-0000-00000C000000}"/>
    <cellStyle name="Normal 6" xfId="20" xr:uid="{00000000-0005-0000-0000-00000D000000}"/>
    <cellStyle name="Normal 7" xfId="21" xr:uid="{00000000-0005-0000-0000-00000E000000}"/>
    <cellStyle name="Normal 8" xfId="7" xr:uid="{00000000-0005-0000-0000-00003D000000}"/>
    <cellStyle name="Normal 9" xfId="28" xr:uid="{3A18E1E8-98BE-4E2E-AAD9-99197B1C188E}"/>
    <cellStyle name="Percent" xfId="25" builtinId="5"/>
    <cellStyle name="Percent 2" xfId="6" xr:uid="{00000000-0005-0000-0000-000030000000}"/>
    <cellStyle name="Percent 2 2" xfId="23" xr:uid="{00000000-0005-0000-0000-00001B000000}"/>
    <cellStyle name="Percent 3" xfId="24" xr:uid="{00000000-0005-0000-0000-00001C000000}"/>
    <cellStyle name="Percent 4" xfId="22" xr:uid="{00000000-0005-0000-0000-00004F000000}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ulatory/Net-Metering/2019/DGFWG%20&amp;%20Tier%20II%20REC%20Spreadsheet/2018_VPPSA_Member_Retail_S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Retail Sales"/>
      <sheetName val="Barton"/>
      <sheetName val="Enosburg"/>
      <sheetName val="Hardwick"/>
      <sheetName val="Hyde Park"/>
      <sheetName val="Jacksonville"/>
      <sheetName val="Johnson"/>
      <sheetName val="Ludlow"/>
      <sheetName val="Lyndonville"/>
      <sheetName val="Morrisville"/>
      <sheetName val="Northfield"/>
      <sheetName val="Orleans"/>
      <sheetName val="Swanton"/>
    </sheetNames>
    <sheetDataSet>
      <sheetData sheetId="0"/>
      <sheetData sheetId="1">
        <row r="20">
          <cell r="D20">
            <v>13646122</v>
          </cell>
          <cell r="E20">
            <v>2746877.47</v>
          </cell>
        </row>
      </sheetData>
      <sheetData sheetId="2">
        <row r="20">
          <cell r="D20">
            <v>26848098.381654173</v>
          </cell>
          <cell r="E20">
            <v>4133234.1348000001</v>
          </cell>
        </row>
      </sheetData>
      <sheetData sheetId="3">
        <row r="20">
          <cell r="D20">
            <v>33545766</v>
          </cell>
          <cell r="E20">
            <v>5882109</v>
          </cell>
        </row>
      </sheetData>
      <sheetData sheetId="4"/>
      <sheetData sheetId="5">
        <row r="20">
          <cell r="D20">
            <v>4987290.1500000004</v>
          </cell>
          <cell r="E20">
            <v>856821.70000000007</v>
          </cell>
        </row>
      </sheetData>
      <sheetData sheetId="6">
        <row r="20">
          <cell r="D20">
            <v>12509490.99</v>
          </cell>
          <cell r="E20">
            <v>2141034.9299999997</v>
          </cell>
        </row>
      </sheetData>
      <sheetData sheetId="7">
        <row r="20">
          <cell r="D20">
            <v>54579417</v>
          </cell>
          <cell r="E20">
            <v>8078203.8400000008</v>
          </cell>
        </row>
      </sheetData>
      <sheetData sheetId="8">
        <row r="20">
          <cell r="D20">
            <v>58532590</v>
          </cell>
          <cell r="E20">
            <v>9207999.4900000002</v>
          </cell>
        </row>
      </sheetData>
      <sheetData sheetId="9">
        <row r="20">
          <cell r="D20">
            <v>45788872</v>
          </cell>
          <cell r="E20">
            <v>7081487</v>
          </cell>
        </row>
      </sheetData>
      <sheetData sheetId="10">
        <row r="20">
          <cell r="D20">
            <v>28217275</v>
          </cell>
          <cell r="E20">
            <v>3769911.5899999994</v>
          </cell>
        </row>
      </sheetData>
      <sheetData sheetId="11">
        <row r="20">
          <cell r="D20">
            <v>13690057</v>
          </cell>
          <cell r="E20">
            <v>1936890.75</v>
          </cell>
        </row>
      </sheetData>
      <sheetData sheetId="12">
        <row r="20">
          <cell r="D20">
            <v>54619790</v>
          </cell>
          <cell r="E20">
            <v>7043131.1000000006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2C27C-C2F2-4949-B59D-115D1121C375}">
  <sheetPr>
    <tabColor theme="0" tint="-0.14999847407452621"/>
  </sheetPr>
  <dimension ref="B2:F21"/>
  <sheetViews>
    <sheetView tabSelected="1" workbookViewId="0"/>
  </sheetViews>
  <sheetFormatPr defaultRowHeight="15"/>
  <cols>
    <col min="1" max="1" width="3.75" style="74" customWidth="1"/>
    <col min="2" max="2" width="12" style="74" customWidth="1"/>
    <col min="3" max="4" width="12" style="72" customWidth="1"/>
    <col min="5" max="5" width="12" style="73" customWidth="1"/>
    <col min="6" max="6" width="12" style="74" customWidth="1"/>
    <col min="7" max="16384" width="9" style="74"/>
  </cols>
  <sheetData>
    <row r="2" spans="2:6">
      <c r="B2" s="71" t="s">
        <v>63</v>
      </c>
    </row>
    <row r="3" spans="2:6">
      <c r="B3" s="71"/>
    </row>
    <row r="4" spans="2:6">
      <c r="B4" s="75" t="s">
        <v>44</v>
      </c>
      <c r="C4" s="76" t="s">
        <v>65</v>
      </c>
      <c r="D4" s="76" t="s">
        <v>91</v>
      </c>
      <c r="E4" s="77" t="s">
        <v>66</v>
      </c>
      <c r="F4" s="77" t="s">
        <v>45</v>
      </c>
    </row>
    <row r="5" spans="2:6">
      <c r="B5" s="78" t="s">
        <v>3</v>
      </c>
      <c r="C5" s="79">
        <f>[1]Barton!D20</f>
        <v>13646122</v>
      </c>
      <c r="D5" s="79">
        <v>2894.1</v>
      </c>
      <c r="E5" s="80">
        <f>[1]Barton!E20</f>
        <v>2746877.47</v>
      </c>
      <c r="F5" s="81">
        <f>+E5/C5</f>
        <v>0.20129363272583964</v>
      </c>
    </row>
    <row r="6" spans="2:6">
      <c r="B6" s="78" t="s">
        <v>4</v>
      </c>
      <c r="C6" s="79">
        <f>[1]Enosburg!D20</f>
        <v>26848098.381654173</v>
      </c>
      <c r="D6" s="79">
        <v>4737.2199999999993</v>
      </c>
      <c r="E6" s="80">
        <f>[1]Enosburg!E20</f>
        <v>4133234.1348000001</v>
      </c>
      <c r="F6" s="81">
        <f t="shared" ref="F6:F16" si="0">+E6/C6</f>
        <v>0.15394885984268886</v>
      </c>
    </row>
    <row r="7" spans="2:6">
      <c r="B7" s="78" t="s">
        <v>52</v>
      </c>
      <c r="C7" s="79">
        <f>[1]Hardwick!D20</f>
        <v>33545766</v>
      </c>
      <c r="D7" s="79">
        <v>7164.53</v>
      </c>
      <c r="E7" s="80">
        <f>[1]Hardwick!E20</f>
        <v>5882109</v>
      </c>
      <c r="F7" s="81">
        <f t="shared" si="0"/>
        <v>0.17534579475692999</v>
      </c>
    </row>
    <row r="8" spans="2:6">
      <c r="B8" s="78" t="s">
        <v>7</v>
      </c>
      <c r="C8" s="79">
        <f>[1]Jacksonville!D20</f>
        <v>4987290.1500000004</v>
      </c>
      <c r="D8" s="79">
        <v>1137.54</v>
      </c>
      <c r="E8" s="80">
        <f>[1]Jacksonville!E20</f>
        <v>856821.70000000007</v>
      </c>
      <c r="F8" s="81">
        <f t="shared" si="0"/>
        <v>0.17180105312300709</v>
      </c>
    </row>
    <row r="9" spans="2:6">
      <c r="B9" s="78" t="s">
        <v>8</v>
      </c>
      <c r="C9" s="79">
        <f>[1]Johnson!D20</f>
        <v>12509490.99</v>
      </c>
      <c r="D9" s="79">
        <v>2362.0299999999997</v>
      </c>
      <c r="E9" s="80">
        <f>[1]Johnson!E20</f>
        <v>2141034.9299999997</v>
      </c>
      <c r="F9" s="81">
        <f t="shared" si="0"/>
        <v>0.17115284160734662</v>
      </c>
    </row>
    <row r="10" spans="2:6">
      <c r="B10" s="78" t="s">
        <v>33</v>
      </c>
      <c r="C10" s="79">
        <f>[1]Ludlow!D20</f>
        <v>54579417</v>
      </c>
      <c r="D10" s="79">
        <v>13267.42</v>
      </c>
      <c r="E10" s="80">
        <f>[1]Ludlow!E20</f>
        <v>8078203.8400000008</v>
      </c>
      <c r="F10" s="81">
        <f t="shared" si="0"/>
        <v>0.14800824713829391</v>
      </c>
    </row>
    <row r="11" spans="2:6">
      <c r="B11" s="78" t="s">
        <v>10</v>
      </c>
      <c r="C11" s="79">
        <f>[1]Lyndonville!D20</f>
        <v>58532590</v>
      </c>
      <c r="D11" s="79">
        <v>11919.59</v>
      </c>
      <c r="E11" s="80">
        <f>[1]Lyndonville!E20</f>
        <v>9207999.4900000002</v>
      </c>
      <c r="F11" s="81">
        <f t="shared" si="0"/>
        <v>0.15731406196103745</v>
      </c>
    </row>
    <row r="12" spans="2:6">
      <c r="B12" s="78" t="s">
        <v>53</v>
      </c>
      <c r="C12" s="79">
        <f>[1]Morrisville!D20</f>
        <v>45788872</v>
      </c>
      <c r="D12" s="79">
        <v>8130.32</v>
      </c>
      <c r="E12" s="80">
        <f>[1]Morrisville!E20</f>
        <v>7081487</v>
      </c>
      <c r="F12" s="81">
        <f t="shared" si="0"/>
        <v>0.15465519657265198</v>
      </c>
    </row>
    <row r="13" spans="2:6">
      <c r="B13" s="78" t="s">
        <v>12</v>
      </c>
      <c r="C13" s="79">
        <f>[1]Northfield!D20</f>
        <v>28217275</v>
      </c>
      <c r="D13" s="79">
        <v>5301.1799999999994</v>
      </c>
      <c r="E13" s="80">
        <f>[1]Northfield!E20</f>
        <v>3769911.5899999994</v>
      </c>
      <c r="F13" s="81">
        <f t="shared" si="0"/>
        <v>0.13360296449604009</v>
      </c>
    </row>
    <row r="14" spans="2:6">
      <c r="B14" s="78" t="s">
        <v>13</v>
      </c>
      <c r="C14" s="79">
        <f>[1]Orleans!D20</f>
        <v>13690057</v>
      </c>
      <c r="D14" s="79">
        <v>3271.29</v>
      </c>
      <c r="E14" s="80">
        <f>[1]Orleans!E20</f>
        <v>1936890.75</v>
      </c>
      <c r="F14" s="81">
        <f t="shared" si="0"/>
        <v>0.14148156943393297</v>
      </c>
    </row>
    <row r="15" spans="2:6">
      <c r="B15" s="78" t="s">
        <v>54</v>
      </c>
      <c r="C15" s="79">
        <f>[1]Swanton!D20</f>
        <v>54619790</v>
      </c>
      <c r="D15" s="79">
        <v>10275.09</v>
      </c>
      <c r="E15" s="80">
        <f>[1]Swanton!E20</f>
        <v>7043131.1000000006</v>
      </c>
      <c r="F15" s="81">
        <f t="shared" si="0"/>
        <v>0.12894833722355944</v>
      </c>
    </row>
    <row r="16" spans="2:6">
      <c r="B16" s="78" t="s">
        <v>67</v>
      </c>
      <c r="C16" s="82">
        <f>SUM(C5:C15)</f>
        <v>346964768.52165419</v>
      </c>
      <c r="D16" s="82">
        <f>SUM(D5:D15)</f>
        <v>70460.31</v>
      </c>
      <c r="E16" s="83">
        <f>SUM(E5:E15)</f>
        <v>52877701.004799999</v>
      </c>
      <c r="F16" s="130">
        <f t="shared" si="0"/>
        <v>0.15240077899004287</v>
      </c>
    </row>
    <row r="17" spans="2:6">
      <c r="B17" s="74" t="s">
        <v>68</v>
      </c>
    </row>
    <row r="19" spans="2:6">
      <c r="B19" s="78" t="s">
        <v>111</v>
      </c>
      <c r="C19" s="79">
        <v>333764032</v>
      </c>
      <c r="D19" s="79">
        <v>64680</v>
      </c>
      <c r="E19" s="80">
        <v>47232455</v>
      </c>
      <c r="F19" s="81">
        <f t="shared" ref="F19" si="1">+E19/C19</f>
        <v>0.14151451466166373</v>
      </c>
    </row>
    <row r="20" spans="2:6">
      <c r="B20" s="132" t="s">
        <v>128</v>
      </c>
    </row>
    <row r="21" spans="2:6" ht="15.75">
      <c r="B21" s="12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Q34"/>
  <sheetViews>
    <sheetView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RowHeight="15.75"/>
  <cols>
    <col min="1" max="1" width="24.5" customWidth="1"/>
    <col min="2" max="2" width="11.5" customWidth="1"/>
    <col min="3" max="3" width="19.25" customWidth="1"/>
    <col min="4" max="10" width="14.625" customWidth="1"/>
    <col min="11" max="11" width="17" customWidth="1"/>
    <col min="12" max="12" width="13.375" customWidth="1"/>
    <col min="13" max="13" width="15.625" customWidth="1"/>
    <col min="14" max="14" width="16.875" customWidth="1"/>
    <col min="15" max="15" width="15.125" customWidth="1"/>
    <col min="16" max="16" width="18.25" customWidth="1"/>
  </cols>
  <sheetData>
    <row r="1" spans="1:17" ht="18.75">
      <c r="A1" s="134" t="s">
        <v>16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17">
      <c r="L2" s="1"/>
    </row>
    <row r="3" spans="1:17">
      <c r="B3" t="s">
        <v>22</v>
      </c>
      <c r="C3" t="s">
        <v>23</v>
      </c>
      <c r="D3" t="s">
        <v>24</v>
      </c>
      <c r="E3" t="s">
        <v>34</v>
      </c>
      <c r="F3" t="s">
        <v>25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s="1" t="s">
        <v>26</v>
      </c>
      <c r="M3" s="11" t="s">
        <v>40</v>
      </c>
      <c r="N3" s="11" t="s">
        <v>41</v>
      </c>
    </row>
    <row r="4" spans="1:17" ht="84.75" customHeight="1">
      <c r="A4" s="41" t="s">
        <v>32</v>
      </c>
      <c r="B4" s="20" t="s">
        <v>17</v>
      </c>
      <c r="C4" s="22" t="s">
        <v>18</v>
      </c>
      <c r="D4" s="23" t="s">
        <v>19</v>
      </c>
      <c r="E4" s="20" t="s">
        <v>27</v>
      </c>
      <c r="F4" s="25" t="s">
        <v>20</v>
      </c>
      <c r="G4" s="25" t="s">
        <v>21</v>
      </c>
      <c r="H4" s="20" t="s">
        <v>30</v>
      </c>
      <c r="I4" s="21" t="s">
        <v>31</v>
      </c>
      <c r="J4" s="24" t="s">
        <v>29</v>
      </c>
      <c r="K4" s="3" t="s">
        <v>0</v>
      </c>
      <c r="L4" s="2" t="s">
        <v>42</v>
      </c>
      <c r="M4" s="12" t="s">
        <v>1</v>
      </c>
      <c r="N4" s="13" t="s">
        <v>2</v>
      </c>
      <c r="P4" s="3"/>
    </row>
    <row r="5" spans="1:17" ht="20.100000000000001" customHeight="1">
      <c r="A5" s="4" t="s">
        <v>3</v>
      </c>
      <c r="B5" s="45">
        <v>240208.54</v>
      </c>
      <c r="C5" s="45">
        <v>176417.74080000003</v>
      </c>
      <c r="D5" s="31">
        <v>1484867.9289299997</v>
      </c>
      <c r="E5" s="28">
        <f>SUM(B5:D5)</f>
        <v>1901494.2097299998</v>
      </c>
      <c r="F5" s="32">
        <v>1914255</v>
      </c>
      <c r="G5" s="32">
        <v>7677501</v>
      </c>
      <c r="H5" s="27">
        <f>SUM(F5:G5)</f>
        <v>9591756</v>
      </c>
      <c r="I5" s="5">
        <f t="shared" ref="I5:I15" si="0">C5+D5</f>
        <v>1661285.6697299997</v>
      </c>
      <c r="J5" s="6">
        <f>F5+G5</f>
        <v>9591756</v>
      </c>
      <c r="K5" s="7">
        <f>I5/J5</f>
        <v>0.17319932551766326</v>
      </c>
      <c r="L5" s="17">
        <v>0.19392999999999999</v>
      </c>
      <c r="M5" s="14">
        <v>0.15417</v>
      </c>
      <c r="N5" s="15">
        <f>MIN(K5:M5)</f>
        <v>0.15417</v>
      </c>
      <c r="O5" s="49"/>
      <c r="P5" s="44"/>
      <c r="Q5" s="46"/>
    </row>
    <row r="6" spans="1:17" ht="20.100000000000001" customHeight="1">
      <c r="A6" s="4" t="s">
        <v>4</v>
      </c>
      <c r="B6" s="38">
        <v>105015.25</v>
      </c>
      <c r="C6" s="38">
        <v>70882.673999999999</v>
      </c>
      <c r="D6" s="38">
        <v>1441889.8464000002</v>
      </c>
      <c r="E6" s="42">
        <f t="shared" ref="E6:E15" si="1">SUM(B6:D6)</f>
        <v>1617787.7704000003</v>
      </c>
      <c r="F6" s="39">
        <v>1049181.08348135</v>
      </c>
      <c r="G6" s="39">
        <v>9025349.5643465184</v>
      </c>
      <c r="H6" s="43">
        <f t="shared" ref="H6:H15" si="2">SUM(F6:G6)</f>
        <v>10074530.647827867</v>
      </c>
      <c r="I6" s="5">
        <f t="shared" si="0"/>
        <v>1512772.5204000003</v>
      </c>
      <c r="J6" s="6">
        <f t="shared" ref="J6:J15" si="3">F6+G6</f>
        <v>10074530.647827867</v>
      </c>
      <c r="K6" s="7">
        <f t="shared" ref="K6:K15" si="4">I6/J6</f>
        <v>0.15015811388952036</v>
      </c>
      <c r="L6" s="17">
        <v>0.15976000000000001</v>
      </c>
      <c r="M6" s="16">
        <f>M5</f>
        <v>0.15417</v>
      </c>
      <c r="N6" s="15">
        <f t="shared" ref="N6:N16" si="5">MIN(K6:M6)</f>
        <v>0.15015811388952036</v>
      </c>
      <c r="O6" s="49"/>
      <c r="P6" s="44"/>
      <c r="Q6" s="46"/>
    </row>
    <row r="7" spans="1:17" ht="20.100000000000001" customHeight="1">
      <c r="A7" s="4" t="s">
        <v>5</v>
      </c>
      <c r="B7" s="37">
        <v>508462.90800000005</v>
      </c>
      <c r="C7" s="31">
        <v>278099.41607644409</v>
      </c>
      <c r="D7" s="38">
        <v>3347519.5839235559</v>
      </c>
      <c r="E7" s="28">
        <f t="shared" si="1"/>
        <v>4134081.9079999998</v>
      </c>
      <c r="F7" s="39">
        <v>4424811.7116379328</v>
      </c>
      <c r="G7" s="39">
        <v>18716911.288362067</v>
      </c>
      <c r="H7" s="27">
        <f t="shared" si="2"/>
        <v>23141723</v>
      </c>
      <c r="I7" s="5">
        <f t="shared" si="0"/>
        <v>3625619</v>
      </c>
      <c r="J7" s="6">
        <f t="shared" si="3"/>
        <v>23141723</v>
      </c>
      <c r="K7" s="7">
        <f t="shared" si="4"/>
        <v>0.15667022719094859</v>
      </c>
      <c r="L7" s="17">
        <v>0.17885000000000001</v>
      </c>
      <c r="M7" s="16">
        <f t="shared" ref="M7:M16" si="6">M6</f>
        <v>0.15417</v>
      </c>
      <c r="N7" s="15">
        <f t="shared" si="5"/>
        <v>0.15417</v>
      </c>
      <c r="O7" s="50"/>
      <c r="P7" s="44"/>
      <c r="Q7" s="46"/>
    </row>
    <row r="8" spans="1:17" ht="20.100000000000001" customHeight="1">
      <c r="A8" s="4" t="s">
        <v>6</v>
      </c>
      <c r="B8" s="38">
        <v>235507.03000000003</v>
      </c>
      <c r="C8" s="38">
        <v>192713.59680509617</v>
      </c>
      <c r="D8" s="38">
        <v>956464.90319490386</v>
      </c>
      <c r="E8" s="28">
        <f t="shared" si="1"/>
        <v>1384685.53</v>
      </c>
      <c r="F8" s="39">
        <v>2063977.6888197083</v>
      </c>
      <c r="G8" s="32">
        <v>5718773.7111802921</v>
      </c>
      <c r="H8" s="27">
        <f t="shared" si="2"/>
        <v>7782751.4000000004</v>
      </c>
      <c r="I8" s="5">
        <f t="shared" si="0"/>
        <v>1149178.5</v>
      </c>
      <c r="J8" s="6">
        <f t="shared" si="3"/>
        <v>7782751.4000000004</v>
      </c>
      <c r="K8" s="7">
        <f t="shared" si="4"/>
        <v>0.14765709977579394</v>
      </c>
      <c r="L8" s="17">
        <v>0.16725000000000001</v>
      </c>
      <c r="M8" s="16">
        <f t="shared" si="6"/>
        <v>0.15417</v>
      </c>
      <c r="N8" s="15">
        <f t="shared" si="5"/>
        <v>0.14765709977579394</v>
      </c>
      <c r="O8" s="49"/>
      <c r="P8" s="44"/>
      <c r="Q8" s="46"/>
    </row>
    <row r="9" spans="1:17" ht="20.100000000000001" customHeight="1">
      <c r="A9" s="4" t="s">
        <v>7</v>
      </c>
      <c r="B9" s="38">
        <v>62468.86</v>
      </c>
      <c r="C9" s="40">
        <v>86193.475160000016</v>
      </c>
      <c r="D9" s="38">
        <v>443449.88949999999</v>
      </c>
      <c r="E9" s="28">
        <f t="shared" si="1"/>
        <v>592112.22466000007</v>
      </c>
      <c r="F9" s="39">
        <v>1114763</v>
      </c>
      <c r="G9" s="39">
        <v>2385550</v>
      </c>
      <c r="H9" s="27">
        <f t="shared" si="2"/>
        <v>3500313</v>
      </c>
      <c r="I9" s="5">
        <f t="shared" si="0"/>
        <v>529643.36465999996</v>
      </c>
      <c r="J9" s="6">
        <f t="shared" si="3"/>
        <v>3500313</v>
      </c>
      <c r="K9" s="7">
        <f t="shared" si="4"/>
        <v>0.15131314389884562</v>
      </c>
      <c r="L9" s="17">
        <v>0.18589</v>
      </c>
      <c r="M9" s="16">
        <f t="shared" si="6"/>
        <v>0.15417</v>
      </c>
      <c r="N9" s="15">
        <f t="shared" si="5"/>
        <v>0.15131314389884562</v>
      </c>
      <c r="O9" s="49"/>
      <c r="P9" s="44"/>
      <c r="Q9" s="46"/>
    </row>
    <row r="10" spans="1:17" ht="20.100000000000001" customHeight="1">
      <c r="A10" s="4" t="s">
        <v>8</v>
      </c>
      <c r="B10" s="38">
        <v>114820.19999999995</v>
      </c>
      <c r="C10" s="38">
        <v>94405.720633802848</v>
      </c>
      <c r="D10" s="38">
        <v>652967.27936619718</v>
      </c>
      <c r="E10" s="28">
        <f t="shared" si="1"/>
        <v>862193.2</v>
      </c>
      <c r="F10" s="39">
        <v>897392.78169014119</v>
      </c>
      <c r="G10" s="39">
        <v>4030662.2183098588</v>
      </c>
      <c r="H10" s="27">
        <f t="shared" si="2"/>
        <v>4928055</v>
      </c>
      <c r="I10" s="5">
        <f t="shared" si="0"/>
        <v>747373</v>
      </c>
      <c r="J10" s="6">
        <f t="shared" si="3"/>
        <v>4928055</v>
      </c>
      <c r="K10" s="7">
        <f t="shared" si="4"/>
        <v>0.15165678954475956</v>
      </c>
      <c r="L10" s="17">
        <v>0.16200000000000001</v>
      </c>
      <c r="M10" s="16">
        <f t="shared" si="6"/>
        <v>0.15417</v>
      </c>
      <c r="N10" s="15">
        <f t="shared" si="5"/>
        <v>0.15165678954475956</v>
      </c>
      <c r="O10" s="49"/>
      <c r="P10" s="44"/>
      <c r="Q10" s="46"/>
    </row>
    <row r="11" spans="1:17" ht="20.100000000000001" customHeight="1">
      <c r="A11" s="4" t="s">
        <v>9</v>
      </c>
      <c r="B11" s="38">
        <v>349590.38</v>
      </c>
      <c r="C11" s="38">
        <v>183685.01041570125</v>
      </c>
      <c r="D11" s="38">
        <v>1172738.2495842988</v>
      </c>
      <c r="E11" s="28">
        <f t="shared" si="1"/>
        <v>1706013.6400000001</v>
      </c>
      <c r="F11" s="39">
        <v>3512141.6905487813</v>
      </c>
      <c r="G11" s="39">
        <v>9946889.3094512187</v>
      </c>
      <c r="H11" s="27">
        <f t="shared" si="2"/>
        <v>13459031</v>
      </c>
      <c r="I11" s="5">
        <f t="shared" si="0"/>
        <v>1356423.26</v>
      </c>
      <c r="J11" s="6">
        <f t="shared" si="3"/>
        <v>13459031</v>
      </c>
      <c r="K11" s="7">
        <f t="shared" si="4"/>
        <v>0.1007816431955614</v>
      </c>
      <c r="L11" s="17">
        <v>0.1179</v>
      </c>
      <c r="M11" s="16">
        <f t="shared" si="6"/>
        <v>0.15417</v>
      </c>
      <c r="N11" s="15">
        <f t="shared" si="5"/>
        <v>0.1007816431955614</v>
      </c>
      <c r="O11" s="49"/>
      <c r="P11" s="44"/>
      <c r="Q11" s="46"/>
    </row>
    <row r="12" spans="1:17" ht="20.100000000000001" customHeight="1">
      <c r="A12" s="4" t="s">
        <v>10</v>
      </c>
      <c r="B12" s="38">
        <v>535871</v>
      </c>
      <c r="C12" s="38">
        <v>300344.05547999998</v>
      </c>
      <c r="D12" s="38">
        <v>3831137.9477999997</v>
      </c>
      <c r="E12" s="28">
        <f t="shared" si="1"/>
        <v>4667353.0032799998</v>
      </c>
      <c r="F12" s="39">
        <v>4059252</v>
      </c>
      <c r="G12" s="39">
        <v>25761568</v>
      </c>
      <c r="H12" s="27">
        <f t="shared" si="2"/>
        <v>29820820</v>
      </c>
      <c r="I12" s="5">
        <f t="shared" si="0"/>
        <v>4131482.0032799998</v>
      </c>
      <c r="J12" s="6">
        <f t="shared" si="3"/>
        <v>29820820</v>
      </c>
      <c r="K12" s="7">
        <f t="shared" si="4"/>
        <v>0.13854354116620535</v>
      </c>
      <c r="L12" s="17">
        <v>0.14953</v>
      </c>
      <c r="M12" s="16">
        <f t="shared" si="6"/>
        <v>0.15417</v>
      </c>
      <c r="N12" s="15">
        <f t="shared" si="5"/>
        <v>0.13854354116620535</v>
      </c>
      <c r="O12" s="49"/>
      <c r="P12" s="44"/>
      <c r="Q12" s="46"/>
    </row>
    <row r="13" spans="1:17" ht="20.100000000000001" customHeight="1">
      <c r="A13" s="4" t="s">
        <v>11</v>
      </c>
      <c r="B13" s="38">
        <v>349208.25</v>
      </c>
      <c r="C13" s="38">
        <v>312580.09999999998</v>
      </c>
      <c r="D13" s="38">
        <v>2382797.9999999995</v>
      </c>
      <c r="E13" s="28">
        <f t="shared" si="1"/>
        <v>3044586.3499999996</v>
      </c>
      <c r="F13" s="39">
        <v>3759935</v>
      </c>
      <c r="G13" s="39">
        <v>15556802</v>
      </c>
      <c r="H13" s="27">
        <f t="shared" si="2"/>
        <v>19316737</v>
      </c>
      <c r="I13" s="5">
        <f t="shared" si="0"/>
        <v>2695378.0999999996</v>
      </c>
      <c r="J13" s="6">
        <f t="shared" si="3"/>
        <v>19316737</v>
      </c>
      <c r="K13" s="7">
        <f t="shared" si="4"/>
        <v>0.13953589055957016</v>
      </c>
      <c r="L13" s="17">
        <v>0.15357999999999999</v>
      </c>
      <c r="M13" s="16">
        <f t="shared" si="6"/>
        <v>0.15417</v>
      </c>
      <c r="N13" s="15">
        <f t="shared" si="5"/>
        <v>0.13953589055957016</v>
      </c>
      <c r="O13" s="50"/>
      <c r="P13" s="44"/>
      <c r="Q13" s="46"/>
    </row>
    <row r="14" spans="1:17" ht="20.100000000000001" customHeight="1">
      <c r="A14" s="4" t="s">
        <v>12</v>
      </c>
      <c r="B14" s="38">
        <v>154160.46</v>
      </c>
      <c r="C14" s="38">
        <v>115027.21617</v>
      </c>
      <c r="D14" s="38">
        <v>1102338.2394500002</v>
      </c>
      <c r="E14" s="28">
        <f t="shared" si="1"/>
        <v>1371525.9156200001</v>
      </c>
      <c r="F14" s="39">
        <v>1811167</v>
      </c>
      <c r="G14" s="39">
        <v>8043329</v>
      </c>
      <c r="H14" s="27">
        <f t="shared" si="2"/>
        <v>9854496</v>
      </c>
      <c r="I14" s="5">
        <f t="shared" si="0"/>
        <v>1217365.4556200001</v>
      </c>
      <c r="J14" s="6">
        <f t="shared" si="3"/>
        <v>9854496</v>
      </c>
      <c r="K14" s="7">
        <f t="shared" si="4"/>
        <v>0.12353401489228877</v>
      </c>
      <c r="L14" s="17">
        <v>0.13705000000000001</v>
      </c>
      <c r="M14" s="16">
        <f t="shared" si="6"/>
        <v>0.15417</v>
      </c>
      <c r="N14" s="15">
        <f t="shared" si="5"/>
        <v>0.12353401489228877</v>
      </c>
      <c r="O14" s="50"/>
      <c r="P14" s="44"/>
      <c r="Q14" s="46"/>
    </row>
    <row r="15" spans="1:17" ht="20.100000000000001" customHeight="1">
      <c r="A15" s="4" t="s">
        <v>13</v>
      </c>
      <c r="B15" s="38">
        <v>68646.490000000005</v>
      </c>
      <c r="C15" s="38">
        <v>48119.1</v>
      </c>
      <c r="D15" s="38">
        <v>391879.36</v>
      </c>
      <c r="E15" s="28">
        <f t="shared" si="1"/>
        <v>508644.94999999995</v>
      </c>
      <c r="F15" s="36">
        <v>637508</v>
      </c>
      <c r="G15" s="36">
        <v>3283997</v>
      </c>
      <c r="H15" s="27">
        <f t="shared" si="2"/>
        <v>3921505</v>
      </c>
      <c r="I15" s="5">
        <f t="shared" si="0"/>
        <v>439998.45999999996</v>
      </c>
      <c r="J15" s="6">
        <f t="shared" si="3"/>
        <v>3921505</v>
      </c>
      <c r="K15" s="7">
        <f t="shared" si="4"/>
        <v>0.11220142776816552</v>
      </c>
      <c r="L15" s="17">
        <v>0.11933000000000001</v>
      </c>
      <c r="M15" s="16">
        <f t="shared" si="6"/>
        <v>0.15417</v>
      </c>
      <c r="N15" s="15">
        <f t="shared" si="5"/>
        <v>0.11220142776816552</v>
      </c>
      <c r="O15" s="50"/>
      <c r="P15" s="44"/>
      <c r="Q15" s="46"/>
    </row>
    <row r="16" spans="1:17" ht="20.100000000000001" customHeight="1">
      <c r="A16" s="4" t="s">
        <v>14</v>
      </c>
      <c r="B16" s="33"/>
      <c r="C16" s="33"/>
      <c r="D16" s="33"/>
      <c r="E16" s="33"/>
      <c r="F16" s="34"/>
      <c r="G16" s="34"/>
      <c r="H16" s="34"/>
      <c r="I16" s="18"/>
      <c r="J16" s="19"/>
      <c r="K16" s="35"/>
      <c r="L16" s="17">
        <v>0.12132999999999999</v>
      </c>
      <c r="M16" s="16">
        <f t="shared" si="6"/>
        <v>0.15417</v>
      </c>
      <c r="N16" s="15">
        <f t="shared" si="5"/>
        <v>0.12132999999999999</v>
      </c>
      <c r="O16" s="8"/>
      <c r="P16" s="44"/>
      <c r="Q16" s="46"/>
    </row>
    <row r="17" spans="1:17">
      <c r="A17" s="4"/>
      <c r="B17" s="4"/>
      <c r="C17" s="4"/>
      <c r="D17" s="4"/>
      <c r="E17" s="4"/>
      <c r="F17" s="4"/>
      <c r="G17" s="4"/>
      <c r="H17" s="4"/>
      <c r="L17" s="4"/>
      <c r="O17" s="8"/>
      <c r="P17" s="9"/>
    </row>
    <row r="18" spans="1:17">
      <c r="A18" s="4" t="s">
        <v>15</v>
      </c>
      <c r="B18" s="4"/>
      <c r="C18" s="4"/>
      <c r="D18" s="4"/>
      <c r="E18" s="4"/>
      <c r="F18" s="47"/>
      <c r="G18" s="4"/>
      <c r="H18" s="4"/>
      <c r="I18" s="4"/>
      <c r="P18" s="9"/>
    </row>
    <row r="19" spans="1:17">
      <c r="A19" s="4"/>
      <c r="I19" s="10"/>
      <c r="J19" s="4"/>
      <c r="K19" s="27"/>
    </row>
    <row r="20" spans="1:17">
      <c r="A20" s="26"/>
      <c r="I20" s="10"/>
      <c r="J20" s="4"/>
      <c r="K20" s="27"/>
    </row>
    <row r="22" spans="1:17">
      <c r="I22" s="10" t="s">
        <v>3</v>
      </c>
      <c r="J22" s="30">
        <v>1661285.66973</v>
      </c>
      <c r="K22" s="27">
        <v>9591756</v>
      </c>
      <c r="L22" s="48">
        <f>J22/K22</f>
        <v>0.17319932551766329</v>
      </c>
    </row>
    <row r="23" spans="1:17">
      <c r="D23" s="51">
        <v>4131482</v>
      </c>
      <c r="I23" t="s">
        <v>28</v>
      </c>
      <c r="J23" s="30">
        <v>1512772.5204000003</v>
      </c>
      <c r="K23" s="27">
        <v>10074530.647827867</v>
      </c>
      <c r="L23" s="48">
        <f t="shared" ref="L23:L32" si="7">J23/K23</f>
        <v>0.15015811388952036</v>
      </c>
    </row>
    <row r="24" spans="1:17">
      <c r="C24" t="s">
        <v>43</v>
      </c>
      <c r="D24" s="52">
        <v>535871</v>
      </c>
      <c r="I24" t="s">
        <v>5</v>
      </c>
      <c r="J24" s="30">
        <v>3625619</v>
      </c>
      <c r="K24" s="27">
        <v>23141723</v>
      </c>
      <c r="L24" s="48">
        <f t="shared" si="7"/>
        <v>0.15667022719094859</v>
      </c>
    </row>
    <row r="25" spans="1:17">
      <c r="D25" s="27">
        <f>SUM(D23:D24)</f>
        <v>4667353</v>
      </c>
      <c r="I25" t="s">
        <v>6</v>
      </c>
      <c r="J25" s="30">
        <v>1149178.5</v>
      </c>
      <c r="K25" s="27">
        <v>7782751</v>
      </c>
      <c r="L25" s="48">
        <f t="shared" si="7"/>
        <v>0.14765710736473517</v>
      </c>
    </row>
    <row r="26" spans="1:17">
      <c r="D26" s="27">
        <v>4667353</v>
      </c>
      <c r="I26" t="s">
        <v>7</v>
      </c>
      <c r="J26" s="30">
        <v>529643.36465999996</v>
      </c>
      <c r="K26" s="27">
        <v>3500313</v>
      </c>
      <c r="L26" s="48">
        <f t="shared" si="7"/>
        <v>0.15131314389884562</v>
      </c>
    </row>
    <row r="27" spans="1:17">
      <c r="I27" t="s">
        <v>8</v>
      </c>
      <c r="J27" s="30">
        <v>747373</v>
      </c>
      <c r="K27" s="27">
        <v>4928055</v>
      </c>
      <c r="L27" s="48">
        <f t="shared" si="7"/>
        <v>0.15165678954475956</v>
      </c>
    </row>
    <row r="28" spans="1:17">
      <c r="I28" t="s">
        <v>9</v>
      </c>
      <c r="J28" s="30">
        <v>1356423.26</v>
      </c>
      <c r="K28" s="27">
        <v>13459031</v>
      </c>
      <c r="L28" s="48">
        <f t="shared" si="7"/>
        <v>0.1007816431955614</v>
      </c>
      <c r="Q28" s="48"/>
    </row>
    <row r="29" spans="1:17">
      <c r="I29" t="s">
        <v>10</v>
      </c>
      <c r="J29" s="30">
        <v>4131482</v>
      </c>
      <c r="K29" s="27">
        <v>29820820</v>
      </c>
      <c r="L29" s="48">
        <f t="shared" si="7"/>
        <v>0.13854354105621508</v>
      </c>
    </row>
    <row r="30" spans="1:17">
      <c r="I30" t="s">
        <v>11</v>
      </c>
      <c r="J30" s="30">
        <v>2695379</v>
      </c>
      <c r="K30" s="27">
        <v>19316737</v>
      </c>
      <c r="L30" s="48">
        <f t="shared" si="7"/>
        <v>0.13953593715129009</v>
      </c>
    </row>
    <row r="31" spans="1:17">
      <c r="I31" t="s">
        <v>12</v>
      </c>
      <c r="J31" s="30">
        <v>1217365.4556200001</v>
      </c>
      <c r="K31" s="27">
        <v>9854496</v>
      </c>
      <c r="L31" s="48">
        <f t="shared" si="7"/>
        <v>0.12353401489228877</v>
      </c>
    </row>
    <row r="32" spans="1:17">
      <c r="I32" t="s">
        <v>13</v>
      </c>
      <c r="J32" s="30">
        <v>439998.46</v>
      </c>
      <c r="K32" s="27">
        <v>3921505</v>
      </c>
      <c r="L32" s="48">
        <f t="shared" si="7"/>
        <v>0.11220142776816554</v>
      </c>
    </row>
    <row r="33" spans="9:9">
      <c r="I33" t="s">
        <v>14</v>
      </c>
    </row>
    <row r="34" spans="9:9">
      <c r="I34" s="29"/>
    </row>
  </sheetData>
  <mergeCells count="1">
    <mergeCell ref="A1:M1"/>
  </mergeCells>
  <pageMargins left="0.7" right="0.7" top="0.75" bottom="0.75" header="0.3" footer="0.3"/>
  <pageSetup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06212-70A5-4392-A736-3CE608900A03}">
  <sheetPr>
    <tabColor theme="0" tint="-0.14999847407452621"/>
  </sheetPr>
  <dimension ref="A2:P40"/>
  <sheetViews>
    <sheetView zoomScale="90" zoomScaleNormal="90" workbookViewId="0"/>
  </sheetViews>
  <sheetFormatPr defaultRowHeight="15.75"/>
  <cols>
    <col min="1" max="1" width="4.625" style="54" customWidth="1"/>
    <col min="2" max="2" width="19.625" style="54" customWidth="1"/>
    <col min="3" max="5" width="14.75" style="86" customWidth="1"/>
    <col min="6" max="6" width="4.625" style="54" customWidth="1"/>
    <col min="7" max="7" width="16.625" style="54" customWidth="1"/>
    <col min="8" max="10" width="14.125" style="54" customWidth="1"/>
    <col min="11" max="11" width="4.625" style="54" customWidth="1"/>
    <col min="12" max="12" width="9" style="54"/>
    <col min="13" max="13" width="15.75" style="86" bestFit="1" customWidth="1"/>
    <col min="14" max="14" width="16.375" style="86" bestFit="1" customWidth="1"/>
    <col min="15" max="15" width="17.25" style="86" bestFit="1" customWidth="1"/>
    <col min="16" max="16" width="11.75" style="86" customWidth="1"/>
    <col min="17" max="16384" width="9" style="54"/>
  </cols>
  <sheetData>
    <row r="2" spans="1:16">
      <c r="B2" s="53" t="s">
        <v>87</v>
      </c>
      <c r="G2" s="53" t="s">
        <v>87</v>
      </c>
      <c r="L2" s="53" t="s">
        <v>87</v>
      </c>
    </row>
    <row r="3" spans="1:16">
      <c r="B3" s="53" t="s">
        <v>69</v>
      </c>
      <c r="G3" s="53" t="s">
        <v>69</v>
      </c>
      <c r="L3" s="53" t="s">
        <v>69</v>
      </c>
    </row>
    <row r="5" spans="1:16">
      <c r="A5" s="53"/>
      <c r="B5" s="89" t="s">
        <v>69</v>
      </c>
      <c r="C5" s="90">
        <v>1</v>
      </c>
      <c r="D5" s="87"/>
      <c r="E5" s="87"/>
      <c r="G5" s="89" t="s">
        <v>69</v>
      </c>
      <c r="H5" s="90">
        <v>1</v>
      </c>
      <c r="I5" s="87"/>
      <c r="J5" s="87"/>
      <c r="L5" s="53" t="s">
        <v>120</v>
      </c>
    </row>
    <row r="6" spans="1:16">
      <c r="A6" s="53"/>
      <c r="B6" s="89" t="s">
        <v>70</v>
      </c>
      <c r="C6" s="91" t="s">
        <v>71</v>
      </c>
      <c r="D6" s="87"/>
      <c r="E6" s="87"/>
      <c r="G6" s="89" t="s">
        <v>70</v>
      </c>
      <c r="H6" s="91" t="s">
        <v>83</v>
      </c>
      <c r="I6" s="87"/>
      <c r="J6" s="87"/>
    </row>
    <row r="7" spans="1:16">
      <c r="A7" s="53"/>
      <c r="B7" s="53"/>
      <c r="C7" s="87"/>
      <c r="D7" s="87"/>
      <c r="E7" s="87"/>
      <c r="G7" s="53"/>
      <c r="H7" s="87"/>
      <c r="I7" s="87"/>
      <c r="J7" s="87"/>
    </row>
    <row r="8" spans="1:16" s="57" customFormat="1" ht="32.25" thickBot="1">
      <c r="A8" s="84"/>
      <c r="B8" s="56" t="s">
        <v>85</v>
      </c>
      <c r="C8" s="88" t="s">
        <v>72</v>
      </c>
      <c r="D8" s="88" t="s">
        <v>73</v>
      </c>
      <c r="E8" s="88" t="s">
        <v>74</v>
      </c>
      <c r="G8" s="56" t="s">
        <v>85</v>
      </c>
      <c r="H8" s="88" t="s">
        <v>72</v>
      </c>
      <c r="I8" s="88" t="s">
        <v>73</v>
      </c>
      <c r="J8" s="88" t="s">
        <v>74</v>
      </c>
      <c r="L8" s="116" t="s">
        <v>112</v>
      </c>
      <c r="M8" s="1"/>
      <c r="N8" s="1"/>
      <c r="O8" s="1"/>
      <c r="P8" s="1"/>
    </row>
    <row r="9" spans="1:16" ht="16.5" thickBot="1">
      <c r="B9" s="85" t="s">
        <v>75</v>
      </c>
      <c r="C9" s="58">
        <v>59.6</v>
      </c>
      <c r="D9" s="58">
        <v>15.2</v>
      </c>
      <c r="E9" s="58">
        <v>0</v>
      </c>
      <c r="G9" s="96" t="s">
        <v>75</v>
      </c>
      <c r="H9" s="58"/>
      <c r="I9" s="58"/>
      <c r="J9" s="58"/>
      <c r="L9" s="117" t="s">
        <v>113</v>
      </c>
      <c r="M9" s="120" t="s">
        <v>114</v>
      </c>
      <c r="N9" s="120" t="s">
        <v>115</v>
      </c>
      <c r="O9" s="120" t="s">
        <v>116</v>
      </c>
      <c r="P9" s="121" t="s">
        <v>117</v>
      </c>
    </row>
    <row r="10" spans="1:16" ht="17.25" thickTop="1" thickBot="1">
      <c r="B10" s="85" t="s">
        <v>4</v>
      </c>
      <c r="C10" s="58">
        <v>45.09</v>
      </c>
      <c r="D10" s="58">
        <v>59.2</v>
      </c>
      <c r="E10" s="58">
        <v>0</v>
      </c>
      <c r="G10" s="96" t="s">
        <v>4</v>
      </c>
      <c r="H10" s="58">
        <v>0</v>
      </c>
      <c r="I10" s="58">
        <v>0</v>
      </c>
      <c r="J10" s="58">
        <v>500</v>
      </c>
      <c r="L10" s="118" t="s">
        <v>71</v>
      </c>
      <c r="M10" s="122">
        <v>92</v>
      </c>
      <c r="N10" s="122">
        <v>17</v>
      </c>
      <c r="O10" s="122">
        <v>1</v>
      </c>
      <c r="P10" s="123">
        <v>110</v>
      </c>
    </row>
    <row r="11" spans="1:16" ht="16.5" thickBot="1">
      <c r="B11" s="85" t="s">
        <v>52</v>
      </c>
      <c r="C11" s="58">
        <v>386.75500000000005</v>
      </c>
      <c r="D11" s="58">
        <v>161.77000000000001</v>
      </c>
      <c r="E11" s="58">
        <v>0</v>
      </c>
      <c r="G11" s="96" t="s">
        <v>52</v>
      </c>
      <c r="H11" s="58">
        <v>55.58</v>
      </c>
      <c r="I11" s="58">
        <v>0</v>
      </c>
      <c r="J11" s="58">
        <v>0</v>
      </c>
      <c r="L11" s="118" t="s">
        <v>83</v>
      </c>
      <c r="M11" s="122">
        <v>5</v>
      </c>
      <c r="N11" s="122">
        <v>0</v>
      </c>
      <c r="O11" s="122">
        <v>0</v>
      </c>
      <c r="P11" s="123">
        <v>5</v>
      </c>
    </row>
    <row r="12" spans="1:16" ht="16.5" thickBot="1">
      <c r="B12" s="85" t="s">
        <v>76</v>
      </c>
      <c r="C12" s="58">
        <v>38.6</v>
      </c>
      <c r="D12" s="58">
        <v>0</v>
      </c>
      <c r="E12" s="58">
        <v>0</v>
      </c>
      <c r="G12" s="96" t="str">
        <f>+B12</f>
        <v>JACKSONVILLE</v>
      </c>
      <c r="H12" s="58"/>
      <c r="I12" s="58"/>
      <c r="J12" s="58"/>
      <c r="L12" s="118" t="s">
        <v>58</v>
      </c>
      <c r="M12" s="122">
        <v>97</v>
      </c>
      <c r="N12" s="122">
        <v>17</v>
      </c>
      <c r="O12" s="122">
        <v>1</v>
      </c>
      <c r="P12" s="123">
        <v>115</v>
      </c>
    </row>
    <row r="13" spans="1:16">
      <c r="B13" s="85" t="s">
        <v>77</v>
      </c>
      <c r="C13" s="58">
        <v>17.600000000000001</v>
      </c>
      <c r="D13" s="58">
        <v>0</v>
      </c>
      <c r="E13" s="58">
        <v>0</v>
      </c>
      <c r="G13" s="96" t="s">
        <v>77</v>
      </c>
      <c r="H13" s="58">
        <v>0</v>
      </c>
      <c r="I13" s="58">
        <v>300</v>
      </c>
      <c r="J13" s="58">
        <v>0</v>
      </c>
      <c r="L13" s="119"/>
      <c r="M13" s="1"/>
      <c r="N13" s="1"/>
      <c r="O13" s="1"/>
      <c r="P13" s="1"/>
    </row>
    <row r="14" spans="1:16" ht="16.5" thickBot="1">
      <c r="B14" s="85" t="s">
        <v>84</v>
      </c>
      <c r="C14" s="58"/>
      <c r="D14" s="58"/>
      <c r="E14" s="58"/>
      <c r="G14" s="96" t="s">
        <v>84</v>
      </c>
      <c r="H14" s="58">
        <v>5.25</v>
      </c>
      <c r="I14" s="58">
        <v>0</v>
      </c>
      <c r="J14" s="58">
        <v>0</v>
      </c>
      <c r="L14" s="116" t="s">
        <v>118</v>
      </c>
      <c r="M14" s="1"/>
      <c r="N14" s="1"/>
      <c r="O14" s="1"/>
      <c r="P14" s="1"/>
    </row>
    <row r="15" spans="1:16" ht="16.5" thickBot="1">
      <c r="B15" s="85" t="s">
        <v>78</v>
      </c>
      <c r="C15" s="58">
        <v>251.42000000000002</v>
      </c>
      <c r="D15" s="58">
        <v>55</v>
      </c>
      <c r="E15" s="58">
        <v>0</v>
      </c>
      <c r="G15" s="96" t="s">
        <v>78</v>
      </c>
      <c r="H15" s="58">
        <v>45.420000000000009</v>
      </c>
      <c r="I15" s="58">
        <v>0</v>
      </c>
      <c r="J15" s="58">
        <v>300</v>
      </c>
      <c r="L15" s="117" t="s">
        <v>113</v>
      </c>
      <c r="M15" s="120" t="s">
        <v>114</v>
      </c>
      <c r="N15" s="120" t="s">
        <v>115</v>
      </c>
      <c r="O15" s="120" t="s">
        <v>116</v>
      </c>
      <c r="P15" s="120" t="s">
        <v>117</v>
      </c>
    </row>
    <row r="16" spans="1:16" ht="17.25" thickTop="1" thickBot="1">
      <c r="B16" s="85" t="s">
        <v>53</v>
      </c>
      <c r="C16" s="58">
        <v>200.26999999999998</v>
      </c>
      <c r="D16" s="58">
        <v>75</v>
      </c>
      <c r="E16" s="58">
        <v>0</v>
      </c>
      <c r="G16" s="96" t="s">
        <v>53</v>
      </c>
      <c r="H16" s="58">
        <v>103.59999999999998</v>
      </c>
      <c r="I16" s="58">
        <v>63.3</v>
      </c>
      <c r="J16" s="58">
        <v>0</v>
      </c>
      <c r="L16" s="118" t="s">
        <v>71</v>
      </c>
      <c r="M16" s="122">
        <v>516</v>
      </c>
      <c r="N16" s="122">
        <v>556</v>
      </c>
      <c r="O16" s="122">
        <v>250</v>
      </c>
      <c r="P16" s="124">
        <v>1323</v>
      </c>
    </row>
    <row r="17" spans="2:16" ht="16.5" thickBot="1">
      <c r="B17" s="85" t="s">
        <v>79</v>
      </c>
      <c r="C17" s="58">
        <v>42.19</v>
      </c>
      <c r="D17" s="58">
        <v>0</v>
      </c>
      <c r="E17" s="58">
        <v>0</v>
      </c>
      <c r="G17" s="96" t="s">
        <v>79</v>
      </c>
      <c r="H17" s="58">
        <v>12.24</v>
      </c>
      <c r="I17" s="58">
        <v>0</v>
      </c>
      <c r="J17" s="58">
        <v>496</v>
      </c>
      <c r="L17" s="118" t="s">
        <v>83</v>
      </c>
      <c r="M17" s="122">
        <v>25</v>
      </c>
      <c r="N17" s="122">
        <v>0</v>
      </c>
      <c r="O17" s="122">
        <v>0</v>
      </c>
      <c r="P17" s="122">
        <v>25</v>
      </c>
    </row>
    <row r="18" spans="2:16" ht="16.5" thickBot="1">
      <c r="B18" s="85" t="s">
        <v>80</v>
      </c>
      <c r="C18" s="58">
        <v>14</v>
      </c>
      <c r="D18" s="58">
        <v>0</v>
      </c>
      <c r="E18" s="58">
        <v>0</v>
      </c>
      <c r="G18" s="96" t="s">
        <v>80</v>
      </c>
      <c r="H18" s="58"/>
      <c r="I18" s="58"/>
      <c r="J18" s="58"/>
      <c r="L18" s="118" t="s">
        <v>58</v>
      </c>
      <c r="M18" s="122">
        <v>542</v>
      </c>
      <c r="N18" s="122">
        <v>556</v>
      </c>
      <c r="O18" s="122">
        <v>250</v>
      </c>
      <c r="P18" s="124">
        <v>1348</v>
      </c>
    </row>
    <row r="19" spans="2:16">
      <c r="B19" s="85" t="s">
        <v>81</v>
      </c>
      <c r="C19" s="58">
        <v>64.91</v>
      </c>
      <c r="D19" s="58">
        <v>16</v>
      </c>
      <c r="E19" s="58">
        <v>0</v>
      </c>
      <c r="G19" s="96" t="s">
        <v>81</v>
      </c>
      <c r="H19" s="58">
        <v>13.6</v>
      </c>
      <c r="I19" s="58">
        <v>0</v>
      </c>
      <c r="J19" s="58">
        <v>1000</v>
      </c>
    </row>
    <row r="20" spans="2:16">
      <c r="B20" s="85" t="s">
        <v>82</v>
      </c>
      <c r="C20" s="58">
        <v>1120.4350000000002</v>
      </c>
      <c r="D20" s="58">
        <v>382.17</v>
      </c>
      <c r="E20" s="58">
        <v>0</v>
      </c>
      <c r="G20" s="96" t="s">
        <v>82</v>
      </c>
      <c r="H20" s="58">
        <v>235.68999999999997</v>
      </c>
      <c r="I20" s="58">
        <v>363.3</v>
      </c>
      <c r="J20" s="58">
        <v>2296</v>
      </c>
    </row>
    <row r="21" spans="2:16">
      <c r="B21" s="127"/>
      <c r="C21" s="128"/>
      <c r="D21" s="128"/>
      <c r="E21" s="128"/>
      <c r="G21" s="129"/>
      <c r="H21" s="128"/>
      <c r="I21" s="128"/>
      <c r="J21" s="128"/>
    </row>
    <row r="22" spans="2:16">
      <c r="C22" s="97"/>
      <c r="D22" s="97"/>
      <c r="E22" s="97"/>
      <c r="G22" s="95"/>
      <c r="H22" s="97"/>
      <c r="I22" s="97"/>
      <c r="J22" s="97"/>
    </row>
    <row r="23" spans="2:16">
      <c r="B23" s="53" t="s">
        <v>86</v>
      </c>
      <c r="C23" s="97"/>
      <c r="D23" s="97"/>
      <c r="E23" s="97"/>
      <c r="G23" s="53" t="s">
        <v>86</v>
      </c>
      <c r="H23" s="97"/>
      <c r="I23" s="97"/>
      <c r="J23" s="97"/>
      <c r="L23" s="53" t="s">
        <v>86</v>
      </c>
    </row>
    <row r="24" spans="2:16">
      <c r="B24" s="53" t="s">
        <v>46</v>
      </c>
      <c r="C24" s="97"/>
      <c r="D24" s="97"/>
      <c r="E24" s="97"/>
      <c r="G24" s="53" t="s">
        <v>46</v>
      </c>
      <c r="H24" s="97"/>
      <c r="I24" s="97"/>
      <c r="J24" s="97"/>
      <c r="L24" s="53" t="s">
        <v>46</v>
      </c>
    </row>
    <row r="25" spans="2:16">
      <c r="B25" s="53"/>
      <c r="C25" s="97"/>
      <c r="D25" s="97"/>
      <c r="E25" s="97"/>
      <c r="G25" s="53"/>
      <c r="H25" s="97"/>
      <c r="I25" s="97"/>
      <c r="J25" s="97"/>
      <c r="L25" s="53"/>
    </row>
    <row r="26" spans="2:16">
      <c r="C26" s="135" t="s">
        <v>56</v>
      </c>
      <c r="D26" s="135"/>
      <c r="E26" s="135"/>
      <c r="G26" s="95"/>
      <c r="H26" s="136" t="s">
        <v>70</v>
      </c>
      <c r="I26" s="137"/>
      <c r="J26" s="138"/>
    </row>
    <row r="27" spans="2:16" ht="16.5" thickBot="1">
      <c r="C27" s="98" t="str">
        <f>+NM_Compensation_Rates!M5</f>
        <v>Category I</v>
      </c>
      <c r="D27" s="98" t="str">
        <f>+NM_Compensation_Rates!N5</f>
        <v>Category II</v>
      </c>
      <c r="E27" s="98" t="str">
        <f>+NM_Compensation_Rates!O5</f>
        <v>Category III</v>
      </c>
      <c r="G27" s="95"/>
      <c r="H27" s="98" t="str">
        <f t="shared" ref="H27:J28" si="0">+C27</f>
        <v>Category I</v>
      </c>
      <c r="I27" s="98" t="str">
        <f t="shared" si="0"/>
        <v>Category II</v>
      </c>
      <c r="J27" s="98" t="str">
        <f t="shared" si="0"/>
        <v>Category III</v>
      </c>
    </row>
    <row r="28" spans="2:16" ht="16.5" thickBot="1">
      <c r="B28" s="56" t="s">
        <v>85</v>
      </c>
      <c r="C28" s="92">
        <v>0.14000000000000001</v>
      </c>
      <c r="D28" s="92">
        <f>0.02+C28</f>
        <v>0.16</v>
      </c>
      <c r="E28" s="92">
        <f>0.02+D28</f>
        <v>0.18</v>
      </c>
      <c r="G28" s="99" t="s">
        <v>85</v>
      </c>
      <c r="H28" s="92">
        <f t="shared" si="0"/>
        <v>0.14000000000000001</v>
      </c>
      <c r="I28" s="92">
        <f t="shared" si="0"/>
        <v>0.16</v>
      </c>
      <c r="J28" s="92">
        <f t="shared" si="0"/>
        <v>0.18</v>
      </c>
      <c r="L28" s="117" t="s">
        <v>113</v>
      </c>
      <c r="M28" s="120" t="s">
        <v>114</v>
      </c>
      <c r="N28" s="120" t="s">
        <v>115</v>
      </c>
      <c r="O28" s="120" t="s">
        <v>116</v>
      </c>
    </row>
    <row r="29" spans="2:16" ht="17.25" thickTop="1" thickBot="1">
      <c r="B29" s="85" t="s">
        <v>3</v>
      </c>
      <c r="C29" s="58">
        <f t="shared" ref="C29:E33" si="1">+C$28*8760*C9</f>
        <v>73093.440000000002</v>
      </c>
      <c r="D29" s="58">
        <f t="shared" si="1"/>
        <v>21304.32</v>
      </c>
      <c r="E29" s="58">
        <f t="shared" si="1"/>
        <v>0</v>
      </c>
      <c r="G29" s="85" t="s">
        <v>3</v>
      </c>
      <c r="H29" s="58">
        <f t="shared" ref="H29:J31" si="2">+H$28*8760*H9</f>
        <v>0</v>
      </c>
      <c r="I29" s="58">
        <f t="shared" si="2"/>
        <v>0</v>
      </c>
      <c r="J29" s="58">
        <f t="shared" si="2"/>
        <v>0</v>
      </c>
      <c r="L29" s="118" t="s">
        <v>71</v>
      </c>
      <c r="M29" s="58">
        <f t="shared" ref="M29:O30" si="3">+H$28*8760*M16</f>
        <v>632822.4</v>
      </c>
      <c r="N29" s="58">
        <f t="shared" si="3"/>
        <v>779289.60000000009</v>
      </c>
      <c r="O29" s="58">
        <f t="shared" si="3"/>
        <v>394200</v>
      </c>
    </row>
    <row r="30" spans="2:16" ht="16.5" thickBot="1">
      <c r="B30" s="85" t="s">
        <v>4</v>
      </c>
      <c r="C30" s="58">
        <f t="shared" si="1"/>
        <v>55298.376000000011</v>
      </c>
      <c r="D30" s="58">
        <f t="shared" si="1"/>
        <v>82974.720000000016</v>
      </c>
      <c r="E30" s="58">
        <f t="shared" si="1"/>
        <v>0</v>
      </c>
      <c r="G30" s="85" t="s">
        <v>4</v>
      </c>
      <c r="H30" s="58">
        <f t="shared" si="2"/>
        <v>0</v>
      </c>
      <c r="I30" s="58">
        <f t="shared" si="2"/>
        <v>0</v>
      </c>
      <c r="J30" s="58">
        <f t="shared" si="2"/>
        <v>788400</v>
      </c>
      <c r="L30" s="118" t="s">
        <v>83</v>
      </c>
      <c r="M30" s="58">
        <f t="shared" si="3"/>
        <v>30660.000000000004</v>
      </c>
      <c r="N30" s="58">
        <f t="shared" si="3"/>
        <v>0</v>
      </c>
      <c r="O30" s="58">
        <f t="shared" si="3"/>
        <v>0</v>
      </c>
    </row>
    <row r="31" spans="2:16" ht="16.5" thickBot="1">
      <c r="B31" s="85" t="s">
        <v>52</v>
      </c>
      <c r="C31" s="58">
        <f t="shared" si="1"/>
        <v>474316.33200000011</v>
      </c>
      <c r="D31" s="58">
        <f t="shared" si="1"/>
        <v>226736.83200000002</v>
      </c>
      <c r="E31" s="58">
        <f t="shared" si="1"/>
        <v>0</v>
      </c>
      <c r="G31" s="85" t="s">
        <v>52</v>
      </c>
      <c r="H31" s="58">
        <f t="shared" si="2"/>
        <v>68163.312000000005</v>
      </c>
      <c r="I31" s="58">
        <f t="shared" si="2"/>
        <v>0</v>
      </c>
      <c r="J31" s="58">
        <f t="shared" si="2"/>
        <v>0</v>
      </c>
      <c r="L31" s="118" t="s">
        <v>58</v>
      </c>
      <c r="M31" s="58">
        <f>+SUM(M29:M30)</f>
        <v>663482.4</v>
      </c>
      <c r="N31" s="58">
        <f>+SUM(N29:N30)</f>
        <v>779289.60000000009</v>
      </c>
      <c r="O31" s="58">
        <f>+SUM(O29:O30)</f>
        <v>394200</v>
      </c>
    </row>
    <row r="32" spans="2:16">
      <c r="B32" s="85" t="s">
        <v>7</v>
      </c>
      <c r="C32" s="58">
        <f t="shared" si="1"/>
        <v>47339.040000000008</v>
      </c>
      <c r="D32" s="58">
        <f t="shared" si="1"/>
        <v>0</v>
      </c>
      <c r="E32" s="58">
        <f t="shared" si="1"/>
        <v>0</v>
      </c>
      <c r="G32" s="85" t="s">
        <v>7</v>
      </c>
      <c r="H32" s="58"/>
      <c r="I32" s="58"/>
      <c r="J32" s="58"/>
    </row>
    <row r="33" spans="2:10">
      <c r="B33" s="85" t="s">
        <v>8</v>
      </c>
      <c r="C33" s="58">
        <f t="shared" si="1"/>
        <v>21584.640000000003</v>
      </c>
      <c r="D33" s="58">
        <f t="shared" si="1"/>
        <v>0</v>
      </c>
      <c r="E33" s="58">
        <f t="shared" si="1"/>
        <v>0</v>
      </c>
      <c r="G33" s="85" t="s">
        <v>8</v>
      </c>
      <c r="H33" s="58">
        <f t="shared" ref="H33:J39" si="4">+H$28*8760*H13</f>
        <v>0</v>
      </c>
      <c r="I33" s="58">
        <f t="shared" si="4"/>
        <v>420480.00000000006</v>
      </c>
      <c r="J33" s="58">
        <f t="shared" si="4"/>
        <v>0</v>
      </c>
    </row>
    <row r="34" spans="2:10">
      <c r="B34" s="85" t="s">
        <v>33</v>
      </c>
      <c r="C34" s="58"/>
      <c r="D34" s="58"/>
      <c r="E34" s="58"/>
      <c r="G34" s="85" t="s">
        <v>33</v>
      </c>
      <c r="H34" s="58">
        <f t="shared" si="4"/>
        <v>6438.6</v>
      </c>
      <c r="I34" s="58">
        <f t="shared" si="4"/>
        <v>0</v>
      </c>
      <c r="J34" s="58">
        <f t="shared" si="4"/>
        <v>0</v>
      </c>
    </row>
    <row r="35" spans="2:10">
      <c r="B35" s="85" t="s">
        <v>10</v>
      </c>
      <c r="C35" s="58">
        <f t="shared" ref="C35:E39" si="5">+C$28*8760*C15</f>
        <v>308341.48800000007</v>
      </c>
      <c r="D35" s="58">
        <f t="shared" si="5"/>
        <v>77088.000000000015</v>
      </c>
      <c r="E35" s="58">
        <f t="shared" si="5"/>
        <v>0</v>
      </c>
      <c r="G35" s="85" t="s">
        <v>10</v>
      </c>
      <c r="H35" s="58">
        <f t="shared" si="4"/>
        <v>55703.088000000018</v>
      </c>
      <c r="I35" s="58">
        <f t="shared" si="4"/>
        <v>0</v>
      </c>
      <c r="J35" s="58">
        <f t="shared" si="4"/>
        <v>473040</v>
      </c>
    </row>
    <row r="36" spans="2:10">
      <c r="B36" s="85" t="s">
        <v>53</v>
      </c>
      <c r="C36" s="58">
        <f t="shared" si="5"/>
        <v>245611.128</v>
      </c>
      <c r="D36" s="58">
        <f t="shared" si="5"/>
        <v>105120.00000000001</v>
      </c>
      <c r="E36" s="58">
        <f t="shared" si="5"/>
        <v>0</v>
      </c>
      <c r="G36" s="85" t="s">
        <v>53</v>
      </c>
      <c r="H36" s="58">
        <f t="shared" si="4"/>
        <v>127055.03999999998</v>
      </c>
      <c r="I36" s="58">
        <f t="shared" si="4"/>
        <v>88721.279999999999</v>
      </c>
      <c r="J36" s="58">
        <f t="shared" si="4"/>
        <v>0</v>
      </c>
    </row>
    <row r="37" spans="2:10">
      <c r="B37" s="85" t="s">
        <v>12</v>
      </c>
      <c r="C37" s="58">
        <f t="shared" si="5"/>
        <v>51741.815999999999</v>
      </c>
      <c r="D37" s="58">
        <f t="shared" si="5"/>
        <v>0</v>
      </c>
      <c r="E37" s="58">
        <f t="shared" si="5"/>
        <v>0</v>
      </c>
      <c r="G37" s="85" t="s">
        <v>12</v>
      </c>
      <c r="H37" s="58">
        <f t="shared" si="4"/>
        <v>15011.136000000002</v>
      </c>
      <c r="I37" s="58">
        <f t="shared" si="4"/>
        <v>0</v>
      </c>
      <c r="J37" s="58">
        <f t="shared" si="4"/>
        <v>782092.79999999993</v>
      </c>
    </row>
    <row r="38" spans="2:10">
      <c r="B38" s="85" t="s">
        <v>13</v>
      </c>
      <c r="C38" s="58">
        <f t="shared" si="5"/>
        <v>17169.600000000002</v>
      </c>
      <c r="D38" s="58">
        <f t="shared" si="5"/>
        <v>0</v>
      </c>
      <c r="E38" s="58">
        <f t="shared" si="5"/>
        <v>0</v>
      </c>
      <c r="G38" s="85" t="s">
        <v>13</v>
      </c>
      <c r="H38" s="58">
        <f t="shared" si="4"/>
        <v>0</v>
      </c>
      <c r="I38" s="58">
        <f t="shared" si="4"/>
        <v>0</v>
      </c>
      <c r="J38" s="58">
        <f t="shared" si="4"/>
        <v>0</v>
      </c>
    </row>
    <row r="39" spans="2:10">
      <c r="B39" s="85" t="s">
        <v>54</v>
      </c>
      <c r="C39" s="58">
        <f t="shared" si="5"/>
        <v>79605.623999999996</v>
      </c>
      <c r="D39" s="58">
        <f t="shared" si="5"/>
        <v>22425.600000000002</v>
      </c>
      <c r="E39" s="58">
        <f t="shared" si="5"/>
        <v>0</v>
      </c>
      <c r="G39" s="85" t="s">
        <v>54</v>
      </c>
      <c r="H39" s="58">
        <f t="shared" si="4"/>
        <v>16679.04</v>
      </c>
      <c r="I39" s="58">
        <f t="shared" si="4"/>
        <v>0</v>
      </c>
      <c r="J39" s="58">
        <f t="shared" si="4"/>
        <v>1576800</v>
      </c>
    </row>
    <row r="40" spans="2:10">
      <c r="B40" s="85" t="s">
        <v>111</v>
      </c>
      <c r="C40" s="58">
        <f>+C$28*8760*M16</f>
        <v>632822.4</v>
      </c>
      <c r="D40" s="58">
        <f>+D$28*8760*N16</f>
        <v>779289.60000000009</v>
      </c>
      <c r="E40" s="58">
        <f>+E$28*8760*O16</f>
        <v>394200</v>
      </c>
      <c r="G40" s="85" t="s">
        <v>111</v>
      </c>
      <c r="H40" s="58">
        <f>+H$28*8760*M17</f>
        <v>30660.000000000004</v>
      </c>
      <c r="I40" s="58"/>
      <c r="J40" s="58"/>
    </row>
  </sheetData>
  <mergeCells count="2">
    <mergeCell ref="C26:E26"/>
    <mergeCell ref="H26:J26"/>
  </mergeCells>
  <pageMargins left="0.25" right="0.25" top="0.75" bottom="0.75" header="0.3" footer="0.3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8B9FA-E8D2-4687-9313-E6E196A6255F}">
  <sheetPr>
    <tabColor theme="0" tint="-0.14999847407452621"/>
  </sheetPr>
  <dimension ref="B2:U20"/>
  <sheetViews>
    <sheetView zoomScale="90" zoomScaleNormal="90" workbookViewId="0"/>
  </sheetViews>
  <sheetFormatPr defaultRowHeight="15"/>
  <cols>
    <col min="1" max="1" width="4.625" style="60" customWidth="1"/>
    <col min="2" max="2" width="11.125" style="60" customWidth="1"/>
    <col min="3" max="3" width="3.875" style="60" customWidth="1"/>
    <col min="4" max="4" width="16.25" style="60" bestFit="1" customWidth="1"/>
    <col min="5" max="5" width="4.625" style="60" customWidth="1"/>
    <col min="6" max="11" width="9.75" style="60" customWidth="1"/>
    <col min="12" max="12" width="4.625" style="60" customWidth="1"/>
    <col min="13" max="16" width="10.125" style="60" customWidth="1"/>
    <col min="17" max="17" width="4.625" style="60" customWidth="1"/>
    <col min="18" max="21" width="9.625" style="60" customWidth="1"/>
    <col min="22" max="16384" width="9" style="60"/>
  </cols>
  <sheetData>
    <row r="2" spans="2:21">
      <c r="D2" s="133" t="s">
        <v>130</v>
      </c>
      <c r="F2" s="59" t="s">
        <v>55</v>
      </c>
      <c r="G2" s="59"/>
      <c r="H2" s="59"/>
      <c r="I2" s="59"/>
      <c r="J2" s="59"/>
      <c r="K2" s="59"/>
      <c r="M2" s="59" t="s">
        <v>57</v>
      </c>
      <c r="N2" s="59"/>
      <c r="O2" s="59"/>
      <c r="P2" s="59"/>
      <c r="R2" s="59" t="s">
        <v>57</v>
      </c>
      <c r="S2" s="59"/>
      <c r="T2" s="59"/>
      <c r="U2" s="59"/>
    </row>
    <row r="3" spans="2:21">
      <c r="B3" s="59"/>
      <c r="F3" s="59" t="s">
        <v>119</v>
      </c>
      <c r="G3" s="59"/>
      <c r="H3" s="59"/>
      <c r="I3" s="59"/>
      <c r="J3" s="59"/>
      <c r="K3" s="59"/>
      <c r="M3" s="59" t="s">
        <v>56</v>
      </c>
      <c r="N3" s="59"/>
      <c r="O3" s="59"/>
      <c r="P3" s="59"/>
      <c r="R3" s="59" t="s">
        <v>88</v>
      </c>
      <c r="S3" s="59"/>
      <c r="T3" s="59"/>
      <c r="U3" s="59"/>
    </row>
    <row r="5" spans="2:21" s="63" customFormat="1" ht="45">
      <c r="B5" s="61" t="s">
        <v>85</v>
      </c>
      <c r="C5" s="60"/>
      <c r="D5" s="62" t="s">
        <v>45</v>
      </c>
      <c r="E5" s="60"/>
      <c r="F5" s="62" t="s">
        <v>103</v>
      </c>
      <c r="G5" s="62" t="s">
        <v>104</v>
      </c>
      <c r="H5" s="62" t="s">
        <v>48</v>
      </c>
      <c r="I5" s="62" t="s">
        <v>49</v>
      </c>
      <c r="J5" s="62" t="s">
        <v>50</v>
      </c>
      <c r="K5" s="62" t="s">
        <v>51</v>
      </c>
      <c r="M5" s="62" t="s">
        <v>48</v>
      </c>
      <c r="N5" s="62" t="s">
        <v>49</v>
      </c>
      <c r="O5" s="62" t="s">
        <v>50</v>
      </c>
      <c r="P5" s="62" t="s">
        <v>51</v>
      </c>
      <c r="R5" s="62" t="s">
        <v>48</v>
      </c>
      <c r="S5" s="62" t="s">
        <v>49</v>
      </c>
      <c r="T5" s="62" t="s">
        <v>50</v>
      </c>
      <c r="U5" s="62" t="s">
        <v>51</v>
      </c>
    </row>
    <row r="6" spans="2:21">
      <c r="B6" s="64" t="str">
        <f>+'Blended Rate Calc'!A5</f>
        <v>Barton</v>
      </c>
      <c r="D6" s="65">
        <f>+'Blended Rate Calc'!N5</f>
        <v>0.15417</v>
      </c>
      <c r="F6" s="65">
        <v>0.01</v>
      </c>
      <c r="G6" s="65">
        <v>-0.03</v>
      </c>
      <c r="H6" s="65">
        <v>0.01</v>
      </c>
      <c r="I6" s="65">
        <v>0.01</v>
      </c>
      <c r="J6" s="65">
        <v>-0.01</v>
      </c>
      <c r="K6" s="65">
        <v>-0.03</v>
      </c>
      <c r="M6" s="65">
        <f>+SUM($D6,$F6,H6)</f>
        <v>0.17417000000000002</v>
      </c>
      <c r="N6" s="65">
        <f t="shared" ref="N6:P16" si="0">+SUM($D6,$F6,I6)</f>
        <v>0.17417000000000002</v>
      </c>
      <c r="O6" s="65">
        <f t="shared" si="0"/>
        <v>0.15417</v>
      </c>
      <c r="P6" s="65">
        <f t="shared" si="0"/>
        <v>0.13417000000000001</v>
      </c>
      <c r="R6" s="65">
        <f>+SUM($D6,$G6,H6)</f>
        <v>0.13417000000000001</v>
      </c>
      <c r="S6" s="65">
        <f t="shared" ref="S6:U16" si="1">+SUM($D6,$G6,I6)</f>
        <v>0.13417000000000001</v>
      </c>
      <c r="T6" s="65">
        <f t="shared" si="1"/>
        <v>0.11417000000000001</v>
      </c>
      <c r="U6" s="65">
        <f t="shared" si="1"/>
        <v>9.4170000000000004E-2</v>
      </c>
    </row>
    <row r="7" spans="2:21">
      <c r="B7" s="64" t="str">
        <f>+'Blended Rate Calc'!A6</f>
        <v>Enosburg</v>
      </c>
      <c r="D7" s="65">
        <f>+'Blended Rate Calc'!N6</f>
        <v>0.15015811388952036</v>
      </c>
      <c r="F7" s="65">
        <v>0.01</v>
      </c>
      <c r="G7" s="65">
        <v>-0.03</v>
      </c>
      <c r="H7" s="65">
        <v>0.01</v>
      </c>
      <c r="I7" s="65">
        <v>0.01</v>
      </c>
      <c r="J7" s="65">
        <v>-0.01</v>
      </c>
      <c r="K7" s="65">
        <v>-0.03</v>
      </c>
      <c r="M7" s="65">
        <f t="shared" ref="M7:M16" si="2">+SUM($D7,$F7,H7)</f>
        <v>0.17015811388952037</v>
      </c>
      <c r="N7" s="65">
        <f t="shared" si="0"/>
        <v>0.17015811388952037</v>
      </c>
      <c r="O7" s="65">
        <f t="shared" si="0"/>
        <v>0.15015811388952036</v>
      </c>
      <c r="P7" s="65">
        <f t="shared" si="0"/>
        <v>0.13015811388952037</v>
      </c>
      <c r="R7" s="65">
        <f t="shared" ref="R7:R16" si="3">+SUM($D7,$G7,H7)</f>
        <v>0.13015811388952037</v>
      </c>
      <c r="S7" s="65">
        <f t="shared" si="1"/>
        <v>0.13015811388952037</v>
      </c>
      <c r="T7" s="65">
        <f t="shared" si="1"/>
        <v>0.11015811388952036</v>
      </c>
      <c r="U7" s="65">
        <f t="shared" si="1"/>
        <v>9.0158113889520358E-2</v>
      </c>
    </row>
    <row r="8" spans="2:21">
      <c r="B8" s="64" t="s">
        <v>52</v>
      </c>
      <c r="D8" s="65">
        <f>+'Blended Rate Calc'!N7</f>
        <v>0.15417</v>
      </c>
      <c r="F8" s="65">
        <v>0.01</v>
      </c>
      <c r="G8" s="65">
        <v>-0.03</v>
      </c>
      <c r="H8" s="65">
        <v>0.01</v>
      </c>
      <c r="I8" s="65">
        <v>0.01</v>
      </c>
      <c r="J8" s="65">
        <v>-0.01</v>
      </c>
      <c r="K8" s="65">
        <v>-0.03</v>
      </c>
      <c r="M8" s="65">
        <f t="shared" si="2"/>
        <v>0.17417000000000002</v>
      </c>
      <c r="N8" s="65">
        <f t="shared" si="0"/>
        <v>0.17417000000000002</v>
      </c>
      <c r="O8" s="65">
        <f t="shared" si="0"/>
        <v>0.15417</v>
      </c>
      <c r="P8" s="65">
        <f t="shared" si="0"/>
        <v>0.13417000000000001</v>
      </c>
      <c r="R8" s="65">
        <f t="shared" si="3"/>
        <v>0.13417000000000001</v>
      </c>
      <c r="S8" s="65">
        <f t="shared" si="1"/>
        <v>0.13417000000000001</v>
      </c>
      <c r="T8" s="65">
        <f t="shared" si="1"/>
        <v>0.11417000000000001</v>
      </c>
      <c r="U8" s="65">
        <f t="shared" si="1"/>
        <v>9.4170000000000004E-2</v>
      </c>
    </row>
    <row r="9" spans="2:21">
      <c r="B9" s="64" t="str">
        <f>+'Blended Rate Calc'!A9</f>
        <v>Jacksonville</v>
      </c>
      <c r="D9" s="65">
        <f>+'Blended Rate Calc'!N9</f>
        <v>0.15131314389884562</v>
      </c>
      <c r="F9" s="65">
        <v>0.01</v>
      </c>
      <c r="G9" s="65">
        <v>-0.03</v>
      </c>
      <c r="H9" s="65">
        <v>0.01</v>
      </c>
      <c r="I9" s="65">
        <v>0.01</v>
      </c>
      <c r="J9" s="65">
        <v>-0.01</v>
      </c>
      <c r="K9" s="65">
        <v>-0.03</v>
      </c>
      <c r="M9" s="65">
        <f t="shared" si="2"/>
        <v>0.17131314389884564</v>
      </c>
      <c r="N9" s="65">
        <f t="shared" si="0"/>
        <v>0.17131314389884564</v>
      </c>
      <c r="O9" s="65">
        <f t="shared" si="0"/>
        <v>0.15131314389884562</v>
      </c>
      <c r="P9" s="65">
        <f t="shared" si="0"/>
        <v>0.13131314389884563</v>
      </c>
      <c r="R9" s="65">
        <f t="shared" si="3"/>
        <v>0.13131314389884563</v>
      </c>
      <c r="S9" s="65">
        <f t="shared" si="1"/>
        <v>0.13131314389884563</v>
      </c>
      <c r="T9" s="65">
        <f t="shared" si="1"/>
        <v>0.11131314389884563</v>
      </c>
      <c r="U9" s="65">
        <f t="shared" si="1"/>
        <v>9.1313143898845622E-2</v>
      </c>
    </row>
    <row r="10" spans="2:21">
      <c r="B10" s="64" t="str">
        <f>+'Blended Rate Calc'!A10</f>
        <v>Johnson</v>
      </c>
      <c r="D10" s="65">
        <f>+'Blended Rate Calc'!N10</f>
        <v>0.15165678954475956</v>
      </c>
      <c r="F10" s="65">
        <v>0.01</v>
      </c>
      <c r="G10" s="65">
        <v>-0.03</v>
      </c>
      <c r="H10" s="65">
        <v>0.01</v>
      </c>
      <c r="I10" s="65">
        <v>0.01</v>
      </c>
      <c r="J10" s="65">
        <v>-0.01</v>
      </c>
      <c r="K10" s="65">
        <v>-0.03</v>
      </c>
      <c r="M10" s="65">
        <f t="shared" si="2"/>
        <v>0.17165678954475957</v>
      </c>
      <c r="N10" s="65">
        <f t="shared" si="0"/>
        <v>0.17165678954475957</v>
      </c>
      <c r="O10" s="65">
        <f t="shared" si="0"/>
        <v>0.15165678954475956</v>
      </c>
      <c r="P10" s="65">
        <f t="shared" si="0"/>
        <v>0.13165678954475957</v>
      </c>
      <c r="R10" s="65">
        <f t="shared" si="3"/>
        <v>0.13165678954475957</v>
      </c>
      <c r="S10" s="65">
        <f t="shared" si="1"/>
        <v>0.13165678954475957</v>
      </c>
      <c r="T10" s="65">
        <f t="shared" si="1"/>
        <v>0.11165678954475956</v>
      </c>
      <c r="U10" s="65">
        <f t="shared" si="1"/>
        <v>9.1656789544759559E-2</v>
      </c>
    </row>
    <row r="11" spans="2:21">
      <c r="B11" s="64" t="str">
        <f>+'Blended Rate Calc'!A11</f>
        <v xml:space="preserve">Ludlow </v>
      </c>
      <c r="D11" s="65">
        <f>+'Blended Rate Calc'!N11</f>
        <v>0.1007816431955614</v>
      </c>
      <c r="F11" s="65">
        <v>0.01</v>
      </c>
      <c r="G11" s="65">
        <v>-0.03</v>
      </c>
      <c r="H11" s="65">
        <v>0.01</v>
      </c>
      <c r="I11" s="65">
        <v>0.01</v>
      </c>
      <c r="J11" s="65">
        <v>-0.01</v>
      </c>
      <c r="K11" s="65">
        <v>-0.03</v>
      </c>
      <c r="M11" s="65">
        <f t="shared" si="2"/>
        <v>0.12078164319556139</v>
      </c>
      <c r="N11" s="65">
        <f t="shared" si="0"/>
        <v>0.12078164319556139</v>
      </c>
      <c r="O11" s="65">
        <f t="shared" si="0"/>
        <v>0.1007816431955614</v>
      </c>
      <c r="P11" s="65">
        <f t="shared" si="0"/>
        <v>8.0781643195561401E-2</v>
      </c>
      <c r="R11" s="65">
        <f t="shared" si="3"/>
        <v>8.0781643195561401E-2</v>
      </c>
      <c r="S11" s="65">
        <f t="shared" si="1"/>
        <v>8.0781643195561401E-2</v>
      </c>
      <c r="T11" s="65">
        <f t="shared" si="1"/>
        <v>6.0781643195561404E-2</v>
      </c>
      <c r="U11" s="65">
        <f t="shared" si="1"/>
        <v>4.0781643195561407E-2</v>
      </c>
    </row>
    <row r="12" spans="2:21">
      <c r="B12" s="64" t="str">
        <f>+'Blended Rate Calc'!A12</f>
        <v>Lyndonville</v>
      </c>
      <c r="D12" s="65">
        <f>+'Blended Rate Calc'!N12</f>
        <v>0.13854354116620535</v>
      </c>
      <c r="F12" s="65">
        <v>0.01</v>
      </c>
      <c r="G12" s="65">
        <v>-0.03</v>
      </c>
      <c r="H12" s="65">
        <v>0.01</v>
      </c>
      <c r="I12" s="65">
        <v>0.01</v>
      </c>
      <c r="J12" s="65">
        <v>-0.01</v>
      </c>
      <c r="K12" s="65">
        <v>-0.03</v>
      </c>
      <c r="M12" s="65">
        <f t="shared" si="2"/>
        <v>0.15854354116620537</v>
      </c>
      <c r="N12" s="65">
        <f t="shared" si="0"/>
        <v>0.15854354116620537</v>
      </c>
      <c r="O12" s="65">
        <f t="shared" si="0"/>
        <v>0.13854354116620535</v>
      </c>
      <c r="P12" s="65">
        <f t="shared" si="0"/>
        <v>0.11854354116620536</v>
      </c>
      <c r="R12" s="65">
        <f t="shared" si="3"/>
        <v>0.11854354116620534</v>
      </c>
      <c r="S12" s="65">
        <f t="shared" si="1"/>
        <v>0.11854354116620534</v>
      </c>
      <c r="T12" s="65">
        <f t="shared" si="1"/>
        <v>9.8543541166205353E-2</v>
      </c>
      <c r="U12" s="65">
        <f t="shared" si="1"/>
        <v>7.854354116620535E-2</v>
      </c>
    </row>
    <row r="13" spans="2:21">
      <c r="B13" s="64" t="s">
        <v>53</v>
      </c>
      <c r="D13" s="65">
        <f>+'Blended Rate Calc'!N13</f>
        <v>0.13953589055957016</v>
      </c>
      <c r="F13" s="65">
        <v>0.01</v>
      </c>
      <c r="G13" s="65">
        <v>-0.03</v>
      </c>
      <c r="H13" s="65">
        <v>0.01</v>
      </c>
      <c r="I13" s="65">
        <v>0.01</v>
      </c>
      <c r="J13" s="65">
        <v>-0.01</v>
      </c>
      <c r="K13" s="65">
        <v>-0.03</v>
      </c>
      <c r="M13" s="65">
        <f t="shared" si="2"/>
        <v>0.15953589055957018</v>
      </c>
      <c r="N13" s="65">
        <f t="shared" si="0"/>
        <v>0.15953589055957018</v>
      </c>
      <c r="O13" s="65">
        <f t="shared" si="0"/>
        <v>0.13953589055957016</v>
      </c>
      <c r="P13" s="65">
        <f t="shared" si="0"/>
        <v>0.11953589055957017</v>
      </c>
      <c r="R13" s="65">
        <f t="shared" si="3"/>
        <v>0.11953589055957016</v>
      </c>
      <c r="S13" s="65">
        <f t="shared" si="1"/>
        <v>0.11953589055957016</v>
      </c>
      <c r="T13" s="65">
        <f t="shared" si="1"/>
        <v>9.953589055957017E-2</v>
      </c>
      <c r="U13" s="65">
        <f t="shared" si="1"/>
        <v>7.9535890559570166E-2</v>
      </c>
    </row>
    <row r="14" spans="2:21">
      <c r="B14" s="64" t="str">
        <f>+'Blended Rate Calc'!A14</f>
        <v>Northfield</v>
      </c>
      <c r="D14" s="65">
        <f>+'Blended Rate Calc'!N14</f>
        <v>0.12353401489228877</v>
      </c>
      <c r="F14" s="65">
        <v>0.01</v>
      </c>
      <c r="G14" s="65">
        <v>-0.03</v>
      </c>
      <c r="H14" s="65">
        <v>0.01</v>
      </c>
      <c r="I14" s="65">
        <v>0.01</v>
      </c>
      <c r="J14" s="65">
        <v>-0.01</v>
      </c>
      <c r="K14" s="65">
        <v>-0.03</v>
      </c>
      <c r="M14" s="65">
        <f t="shared" si="2"/>
        <v>0.14353401489228879</v>
      </c>
      <c r="N14" s="65">
        <f t="shared" si="0"/>
        <v>0.14353401489228879</v>
      </c>
      <c r="O14" s="65">
        <f t="shared" si="0"/>
        <v>0.12353401489228878</v>
      </c>
      <c r="P14" s="65">
        <f t="shared" si="0"/>
        <v>0.10353401489228878</v>
      </c>
      <c r="R14" s="65">
        <f t="shared" si="3"/>
        <v>0.10353401489228876</v>
      </c>
      <c r="S14" s="65">
        <f t="shared" si="1"/>
        <v>0.10353401489228876</v>
      </c>
      <c r="T14" s="65">
        <f t="shared" si="1"/>
        <v>8.3534014892288774E-2</v>
      </c>
      <c r="U14" s="65">
        <f t="shared" si="1"/>
        <v>6.353401489228877E-2</v>
      </c>
    </row>
    <row r="15" spans="2:21">
      <c r="B15" s="64" t="str">
        <f>+'Blended Rate Calc'!A15</f>
        <v>Orleans</v>
      </c>
      <c r="D15" s="65">
        <f>+'Blended Rate Calc'!N15</f>
        <v>0.11220142776816552</v>
      </c>
      <c r="F15" s="65">
        <v>0.01</v>
      </c>
      <c r="G15" s="65">
        <v>-0.03</v>
      </c>
      <c r="H15" s="65">
        <v>0.01</v>
      </c>
      <c r="I15" s="65">
        <v>0.01</v>
      </c>
      <c r="J15" s="65">
        <v>-0.01</v>
      </c>
      <c r="K15" s="65">
        <v>-0.03</v>
      </c>
      <c r="M15" s="65">
        <f t="shared" si="2"/>
        <v>0.13220142776816551</v>
      </c>
      <c r="N15" s="65">
        <f t="shared" si="0"/>
        <v>0.13220142776816551</v>
      </c>
      <c r="O15" s="65">
        <f t="shared" si="0"/>
        <v>0.11220142776816552</v>
      </c>
      <c r="P15" s="65">
        <f t="shared" si="0"/>
        <v>9.220142776816552E-2</v>
      </c>
      <c r="R15" s="65">
        <f t="shared" si="3"/>
        <v>9.220142776816552E-2</v>
      </c>
      <c r="S15" s="65">
        <f t="shared" si="1"/>
        <v>9.220142776816552E-2</v>
      </c>
      <c r="T15" s="65">
        <f t="shared" si="1"/>
        <v>7.220142776816553E-2</v>
      </c>
      <c r="U15" s="65">
        <f t="shared" si="1"/>
        <v>5.2201427768165526E-2</v>
      </c>
    </row>
    <row r="16" spans="2:21">
      <c r="B16" s="64" t="s">
        <v>54</v>
      </c>
      <c r="D16" s="65">
        <f>+'Blended Rate Calc'!N16</f>
        <v>0.12132999999999999</v>
      </c>
      <c r="F16" s="65">
        <v>0.01</v>
      </c>
      <c r="G16" s="65">
        <v>-0.03</v>
      </c>
      <c r="H16" s="65">
        <v>0.01</v>
      </c>
      <c r="I16" s="65">
        <v>0.01</v>
      </c>
      <c r="J16" s="65">
        <v>-0.01</v>
      </c>
      <c r="K16" s="65">
        <v>-0.03</v>
      </c>
      <c r="M16" s="65">
        <f t="shared" si="2"/>
        <v>0.14133000000000001</v>
      </c>
      <c r="N16" s="65">
        <f t="shared" si="0"/>
        <v>0.14133000000000001</v>
      </c>
      <c r="O16" s="65">
        <f t="shared" si="0"/>
        <v>0.12133000000000001</v>
      </c>
      <c r="P16" s="65">
        <f t="shared" si="0"/>
        <v>0.10133</v>
      </c>
      <c r="R16" s="65">
        <f t="shared" si="3"/>
        <v>0.10132999999999999</v>
      </c>
      <c r="S16" s="65">
        <f t="shared" si="1"/>
        <v>0.10132999999999999</v>
      </c>
      <c r="T16" s="65">
        <f t="shared" si="1"/>
        <v>8.133E-2</v>
      </c>
      <c r="U16" s="65">
        <f t="shared" si="1"/>
        <v>6.1329999999999996E-2</v>
      </c>
    </row>
    <row r="17" spans="2:21" s="55" customFormat="1" ht="12">
      <c r="D17" s="55" t="s">
        <v>47</v>
      </c>
      <c r="F17" s="66"/>
      <c r="G17" s="66"/>
      <c r="H17" s="66"/>
      <c r="I17" s="66"/>
      <c r="J17" s="66"/>
      <c r="K17" s="66"/>
    </row>
    <row r="18" spans="2:21" s="55" customFormat="1">
      <c r="C18" s="60"/>
    </row>
    <row r="19" spans="2:21">
      <c r="B19" s="64" t="s">
        <v>111</v>
      </c>
      <c r="D19" s="131">
        <v>0.13750000000000001</v>
      </c>
      <c r="F19" s="65">
        <v>0.01</v>
      </c>
      <c r="G19" s="65">
        <v>-0.03</v>
      </c>
      <c r="H19" s="65">
        <v>0.01</v>
      </c>
      <c r="I19" s="65">
        <v>0.01</v>
      </c>
      <c r="J19" s="65">
        <v>-0.01</v>
      </c>
      <c r="K19" s="65">
        <v>-0.03</v>
      </c>
      <c r="M19" s="65">
        <f t="shared" ref="M19" si="4">+SUM($D19,$F19,H19)</f>
        <v>0.15750000000000003</v>
      </c>
      <c r="N19" s="65">
        <f t="shared" ref="N19" si="5">+SUM($D19,$F19,I19)</f>
        <v>0.15750000000000003</v>
      </c>
      <c r="O19" s="65">
        <f t="shared" ref="O19" si="6">+SUM($D19,$F19,J19)</f>
        <v>0.13750000000000001</v>
      </c>
      <c r="P19" s="65">
        <f t="shared" ref="P19" si="7">+SUM($D19,$F19,K19)</f>
        <v>0.11750000000000002</v>
      </c>
      <c r="R19" s="65">
        <f t="shared" ref="R19" si="8">+SUM($D19,$G19,H19)</f>
        <v>0.11750000000000001</v>
      </c>
      <c r="S19" s="65">
        <f t="shared" ref="S19" si="9">+SUM($D19,$G19,I19)</f>
        <v>0.11750000000000001</v>
      </c>
      <c r="T19" s="65">
        <f t="shared" ref="T19" si="10">+SUM($D19,$G19,J19)</f>
        <v>9.7500000000000017E-2</v>
      </c>
      <c r="U19" s="65">
        <f t="shared" ref="U19" si="11">+SUM($D19,$G19,K19)</f>
        <v>7.7500000000000013E-2</v>
      </c>
    </row>
    <row r="20" spans="2:21">
      <c r="D20" s="55" t="s">
        <v>129</v>
      </c>
      <c r="M20" s="94"/>
    </row>
  </sheetData>
  <conditionalFormatting sqref="M6:P16 R6:U16">
    <cfRule type="cellIs" dxfId="3" priority="3" operator="greaterThan">
      <formula>0.076</formula>
    </cfRule>
    <cfRule type="cellIs" dxfId="2" priority="4" operator="lessThan">
      <formula>0.076</formula>
    </cfRule>
  </conditionalFormatting>
  <conditionalFormatting sqref="M19:P19 R19:U19">
    <cfRule type="cellIs" dxfId="1" priority="1" operator="greaterThan">
      <formula>0.076</formula>
    </cfRule>
    <cfRule type="cellIs" dxfId="0" priority="2" operator="lessThan">
      <formula>0.076</formula>
    </cfRule>
  </conditionalFormatting>
  <pageMargins left="0.25" right="0.25" top="0.75" bottom="0.75" header="0.3" footer="0.3"/>
  <pageSetup orientation="landscape" r:id="rId1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2C72F-9DB0-4F74-B0FC-4B476209BBEC}">
  <dimension ref="B2:O19"/>
  <sheetViews>
    <sheetView zoomScale="90" zoomScaleNormal="90" workbookViewId="0">
      <pane xSplit="2" ySplit="5" topLeftCell="C6" activePane="bottomRight" state="frozen"/>
      <selection activeCell="F19" sqref="F19"/>
      <selection pane="topRight" activeCell="F19" sqref="F19"/>
      <selection pane="bottomLeft" activeCell="F19" sqref="F19"/>
      <selection pane="bottomRight" activeCell="H7" sqref="H7"/>
    </sheetView>
  </sheetViews>
  <sheetFormatPr defaultRowHeight="15"/>
  <cols>
    <col min="1" max="1" width="3" style="60" customWidth="1"/>
    <col min="2" max="6" width="14.75" style="60" customWidth="1"/>
    <col min="7" max="7" width="4.625" style="60" customWidth="1"/>
    <col min="8" max="8" width="14.625" style="60" customWidth="1"/>
    <col min="9" max="9" width="13.25" style="60" customWidth="1"/>
    <col min="10" max="10" width="4.625" style="60" customWidth="1"/>
    <col min="11" max="12" width="12.75" style="60" customWidth="1"/>
    <col min="13" max="13" width="4.625" style="60" customWidth="1"/>
    <col min="14" max="15" width="11.75" style="60" customWidth="1"/>
    <col min="16" max="16384" width="9" style="60"/>
  </cols>
  <sheetData>
    <row r="2" spans="2:15">
      <c r="C2" s="59" t="s">
        <v>131</v>
      </c>
      <c r="D2" s="59"/>
      <c r="E2" s="59" t="s">
        <v>132</v>
      </c>
      <c r="H2" s="59" t="s">
        <v>60</v>
      </c>
      <c r="K2" s="59" t="s">
        <v>90</v>
      </c>
      <c r="N2" s="59" t="s">
        <v>93</v>
      </c>
    </row>
    <row r="3" spans="2:15">
      <c r="C3" s="59" t="s">
        <v>59</v>
      </c>
      <c r="D3" s="59"/>
      <c r="E3" s="59" t="s">
        <v>133</v>
      </c>
      <c r="H3" s="59" t="s">
        <v>64</v>
      </c>
    </row>
    <row r="5" spans="2:15" s="63" customFormat="1" ht="30">
      <c r="B5" s="62" t="str">
        <f>+NM_Compensation_Rates!B5</f>
        <v>Utility</v>
      </c>
      <c r="C5" s="62" t="s">
        <v>102</v>
      </c>
      <c r="D5" s="62" t="s">
        <v>100</v>
      </c>
      <c r="E5" s="67" t="s">
        <v>89</v>
      </c>
      <c r="F5" s="67" t="s">
        <v>92</v>
      </c>
      <c r="G5" s="60"/>
      <c r="H5" s="68" t="s">
        <v>121</v>
      </c>
      <c r="I5" s="68" t="s">
        <v>61</v>
      </c>
      <c r="K5" s="68" t="s">
        <v>63</v>
      </c>
      <c r="L5" s="68" t="s">
        <v>62</v>
      </c>
      <c r="N5" s="68" t="s">
        <v>94</v>
      </c>
      <c r="O5" s="68" t="s">
        <v>95</v>
      </c>
    </row>
    <row r="6" spans="2:15" s="63" customFormat="1" ht="30">
      <c r="B6" s="62" t="s">
        <v>22</v>
      </c>
      <c r="C6" s="62" t="s">
        <v>23</v>
      </c>
      <c r="D6" s="62" t="s">
        <v>24</v>
      </c>
      <c r="E6" s="67" t="s">
        <v>122</v>
      </c>
      <c r="F6" s="67" t="s">
        <v>123</v>
      </c>
      <c r="G6" s="60"/>
      <c r="H6" s="68" t="s">
        <v>124</v>
      </c>
      <c r="I6" s="68" t="s">
        <v>126</v>
      </c>
      <c r="K6" s="68" t="s">
        <v>125</v>
      </c>
      <c r="L6" s="68" t="s">
        <v>127</v>
      </c>
      <c r="N6" s="68"/>
      <c r="O6" s="68"/>
    </row>
    <row r="7" spans="2:15" s="55" customFormat="1">
      <c r="B7" s="93" t="s">
        <v>111</v>
      </c>
      <c r="C7" s="100">
        <f>+SUM(Solar_NM_kW!M18:O18)</f>
        <v>1348</v>
      </c>
      <c r="D7" s="100">
        <f>+SUM(Solar_NM_kW!M31:O31)</f>
        <v>1836972</v>
      </c>
      <c r="E7" s="69">
        <f>+(Solar_NM_kW!M29*NM_Compensation_Rates!M19)+(Solar_NM_kW!N29*NM_Compensation_Rates!N19)+(Solar_NM_kW!O29*NM_Compensation_Rates!O19)+(Solar_NM_kW!M30*NM_Compensation_Rates!R19)</f>
        <v>280212.69000000006</v>
      </c>
      <c r="F7" s="65">
        <f>+E7/D7</f>
        <v>0.15254053409632812</v>
      </c>
      <c r="G7" s="60"/>
      <c r="H7" s="69">
        <f>D7*0.076</f>
        <v>139609.872</v>
      </c>
      <c r="I7" s="69">
        <f t="shared" ref="I7:I18" si="0">+E7-H7</f>
        <v>140602.81800000006</v>
      </c>
      <c r="J7" s="125"/>
      <c r="K7" s="69">
        <f>+'Total Retail Sales'!E19</f>
        <v>47232455</v>
      </c>
      <c r="L7" s="70">
        <f>+I7/K7</f>
        <v>2.9768263792343645E-3</v>
      </c>
      <c r="N7" s="70">
        <f>D7/'Total Retail Sales'!C16</f>
        <v>5.294404984768227E-3</v>
      </c>
      <c r="O7" s="70">
        <f>+SUM(Solar_NM_kW!C20:E20,Solar_NM_kW!H20:J20)/'Total Retail Sales'!D16</f>
        <v>6.2412370879435533E-2</v>
      </c>
    </row>
    <row r="8" spans="2:15">
      <c r="B8" s="93" t="str">
        <f>+NM_Compensation_Rates!B6</f>
        <v>Barton</v>
      </c>
      <c r="C8" s="100">
        <f>+SUM(Solar_NM_kW!C9:J9)</f>
        <v>74.8</v>
      </c>
      <c r="D8" s="100">
        <f>+SUM(Solar_NM_kW!C29:J29)</f>
        <v>94397.760000000009</v>
      </c>
      <c r="E8" s="69">
        <f>+(NM_Compensation_Rates!M6*Solar_NM_kW!C29)+(NM_Compensation_Rates!N6*Solar_NM_kW!D29)+(NM_Compensation_Rates!O6*Solar_NM_kW!E29)+(NM_Compensation_Rates!R6*Solar_NM_kW!H29)+(NM_Compensation_Rates!S6*Solar_NM_kW!I29)+(NM_Compensation_Rates!T6*Solar_NM_kW!J29)</f>
        <v>16441.257859200003</v>
      </c>
      <c r="F8" s="65">
        <f>+E8/D8</f>
        <v>0.17417000000000002</v>
      </c>
      <c r="H8" s="69">
        <f t="shared" ref="H8:H18" si="1">D8*0.076</f>
        <v>7174.2297600000002</v>
      </c>
      <c r="I8" s="69">
        <f t="shared" si="0"/>
        <v>9267.0280992000025</v>
      </c>
      <c r="J8" s="125"/>
      <c r="K8" s="69">
        <f>+'Total Retail Sales'!E5</f>
        <v>2746877.47</v>
      </c>
      <c r="L8" s="70">
        <f t="shared" ref="L8:L18" si="2">+I8/K8</f>
        <v>3.3736590730419447E-3</v>
      </c>
      <c r="N8" s="70">
        <f>D8/'Total Retail Sales'!C5</f>
        <v>6.9175521074778612E-3</v>
      </c>
      <c r="O8" s="70">
        <f>+SUM(Solar_NM_kW!C9:E9,Solar_NM_kW!H9:J9)/'Total Retail Sales'!D5</f>
        <v>2.5845686050931203E-2</v>
      </c>
    </row>
    <row r="9" spans="2:15">
      <c r="B9" s="93" t="str">
        <f>+NM_Compensation_Rates!B7</f>
        <v>Enosburg</v>
      </c>
      <c r="C9" s="100">
        <f>+SUM(Solar_NM_kW!C10:J10)</f>
        <v>604.29</v>
      </c>
      <c r="D9" s="100">
        <f>+SUM(Solar_NM_kW!C30:J30)</f>
        <v>926673.09600000002</v>
      </c>
      <c r="E9" s="69">
        <f>+(NM_Compensation_Rates!M7*Solar_NM_kW!C30)+(NM_Compensation_Rates!N7*Solar_NM_kW!D30)+(NM_Compensation_Rates!O7*Solar_NM_kW!E30)+(NM_Compensation_Rates!R7*Solar_NM_kW!H30)+(NM_Compensation_Rates!S7*Solar_NM_kW!I30)+(NM_Compensation_Rates!T7*Solar_NM_kW!J30)</f>
        <v>110376.94620752244</v>
      </c>
      <c r="F9" s="65">
        <f t="shared" ref="F9:F18" si="3">+E9/D9</f>
        <v>0.11911098604671527</v>
      </c>
      <c r="H9" s="69">
        <f t="shared" si="1"/>
        <v>70427.155295999997</v>
      </c>
      <c r="I9" s="69">
        <f t="shared" si="0"/>
        <v>39949.790911522447</v>
      </c>
      <c r="J9" s="125"/>
      <c r="K9" s="69">
        <f>+'Total Retail Sales'!E6</f>
        <v>4133234.1348000001</v>
      </c>
      <c r="L9" s="70">
        <f t="shared" si="2"/>
        <v>9.6655039633885987E-3</v>
      </c>
      <c r="N9" s="70">
        <f>D9/'Total Retail Sales'!C6</f>
        <v>3.4515408980816821E-2</v>
      </c>
      <c r="O9" s="70">
        <f>+SUM(Solar_NM_kW!C10:E10,Solar_NM_kW!H10:J10)/'Total Retail Sales'!D6</f>
        <v>0.12756215670794263</v>
      </c>
    </row>
    <row r="10" spans="2:15">
      <c r="B10" s="93" t="str">
        <f>+NM_Compensation_Rates!B8</f>
        <v>Hardwick</v>
      </c>
      <c r="C10" s="100">
        <f>+SUM(Solar_NM_kW!C11:J11)</f>
        <v>604.10500000000013</v>
      </c>
      <c r="D10" s="100">
        <f>+SUM(Solar_NM_kW!C31:J31)</f>
        <v>769216.47600000014</v>
      </c>
      <c r="E10" s="69">
        <f>+(NM_Compensation_Rates!M8*Solar_NM_kW!C31)+(NM_Compensation_Rates!N8*Solar_NM_kW!D31)+(NM_Compensation_Rates!O8*Solar_NM_kW!E31)+(NM_Compensation_Rates!R8*Solar_NM_kW!H31)+(NM_Compensation_Rates!S8*Solar_NM_kW!I31)+(NM_Compensation_Rates!T8*Solar_NM_kW!J31)</f>
        <v>131247.90114492003</v>
      </c>
      <c r="F10" s="65">
        <f t="shared" si="3"/>
        <v>0.17062544191385731</v>
      </c>
      <c r="H10" s="69">
        <f t="shared" si="1"/>
        <v>58460.452176000006</v>
      </c>
      <c r="I10" s="69">
        <f t="shared" si="0"/>
        <v>72787.448968920027</v>
      </c>
      <c r="J10" s="125"/>
      <c r="K10" s="69">
        <f>+'Total Retail Sales'!E7</f>
        <v>5882109</v>
      </c>
      <c r="L10" s="70">
        <f t="shared" si="2"/>
        <v>1.2374379490233865E-2</v>
      </c>
      <c r="N10" s="70">
        <f>D10/'Total Retail Sales'!C7</f>
        <v>2.293035955714948E-2</v>
      </c>
      <c r="O10" s="70">
        <f>+SUM(Solar_NM_kW!C11:E11,Solar_NM_kW!H11:J11)/'Total Retail Sales'!D7</f>
        <v>8.4318859715850195E-2</v>
      </c>
    </row>
    <row r="11" spans="2:15">
      <c r="B11" s="93" t="str">
        <f>+NM_Compensation_Rates!B9</f>
        <v>Jacksonville</v>
      </c>
      <c r="C11" s="100">
        <f>+SUM(Solar_NM_kW!C12:J12)</f>
        <v>38.6</v>
      </c>
      <c r="D11" s="100">
        <f>+SUM(Solar_NM_kW!C32:J32)</f>
        <v>47339.040000000008</v>
      </c>
      <c r="E11" s="69">
        <f>+(NM_Compensation_Rates!M9*Solar_NM_kW!C32)+(NM_Compensation_Rates!N9*Solar_NM_kW!D32)+(NM_Compensation_Rates!O9*Solar_NM_kW!E32)+(NM_Compensation_Rates!R9*Solar_NM_kW!H32)+(NM_Compensation_Rates!S9*Solar_NM_kW!I32)+(NM_Compensation_Rates!T9*Solar_NM_kW!J32)</f>
        <v>8109.799771553211</v>
      </c>
      <c r="F11" s="65">
        <f t="shared" si="3"/>
        <v>0.17131314389884564</v>
      </c>
      <c r="H11" s="69">
        <f t="shared" si="1"/>
        <v>3597.7670400000006</v>
      </c>
      <c r="I11" s="69">
        <f t="shared" si="0"/>
        <v>4512.0327315532104</v>
      </c>
      <c r="J11" s="125"/>
      <c r="K11" s="69">
        <f>+'Total Retail Sales'!E8</f>
        <v>856821.70000000007</v>
      </c>
      <c r="L11" s="70">
        <f t="shared" si="2"/>
        <v>5.2660112734693931E-3</v>
      </c>
      <c r="N11" s="70">
        <f>D11/'Total Retail Sales'!C8</f>
        <v>9.491936217105798E-3</v>
      </c>
      <c r="O11" s="70">
        <f>+SUM(Solar_NM_kW!C12:E12,Solar_NM_kW!H12:J12)/'Total Retail Sales'!D8</f>
        <v>3.3932872690191115E-2</v>
      </c>
    </row>
    <row r="12" spans="2:15">
      <c r="B12" s="93" t="str">
        <f>+NM_Compensation_Rates!B10</f>
        <v>Johnson</v>
      </c>
      <c r="C12" s="100">
        <f>+SUM(Solar_NM_kW!C13:J13)</f>
        <v>317.60000000000002</v>
      </c>
      <c r="D12" s="100">
        <f>+SUM(Solar_NM_kW!C33:J33)</f>
        <v>442064.64000000007</v>
      </c>
      <c r="E12" s="69">
        <f>+(NM_Compensation_Rates!M10*Solar_NM_kW!C33)+(NM_Compensation_Rates!N10*Solar_NM_kW!D33)+(NM_Compensation_Rates!O10*Solar_NM_kW!E33)+(NM_Compensation_Rates!R10*Solar_NM_kW!H33)+(NM_Compensation_Rates!S10*Solar_NM_kW!I33)+(NM_Compensation_Rates!T10*Solar_NM_kW!J33)</f>
        <v>59064.196873659908</v>
      </c>
      <c r="F12" s="65">
        <f t="shared" si="3"/>
        <v>0.13360986500449323</v>
      </c>
      <c r="H12" s="69">
        <f t="shared" si="1"/>
        <v>33596.912640000002</v>
      </c>
      <c r="I12" s="69">
        <f t="shared" si="0"/>
        <v>25467.284233659906</v>
      </c>
      <c r="J12" s="125"/>
      <c r="K12" s="69">
        <f>+'Total Retail Sales'!E9</f>
        <v>2141034.9299999997</v>
      </c>
      <c r="L12" s="70">
        <f t="shared" si="2"/>
        <v>1.1894847616362761E-2</v>
      </c>
      <c r="N12" s="70">
        <f>D12/'Total Retail Sales'!C9</f>
        <v>3.5338339533829428E-2</v>
      </c>
      <c r="O12" s="70">
        <f>+SUM(Solar_NM_kW!C13:E13,Solar_NM_kW!H13:J13)/'Total Retail Sales'!D9</f>
        <v>0.13446061226995426</v>
      </c>
    </row>
    <row r="13" spans="2:15">
      <c r="B13" s="93" t="str">
        <f>+NM_Compensation_Rates!B11</f>
        <v xml:space="preserve">Ludlow </v>
      </c>
      <c r="C13" s="100">
        <f>+SUM(Solar_NM_kW!C14:J14)</f>
        <v>5.25</v>
      </c>
      <c r="D13" s="100">
        <f>+SUM(Solar_NM_kW!C34:J34)</f>
        <v>6438.6</v>
      </c>
      <c r="E13" s="69">
        <f>+(NM_Compensation_Rates!M11*Solar_NM_kW!C34)+(NM_Compensation_Rates!N11*Solar_NM_kW!D34)+(NM_Compensation_Rates!O11*Solar_NM_kW!E34)+(NM_Compensation_Rates!R11*Solar_NM_kW!H34)+(NM_Compensation_Rates!S11*Solar_NM_kW!I34)+(NM_Compensation_Rates!T11*Solar_NM_kW!J34)</f>
        <v>520.12068787894168</v>
      </c>
      <c r="F13" s="65">
        <f t="shared" si="3"/>
        <v>8.0781643195561401E-2</v>
      </c>
      <c r="H13" s="69">
        <f t="shared" si="1"/>
        <v>489.33359999999999</v>
      </c>
      <c r="I13" s="69">
        <f t="shared" si="0"/>
        <v>30.787087878941691</v>
      </c>
      <c r="J13" s="125"/>
      <c r="K13" s="69">
        <f>+'Total Retail Sales'!E10</f>
        <v>8078203.8400000008</v>
      </c>
      <c r="L13" s="70">
        <f t="shared" si="2"/>
        <v>3.811130356292382E-6</v>
      </c>
      <c r="N13" s="70">
        <f>D13/'Total Retail Sales'!C10</f>
        <v>1.1796754809601576E-4</v>
      </c>
      <c r="O13" s="70">
        <f>+SUM(Solar_NM_kW!C14:E14,Solar_NM_kW!H14:J14)/'Total Retail Sales'!D10</f>
        <v>3.9570617346854173E-4</v>
      </c>
    </row>
    <row r="14" spans="2:15">
      <c r="B14" s="93" t="str">
        <f>+NM_Compensation_Rates!B12</f>
        <v>Lyndonville</v>
      </c>
      <c r="C14" s="100">
        <f>+SUM(Solar_NM_kW!C15:J15)</f>
        <v>651.84</v>
      </c>
      <c r="D14" s="100">
        <f>+SUM(Solar_NM_kW!C35:J35)</f>
        <v>914172.57600000012</v>
      </c>
      <c r="E14" s="69">
        <f>+(NM_Compensation_Rates!M12*Solar_NM_kW!C35)+(NM_Compensation_Rates!N12*Solar_NM_kW!D35)+(NM_Compensation_Rates!O12*Solar_NM_kW!E35)+(NM_Compensation_Rates!R12*Solar_NM_kW!H35)+(NM_Compensation_Rates!S12*Solar_NM_kW!I35)+(NM_Compensation_Rates!T12*Solar_NM_kW!J35)</f>
        <v>114325.63391607201</v>
      </c>
      <c r="F14" s="65">
        <f t="shared" si="3"/>
        <v>0.12505913753867848</v>
      </c>
      <c r="H14" s="69">
        <f t="shared" si="1"/>
        <v>69477.115776000006</v>
      </c>
      <c r="I14" s="69">
        <f t="shared" si="0"/>
        <v>44848.518140072003</v>
      </c>
      <c r="J14" s="125"/>
      <c r="K14" s="69">
        <f>+'Total Retail Sales'!E11</f>
        <v>9207999.4900000002</v>
      </c>
      <c r="L14" s="70">
        <f t="shared" si="2"/>
        <v>4.8706038905386604E-3</v>
      </c>
      <c r="N14" s="70">
        <f>D14/'Total Retail Sales'!C11</f>
        <v>1.5618180845918489E-2</v>
      </c>
      <c r="O14" s="70">
        <f>+SUM(Solar_NM_kW!C15:E15,Solar_NM_kW!H15:J15)/'Total Retail Sales'!D11</f>
        <v>5.4686444751874855E-2</v>
      </c>
    </row>
    <row r="15" spans="2:15">
      <c r="B15" s="93" t="str">
        <f>+NM_Compensation_Rates!B13</f>
        <v>Morrisville</v>
      </c>
      <c r="C15" s="100">
        <f>+SUM(Solar_NM_kW!C16:J16)</f>
        <v>442.16999999999996</v>
      </c>
      <c r="D15" s="100">
        <f>+SUM(Solar_NM_kW!C36:J36)</f>
        <v>566507.44799999997</v>
      </c>
      <c r="E15" s="69">
        <f>+(NM_Compensation_Rates!M13*Solar_NM_kW!C36)+(NM_Compensation_Rates!N13*Solar_NM_kW!D36)+(NM_Compensation_Rates!O13*Solar_NM_kW!E36)+(NM_Compensation_Rates!R13*Solar_NM_kW!H36)+(NM_Compensation_Rates!S13*Solar_NM_kW!I36)+(NM_Compensation_Rates!T13*Solar_NM_kW!J36)</f>
        <v>81747.217425309384</v>
      </c>
      <c r="F15" s="65">
        <f t="shared" si="3"/>
        <v>0.14430034011716891</v>
      </c>
      <c r="H15" s="69">
        <f t="shared" si="1"/>
        <v>43054.566048000001</v>
      </c>
      <c r="I15" s="69">
        <f t="shared" si="0"/>
        <v>38692.651377309383</v>
      </c>
      <c r="J15" s="125"/>
      <c r="K15" s="69">
        <f>+'Total Retail Sales'!E12</f>
        <v>7081487</v>
      </c>
      <c r="L15" s="70">
        <f t="shared" si="2"/>
        <v>5.4639161771121497E-3</v>
      </c>
      <c r="N15" s="70">
        <f>D15/'Total Retail Sales'!C12</f>
        <v>1.2372164311014256E-2</v>
      </c>
      <c r="O15" s="70">
        <f>+SUM(Solar_NM_kW!C16:E16,Solar_NM_kW!H16:J16)/'Total Retail Sales'!D12</f>
        <v>5.4385313247203061E-2</v>
      </c>
    </row>
    <row r="16" spans="2:15">
      <c r="B16" s="93" t="str">
        <f>+NM_Compensation_Rates!B14</f>
        <v>Northfield</v>
      </c>
      <c r="C16" s="100">
        <f>+SUM(Solar_NM_kW!C17:J17)</f>
        <v>550.42999999999995</v>
      </c>
      <c r="D16" s="100">
        <f>+SUM(Solar_NM_kW!C37:J37)</f>
        <v>848845.75199999998</v>
      </c>
      <c r="E16" s="69">
        <f>+(NM_Compensation_Rates!M14*Solar_NM_kW!C37)+(NM_Compensation_Rates!N14*Solar_NM_kW!D37)+(NM_Compensation_Rates!O14*Solar_NM_kW!E37)+(NM_Compensation_Rates!R14*Solar_NM_kW!H37)+(NM_Compensation_Rates!S14*Solar_NM_kW!I37)+(NM_Compensation_Rates!T14*Solar_NM_kW!J37)</f>
        <v>74312.22536882406</v>
      </c>
      <c r="F16" s="65">
        <f t="shared" si="3"/>
        <v>8.754502828544998E-2</v>
      </c>
      <c r="H16" s="69">
        <f t="shared" si="1"/>
        <v>64512.277151999995</v>
      </c>
      <c r="I16" s="69">
        <f t="shared" si="0"/>
        <v>9799.9482168240647</v>
      </c>
      <c r="J16" s="125"/>
      <c r="K16" s="69">
        <f>+'Total Retail Sales'!E13</f>
        <v>3769911.5899999994</v>
      </c>
      <c r="L16" s="70">
        <f t="shared" si="2"/>
        <v>2.5995167215112506E-3</v>
      </c>
      <c r="N16" s="70">
        <f>D16/'Total Retail Sales'!C13</f>
        <v>3.0082485002538337E-2</v>
      </c>
      <c r="O16" s="70">
        <f>+SUM(Solar_NM_kW!C17:E17,Solar_NM_kW!H17:J17)/'Total Retail Sales'!D13</f>
        <v>0.10383159975703522</v>
      </c>
    </row>
    <row r="17" spans="2:15">
      <c r="B17" s="93" t="str">
        <f>+NM_Compensation_Rates!B15</f>
        <v>Orleans</v>
      </c>
      <c r="C17" s="100">
        <f>+SUM(Solar_NM_kW!C18:J18)</f>
        <v>14</v>
      </c>
      <c r="D17" s="100">
        <f>+SUM(Solar_NM_kW!C38:J38)</f>
        <v>17169.600000000002</v>
      </c>
      <c r="E17" s="69">
        <f>+(NM_Compensation_Rates!M15*Solar_NM_kW!C38)+(NM_Compensation_Rates!N15*Solar_NM_kW!D38)+(NM_Compensation_Rates!O15*Solar_NM_kW!E38)+(NM_Compensation_Rates!R15*Solar_NM_kW!H38)+(NM_Compensation_Rates!S15*Solar_NM_kW!I38)+(NM_Compensation_Rates!T15*Solar_NM_kW!J38)</f>
        <v>2269.845634208295</v>
      </c>
      <c r="F17" s="65">
        <f t="shared" si="3"/>
        <v>0.13220142776816551</v>
      </c>
      <c r="H17" s="69">
        <f t="shared" si="1"/>
        <v>1304.8896000000002</v>
      </c>
      <c r="I17" s="69">
        <f t="shared" si="0"/>
        <v>964.9560342082948</v>
      </c>
      <c r="J17" s="125"/>
      <c r="K17" s="69">
        <f>+'Total Retail Sales'!E14</f>
        <v>1936890.75</v>
      </c>
      <c r="L17" s="70">
        <f t="shared" si="2"/>
        <v>4.9819848342416565E-4</v>
      </c>
      <c r="N17" s="70">
        <f>D17/'Total Retail Sales'!C14</f>
        <v>1.2541657058111593E-3</v>
      </c>
      <c r="O17" s="70">
        <f>+SUM(Solar_NM_kW!C18:E18,Solar_NM_kW!H18:J18)/'Total Retail Sales'!D14</f>
        <v>4.279657260591388E-3</v>
      </c>
    </row>
    <row r="18" spans="2:15">
      <c r="B18" s="93" t="str">
        <f>+NM_Compensation_Rates!B16</f>
        <v>Swanton</v>
      </c>
      <c r="C18" s="100">
        <f>+SUM(Solar_NM_kW!C19:J19)</f>
        <v>1094.51</v>
      </c>
      <c r="D18" s="100">
        <f>+SUM(Solar_NM_kW!C39:J39)</f>
        <v>1695510.264</v>
      </c>
      <c r="E18" s="69">
        <f>+(NM_Compensation_Rates!M16*Solar_NM_kW!C39)+(NM_Compensation_Rates!N16*Solar_NM_kW!D39)+(NM_Compensation_Rates!O16*Solar_NM_kW!E39)+(NM_Compensation_Rates!R16*Solar_NM_kW!H39)+(NM_Compensation_Rates!S16*Solar_NM_kW!I39)+(NM_Compensation_Rates!T16*Solar_NM_kW!J39)</f>
        <v>144351.30401112</v>
      </c>
      <c r="F18" s="65">
        <f t="shared" si="3"/>
        <v>8.5137381398429565E-2</v>
      </c>
      <c r="H18" s="69">
        <f t="shared" si="1"/>
        <v>128858.78006399999</v>
      </c>
      <c r="I18" s="69">
        <f t="shared" si="0"/>
        <v>15492.523947120004</v>
      </c>
      <c r="J18" s="125"/>
      <c r="K18" s="69">
        <f>+'Total Retail Sales'!E15</f>
        <v>7043131.1000000006</v>
      </c>
      <c r="L18" s="70">
        <f t="shared" si="2"/>
        <v>2.1996642866863579E-3</v>
      </c>
      <c r="N18" s="70">
        <f>D18/'Total Retail Sales'!C15</f>
        <v>3.1042050216597318E-2</v>
      </c>
      <c r="O18" s="70">
        <f>+SUM(Solar_NM_kW!C19:E19,Solar_NM_kW!H19:J19)/'Total Retail Sales'!D15</f>
        <v>0.10652072147299926</v>
      </c>
    </row>
    <row r="19" spans="2:15" s="55" customFormat="1">
      <c r="G19" s="60"/>
      <c r="H19" s="60"/>
      <c r="I19" s="60"/>
    </row>
  </sheetData>
  <conditionalFormatting sqref="L8:L18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:O1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:L18">
    <cfRule type="colorScale" priority="3">
      <colorScale>
        <cfvo type="min"/>
        <cfvo type="max"/>
        <color rgb="FFFCFCFF"/>
        <color rgb="FFF8696B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18">
    <cfRule type="colorScale" priority="2">
      <colorScale>
        <cfvo type="min"/>
        <cfvo type="max"/>
        <color rgb="FFFCFCFF"/>
        <color rgb="FFF8696B"/>
      </colorScale>
    </cfRule>
  </conditionalFormatting>
  <conditionalFormatting sqref="N7:N18">
    <cfRule type="colorScale" priority="1">
      <colorScale>
        <cfvo type="min"/>
        <cfvo type="max"/>
        <color rgb="FFFCFCFF"/>
        <color rgb="FFF8696B"/>
      </colorScale>
    </cfRule>
  </conditionalFormatting>
  <pageMargins left="0.25" right="0.25" top="0.75" bottom="0.75" header="0.3" footer="0.3"/>
  <pageSetup scale="90" orientation="landscape" r:id="rId1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D4CBF-BEB6-4070-8D57-BF99C88E3648}">
  <sheetPr>
    <pageSetUpPr fitToPage="1"/>
  </sheetPr>
  <dimension ref="B2:R28"/>
  <sheetViews>
    <sheetView zoomScale="90" zoomScaleNormal="90" workbookViewId="0"/>
  </sheetViews>
  <sheetFormatPr defaultRowHeight="15.75"/>
  <cols>
    <col min="1" max="1" width="4.25" style="101" customWidth="1"/>
    <col min="2" max="2" width="13.5" style="101" customWidth="1"/>
    <col min="3" max="3" width="7.75" style="101" bestFit="1" customWidth="1"/>
    <col min="4" max="4" width="13.375" style="101" customWidth="1"/>
    <col min="5" max="8" width="7.75" style="101" bestFit="1" customWidth="1"/>
    <col min="9" max="18" width="8" style="101" bestFit="1" customWidth="1"/>
    <col min="19" max="16384" width="9" style="101"/>
  </cols>
  <sheetData>
    <row r="2" spans="2:18">
      <c r="B2" s="102" t="s">
        <v>107</v>
      </c>
    </row>
    <row r="4" spans="2:18">
      <c r="B4" s="103" t="s">
        <v>96</v>
      </c>
      <c r="C4" s="103">
        <v>2017</v>
      </c>
      <c r="D4" s="103">
        <v>2018</v>
      </c>
      <c r="E4" s="103">
        <v>2019</v>
      </c>
      <c r="F4" s="103">
        <v>2020</v>
      </c>
      <c r="G4" s="103">
        <v>2021</v>
      </c>
      <c r="H4" s="103">
        <v>2022</v>
      </c>
      <c r="I4" s="103">
        <v>2023</v>
      </c>
      <c r="J4" s="103">
        <v>2024</v>
      </c>
      <c r="K4" s="103">
        <v>2025</v>
      </c>
      <c r="L4" s="103">
        <v>2026</v>
      </c>
      <c r="M4" s="103">
        <v>2027</v>
      </c>
      <c r="N4" s="103">
        <v>2028</v>
      </c>
      <c r="O4" s="103">
        <v>2029</v>
      </c>
      <c r="P4" s="103">
        <v>2030</v>
      </c>
      <c r="Q4" s="103">
        <v>2031</v>
      </c>
      <c r="R4" s="103">
        <v>2032</v>
      </c>
    </row>
    <row r="5" spans="2:18" hidden="1">
      <c r="B5" s="104" t="s">
        <v>97</v>
      </c>
      <c r="C5" s="105">
        <v>0.55000000000000004</v>
      </c>
      <c r="D5" s="105">
        <v>0.55000000000000004</v>
      </c>
      <c r="E5" s="105">
        <v>0.55000000000000004</v>
      </c>
      <c r="F5" s="105">
        <v>0.59000000000000008</v>
      </c>
      <c r="G5" s="105">
        <v>0.59000000000000008</v>
      </c>
      <c r="H5" s="105">
        <v>0.59000000000000008</v>
      </c>
      <c r="I5" s="105">
        <v>0.63000000000000012</v>
      </c>
      <c r="J5" s="105">
        <v>0.63000000000000012</v>
      </c>
      <c r="K5" s="105">
        <v>0.63000000000000012</v>
      </c>
      <c r="L5" s="105">
        <v>0.67000000000000015</v>
      </c>
      <c r="M5" s="105">
        <v>0.67000000000000015</v>
      </c>
      <c r="N5" s="105">
        <v>0.67000000000000015</v>
      </c>
      <c r="O5" s="105">
        <v>0.71000000000000019</v>
      </c>
      <c r="P5" s="105">
        <v>0.71000000000000019</v>
      </c>
      <c r="Q5" s="105">
        <v>0.71000000000000019</v>
      </c>
      <c r="R5" s="105">
        <v>0.75000000000000022</v>
      </c>
    </row>
    <row r="6" spans="2:18" hidden="1">
      <c r="B6" s="104" t="s">
        <v>98</v>
      </c>
      <c r="C6" s="105">
        <v>0.54</v>
      </c>
      <c r="D6" s="105">
        <v>0.53400000000000003</v>
      </c>
      <c r="E6" s="105">
        <v>0.52800000000000002</v>
      </c>
      <c r="F6" s="105">
        <v>0.56200000000000006</v>
      </c>
      <c r="G6" s="105">
        <v>0.55600000000000005</v>
      </c>
      <c r="H6" s="105">
        <v>0.55000000000000004</v>
      </c>
      <c r="I6" s="105">
        <v>0.58400000000000007</v>
      </c>
      <c r="J6" s="105">
        <v>0.57800000000000007</v>
      </c>
      <c r="K6" s="105">
        <v>0.57200000000000017</v>
      </c>
      <c r="L6" s="105">
        <v>0.60600000000000021</v>
      </c>
      <c r="M6" s="105">
        <v>0.6000000000000002</v>
      </c>
      <c r="N6" s="105">
        <v>0.59400000000000019</v>
      </c>
      <c r="O6" s="105">
        <v>0.62800000000000022</v>
      </c>
      <c r="P6" s="105">
        <v>0.62200000000000022</v>
      </c>
      <c r="Q6" s="105">
        <v>0.61600000000000021</v>
      </c>
      <c r="R6" s="105">
        <v>0.65000000000000024</v>
      </c>
    </row>
    <row r="7" spans="2:18">
      <c r="B7" s="104" t="s">
        <v>106</v>
      </c>
      <c r="C7" s="105">
        <v>0.01</v>
      </c>
      <c r="D7" s="105">
        <v>1.6E-2</v>
      </c>
      <c r="E7" s="105">
        <v>2.1999999999999999E-2</v>
      </c>
      <c r="F7" s="105">
        <v>2.7999999999999997E-2</v>
      </c>
      <c r="G7" s="105">
        <v>3.3999999999999996E-2</v>
      </c>
      <c r="H7" s="105">
        <v>3.9999999999999994E-2</v>
      </c>
      <c r="I7" s="105">
        <v>4.5999999999999992E-2</v>
      </c>
      <c r="J7" s="105">
        <v>5.1999999999999991E-2</v>
      </c>
      <c r="K7" s="105">
        <v>5.7999999999999989E-2</v>
      </c>
      <c r="L7" s="105">
        <v>6.3999999999999987E-2</v>
      </c>
      <c r="M7" s="105">
        <v>6.9999999999999993E-2</v>
      </c>
      <c r="N7" s="105">
        <v>7.5999999999999998E-2</v>
      </c>
      <c r="O7" s="105">
        <v>8.2000000000000003E-2</v>
      </c>
      <c r="P7" s="105">
        <v>8.8000000000000009E-2</v>
      </c>
      <c r="Q7" s="105">
        <v>9.4000000000000014E-2</v>
      </c>
      <c r="R7" s="105">
        <v>0.10000000000000002</v>
      </c>
    </row>
    <row r="8" spans="2:18" hidden="1">
      <c r="B8" s="104" t="s">
        <v>99</v>
      </c>
      <c r="C8" s="106">
        <v>0</v>
      </c>
      <c r="D8" s="106">
        <v>0</v>
      </c>
      <c r="E8" s="105">
        <v>0.02</v>
      </c>
      <c r="F8" s="105">
        <v>2.6669999999999999E-2</v>
      </c>
      <c r="G8" s="105">
        <v>3.3340000000000002E-2</v>
      </c>
      <c r="H8" s="105">
        <v>4.0010000000000004E-2</v>
      </c>
      <c r="I8" s="105">
        <v>4.6680000000000006E-2</v>
      </c>
      <c r="J8" s="105">
        <v>5.3350000000000009E-2</v>
      </c>
      <c r="K8" s="105">
        <v>6.0020000000000011E-2</v>
      </c>
      <c r="L8" s="105">
        <v>6.6690000000000013E-2</v>
      </c>
      <c r="M8" s="105">
        <v>7.3360000000000009E-2</v>
      </c>
      <c r="N8" s="105">
        <v>8.0030000000000004E-2</v>
      </c>
      <c r="O8" s="105">
        <v>8.6699999999999999E-2</v>
      </c>
      <c r="P8" s="105">
        <v>9.3369999999999995E-2</v>
      </c>
      <c r="Q8" s="105">
        <v>0.10003999999999999</v>
      </c>
      <c r="R8" s="105">
        <v>0.10670999999999999</v>
      </c>
    </row>
    <row r="11" spans="2:18">
      <c r="B11" s="102" t="s">
        <v>108</v>
      </c>
    </row>
    <row r="12" spans="2:18">
      <c r="B12" s="102"/>
    </row>
    <row r="13" spans="2:18">
      <c r="B13" s="103" t="s">
        <v>96</v>
      </c>
      <c r="C13" s="103"/>
      <c r="D13" s="103">
        <v>2018</v>
      </c>
      <c r="E13" s="103">
        <v>2019</v>
      </c>
      <c r="F13" s="103">
        <v>2020</v>
      </c>
      <c r="G13" s="103">
        <v>2021</v>
      </c>
      <c r="H13" s="103">
        <v>2022</v>
      </c>
      <c r="I13" s="103">
        <v>2023</v>
      </c>
      <c r="J13" s="103">
        <v>2024</v>
      </c>
      <c r="K13" s="103">
        <v>2025</v>
      </c>
      <c r="L13" s="103">
        <v>2026</v>
      </c>
      <c r="M13" s="103">
        <v>2027</v>
      </c>
      <c r="N13" s="103">
        <v>2028</v>
      </c>
      <c r="O13" s="103">
        <v>2029</v>
      </c>
      <c r="P13" s="103">
        <v>2030</v>
      </c>
      <c r="Q13" s="103">
        <v>2031</v>
      </c>
      <c r="R13" s="103">
        <v>2032</v>
      </c>
    </row>
    <row r="14" spans="2:18" s="115" customFormat="1" ht="30">
      <c r="B14" s="113" t="s">
        <v>85</v>
      </c>
      <c r="C14" s="113" t="s">
        <v>101</v>
      </c>
      <c r="D14" s="114" t="s">
        <v>105</v>
      </c>
      <c r="E14" s="113" t="s">
        <v>110</v>
      </c>
      <c r="F14" s="113" t="s">
        <v>110</v>
      </c>
      <c r="G14" s="113" t="s">
        <v>110</v>
      </c>
      <c r="H14" s="113" t="s">
        <v>110</v>
      </c>
      <c r="I14" s="113" t="s">
        <v>110</v>
      </c>
      <c r="J14" s="113" t="s">
        <v>110</v>
      </c>
      <c r="K14" s="113" t="s">
        <v>110</v>
      </c>
      <c r="L14" s="113" t="s">
        <v>110</v>
      </c>
      <c r="M14" s="113" t="s">
        <v>110</v>
      </c>
      <c r="N14" s="113" t="s">
        <v>110</v>
      </c>
      <c r="O14" s="113" t="s">
        <v>110</v>
      </c>
      <c r="P14" s="113" t="s">
        <v>110</v>
      </c>
      <c r="Q14" s="113" t="s">
        <v>110</v>
      </c>
      <c r="R14" s="113" t="s">
        <v>110</v>
      </c>
    </row>
    <row r="15" spans="2:18" s="115" customFormat="1">
      <c r="B15" s="107" t="s">
        <v>111</v>
      </c>
      <c r="C15" s="109">
        <v>0.14000000000000001</v>
      </c>
      <c r="D15" s="108"/>
      <c r="E15" s="108">
        <v>0</v>
      </c>
      <c r="F15" s="108">
        <v>0</v>
      </c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8">
        <v>0</v>
      </c>
      <c r="M15" s="108">
        <v>0</v>
      </c>
      <c r="N15" s="108">
        <v>0</v>
      </c>
      <c r="O15" s="108">
        <v>0</v>
      </c>
      <c r="P15" s="108">
        <v>0</v>
      </c>
      <c r="Q15" s="108">
        <v>0</v>
      </c>
      <c r="R15" s="108">
        <v>0</v>
      </c>
    </row>
    <row r="16" spans="2:18">
      <c r="B16" s="107" t="s">
        <v>3</v>
      </c>
      <c r="C16" s="109">
        <v>0.14000000000000001</v>
      </c>
      <c r="D16" s="108">
        <f>+'Total Retail Sales'!C5</f>
        <v>13646122</v>
      </c>
      <c r="E16" s="108">
        <f>($D16*E$7)/(8760*$C16)</f>
        <v>244.79344748858446</v>
      </c>
      <c r="F16" s="108">
        <f t="shared" ref="F16:R25" si="0">($D16*F$7)/(8760*$C16)</f>
        <v>311.55529680365294</v>
      </c>
      <c r="G16" s="108">
        <f t="shared" si="0"/>
        <v>378.31714611872138</v>
      </c>
      <c r="H16" s="108">
        <f t="shared" si="0"/>
        <v>445.07899543378983</v>
      </c>
      <c r="I16" s="108">
        <f t="shared" si="0"/>
        <v>511.84084474885827</v>
      </c>
      <c r="J16" s="108">
        <f t="shared" si="0"/>
        <v>578.60269406392683</v>
      </c>
      <c r="K16" s="108">
        <f t="shared" si="0"/>
        <v>645.36454337899534</v>
      </c>
      <c r="L16" s="108">
        <f t="shared" si="0"/>
        <v>712.12639269406372</v>
      </c>
      <c r="M16" s="108">
        <f t="shared" si="0"/>
        <v>778.88824200913234</v>
      </c>
      <c r="N16" s="108">
        <f t="shared" si="0"/>
        <v>845.65009132420084</v>
      </c>
      <c r="O16" s="108">
        <f t="shared" si="0"/>
        <v>912.41194063926935</v>
      </c>
      <c r="P16" s="108">
        <f t="shared" si="0"/>
        <v>979.17378995433785</v>
      </c>
      <c r="Q16" s="108">
        <f t="shared" si="0"/>
        <v>1045.9356392694065</v>
      </c>
      <c r="R16" s="108">
        <f t="shared" si="0"/>
        <v>1112.697488584475</v>
      </c>
    </row>
    <row r="17" spans="2:18">
      <c r="B17" s="107" t="s">
        <v>4</v>
      </c>
      <c r="C17" s="109">
        <f>+C16</f>
        <v>0.14000000000000001</v>
      </c>
      <c r="D17" s="108">
        <f>+'Total Retail Sales'!C6</f>
        <v>26848098.381654173</v>
      </c>
      <c r="E17" s="108">
        <f t="shared" ref="E17:E25" si="1">($D17*E$7)/(8760*$C17)</f>
        <v>481.61950782484655</v>
      </c>
      <c r="F17" s="108">
        <f t="shared" si="0"/>
        <v>612.97028268616828</v>
      </c>
      <c r="G17" s="108">
        <f t="shared" si="0"/>
        <v>744.32105754749</v>
      </c>
      <c r="H17" s="108">
        <f t="shared" si="0"/>
        <v>875.67183240881161</v>
      </c>
      <c r="I17" s="108">
        <f t="shared" si="0"/>
        <v>1007.0226072701334</v>
      </c>
      <c r="J17" s="108">
        <f t="shared" si="0"/>
        <v>1138.3733821314552</v>
      </c>
      <c r="K17" s="108">
        <f t="shared" si="0"/>
        <v>1269.7241569927769</v>
      </c>
      <c r="L17" s="108">
        <f t="shared" si="0"/>
        <v>1401.0749318540986</v>
      </c>
      <c r="M17" s="108">
        <f t="shared" si="0"/>
        <v>1532.4257067154206</v>
      </c>
      <c r="N17" s="108">
        <f t="shared" si="0"/>
        <v>1663.7764815767425</v>
      </c>
      <c r="O17" s="108">
        <f t="shared" si="0"/>
        <v>1795.1272564380643</v>
      </c>
      <c r="P17" s="108">
        <f t="shared" si="0"/>
        <v>1926.4780312993862</v>
      </c>
      <c r="Q17" s="108">
        <f t="shared" si="0"/>
        <v>2057.8288061607082</v>
      </c>
      <c r="R17" s="108">
        <f t="shared" si="0"/>
        <v>2189.1795810220301</v>
      </c>
    </row>
    <row r="18" spans="2:18">
      <c r="B18" s="107" t="s">
        <v>52</v>
      </c>
      <c r="C18" s="109">
        <f t="shared" ref="C18:C26" si="2">+C17</f>
        <v>0.14000000000000001</v>
      </c>
      <c r="D18" s="108">
        <f>+'Total Retail Sales'!C7</f>
        <v>33545766</v>
      </c>
      <c r="E18" s="108">
        <f t="shared" si="1"/>
        <v>601.76683953033262</v>
      </c>
      <c r="F18" s="108">
        <f t="shared" si="0"/>
        <v>765.88506849315047</v>
      </c>
      <c r="G18" s="108">
        <f t="shared" si="0"/>
        <v>930.00329745596844</v>
      </c>
      <c r="H18" s="108">
        <f t="shared" si="0"/>
        <v>1094.1215264187865</v>
      </c>
      <c r="I18" s="108">
        <f t="shared" si="0"/>
        <v>1258.2397553816045</v>
      </c>
      <c r="J18" s="108">
        <f t="shared" si="0"/>
        <v>1422.3579843444224</v>
      </c>
      <c r="K18" s="108">
        <f t="shared" si="0"/>
        <v>1586.4762133072402</v>
      </c>
      <c r="L18" s="108">
        <f t="shared" si="0"/>
        <v>1750.5944422700584</v>
      </c>
      <c r="M18" s="108">
        <f t="shared" si="0"/>
        <v>1914.7126712328763</v>
      </c>
      <c r="N18" s="108">
        <f t="shared" si="0"/>
        <v>2078.8309001956945</v>
      </c>
      <c r="O18" s="108">
        <f t="shared" si="0"/>
        <v>2242.9491291585123</v>
      </c>
      <c r="P18" s="108">
        <f t="shared" si="0"/>
        <v>2407.0673581213309</v>
      </c>
      <c r="Q18" s="108">
        <f t="shared" si="0"/>
        <v>2571.1855870841491</v>
      </c>
      <c r="R18" s="108">
        <f t="shared" si="0"/>
        <v>2735.3038160469669</v>
      </c>
    </row>
    <row r="19" spans="2:18">
      <c r="B19" s="107" t="s">
        <v>7</v>
      </c>
      <c r="C19" s="109">
        <f t="shared" si="2"/>
        <v>0.14000000000000001</v>
      </c>
      <c r="D19" s="108">
        <f>+'Total Retail Sales'!C8</f>
        <v>4987290.1500000004</v>
      </c>
      <c r="E19" s="108">
        <f t="shared" si="1"/>
        <v>89.465413649706448</v>
      </c>
      <c r="F19" s="108">
        <f t="shared" si="0"/>
        <v>113.86507191780821</v>
      </c>
      <c r="G19" s="108">
        <f t="shared" si="0"/>
        <v>138.26473018590997</v>
      </c>
      <c r="H19" s="108">
        <f t="shared" si="0"/>
        <v>162.66438845401171</v>
      </c>
      <c r="I19" s="108">
        <f t="shared" si="0"/>
        <v>187.06404672211346</v>
      </c>
      <c r="J19" s="108">
        <f t="shared" si="0"/>
        <v>211.46370499021523</v>
      </c>
      <c r="K19" s="108">
        <f t="shared" si="0"/>
        <v>235.86336325831698</v>
      </c>
      <c r="L19" s="108">
        <f t="shared" si="0"/>
        <v>260.26302152641875</v>
      </c>
      <c r="M19" s="108">
        <f t="shared" si="0"/>
        <v>284.6626797945205</v>
      </c>
      <c r="N19" s="108">
        <f t="shared" si="0"/>
        <v>309.0623380626223</v>
      </c>
      <c r="O19" s="108">
        <f t="shared" si="0"/>
        <v>333.46199633072405</v>
      </c>
      <c r="P19" s="108">
        <f t="shared" si="0"/>
        <v>357.86165459882585</v>
      </c>
      <c r="Q19" s="108">
        <f t="shared" si="0"/>
        <v>382.26131286692765</v>
      </c>
      <c r="R19" s="108">
        <f t="shared" si="0"/>
        <v>406.66097113502946</v>
      </c>
    </row>
    <row r="20" spans="2:18">
      <c r="B20" s="107" t="s">
        <v>8</v>
      </c>
      <c r="C20" s="109">
        <f t="shared" si="2"/>
        <v>0.14000000000000001</v>
      </c>
      <c r="D20" s="108">
        <f>+'Total Retail Sales'!C9</f>
        <v>12509490.99</v>
      </c>
      <c r="E20" s="108">
        <f t="shared" si="1"/>
        <v>224.40378488258312</v>
      </c>
      <c r="F20" s="108">
        <f t="shared" si="0"/>
        <v>285.60481712328766</v>
      </c>
      <c r="G20" s="108">
        <f t="shared" si="0"/>
        <v>346.80584936399208</v>
      </c>
      <c r="H20" s="108">
        <f t="shared" si="0"/>
        <v>408.00688160469662</v>
      </c>
      <c r="I20" s="108">
        <f t="shared" si="0"/>
        <v>469.20791384540104</v>
      </c>
      <c r="J20" s="108">
        <f t="shared" si="0"/>
        <v>530.40894608610552</v>
      </c>
      <c r="K20" s="108">
        <f t="shared" si="0"/>
        <v>591.60997832681005</v>
      </c>
      <c r="L20" s="108">
        <f t="shared" si="0"/>
        <v>652.81101056751459</v>
      </c>
      <c r="M20" s="108">
        <f t="shared" si="0"/>
        <v>714.01204280821901</v>
      </c>
      <c r="N20" s="108">
        <f t="shared" si="0"/>
        <v>775.21307504892366</v>
      </c>
      <c r="O20" s="108">
        <f t="shared" si="0"/>
        <v>836.41410728962819</v>
      </c>
      <c r="P20" s="108">
        <f t="shared" si="0"/>
        <v>897.61513953033273</v>
      </c>
      <c r="Q20" s="108">
        <f t="shared" si="0"/>
        <v>958.81617177103726</v>
      </c>
      <c r="R20" s="108">
        <f t="shared" si="0"/>
        <v>1020.0172040117417</v>
      </c>
    </row>
    <row r="21" spans="2:18">
      <c r="B21" s="107" t="s">
        <v>33</v>
      </c>
      <c r="C21" s="109">
        <f t="shared" si="2"/>
        <v>0.14000000000000001</v>
      </c>
      <c r="D21" s="108">
        <f>+'Total Retail Sales'!C10</f>
        <v>54579417</v>
      </c>
      <c r="E21" s="108">
        <f t="shared" si="1"/>
        <v>979.08282289628164</v>
      </c>
      <c r="F21" s="108">
        <f t="shared" si="0"/>
        <v>1246.1054109589038</v>
      </c>
      <c r="G21" s="108">
        <f t="shared" si="0"/>
        <v>1513.1279990215262</v>
      </c>
      <c r="H21" s="108">
        <f t="shared" si="0"/>
        <v>1780.1505870841484</v>
      </c>
      <c r="I21" s="108">
        <f t="shared" si="0"/>
        <v>2047.1731751467705</v>
      </c>
      <c r="J21" s="108">
        <f t="shared" si="0"/>
        <v>2314.1957632093927</v>
      </c>
      <c r="K21" s="108">
        <f t="shared" si="0"/>
        <v>2581.2183512720148</v>
      </c>
      <c r="L21" s="108">
        <f t="shared" si="0"/>
        <v>2848.240939334637</v>
      </c>
      <c r="M21" s="108">
        <f t="shared" si="0"/>
        <v>3115.2635273972596</v>
      </c>
      <c r="N21" s="108">
        <f t="shared" si="0"/>
        <v>3382.2861154598822</v>
      </c>
      <c r="O21" s="108">
        <f t="shared" si="0"/>
        <v>3649.3087035225049</v>
      </c>
      <c r="P21" s="108">
        <f t="shared" si="0"/>
        <v>3916.3312915851275</v>
      </c>
      <c r="Q21" s="108">
        <f t="shared" si="0"/>
        <v>4183.3538796477496</v>
      </c>
      <c r="R21" s="108">
        <f t="shared" si="0"/>
        <v>4450.3764677103727</v>
      </c>
    </row>
    <row r="22" spans="2:18">
      <c r="B22" s="107" t="s">
        <v>10</v>
      </c>
      <c r="C22" s="109">
        <f t="shared" si="2"/>
        <v>0.14000000000000001</v>
      </c>
      <c r="D22" s="108">
        <f>+'Total Retail Sales'!C11</f>
        <v>58532590</v>
      </c>
      <c r="E22" s="108">
        <f t="shared" si="1"/>
        <v>1049.9975375081538</v>
      </c>
      <c r="F22" s="108">
        <f t="shared" si="0"/>
        <v>1336.3605022831048</v>
      </c>
      <c r="G22" s="108">
        <f t="shared" si="0"/>
        <v>1622.7234670580558</v>
      </c>
      <c r="H22" s="108">
        <f t="shared" si="0"/>
        <v>1909.0864318330068</v>
      </c>
      <c r="I22" s="108">
        <f t="shared" si="0"/>
        <v>2195.4493966079576</v>
      </c>
      <c r="J22" s="108">
        <f t="shared" si="0"/>
        <v>2481.8123613829084</v>
      </c>
      <c r="K22" s="108">
        <f t="shared" si="0"/>
        <v>2768.1753261578597</v>
      </c>
      <c r="L22" s="108">
        <f t="shared" si="0"/>
        <v>3054.5382909328105</v>
      </c>
      <c r="M22" s="108">
        <f t="shared" si="0"/>
        <v>3340.9012557077617</v>
      </c>
      <c r="N22" s="108">
        <f t="shared" si="0"/>
        <v>3627.2642204827134</v>
      </c>
      <c r="O22" s="108">
        <f t="shared" si="0"/>
        <v>3913.6271852576642</v>
      </c>
      <c r="P22" s="108">
        <f t="shared" si="0"/>
        <v>4199.9901500326159</v>
      </c>
      <c r="Q22" s="108">
        <f t="shared" si="0"/>
        <v>4486.3531148075672</v>
      </c>
      <c r="R22" s="108">
        <f t="shared" si="0"/>
        <v>4772.7160795825184</v>
      </c>
    </row>
    <row r="23" spans="2:18">
      <c r="B23" s="107" t="s">
        <v>53</v>
      </c>
      <c r="C23" s="109">
        <f t="shared" si="2"/>
        <v>0.14000000000000001</v>
      </c>
      <c r="D23" s="108">
        <f>+'Total Retail Sales'!C12</f>
        <v>45788872</v>
      </c>
      <c r="E23" s="108">
        <f t="shared" si="1"/>
        <v>821.3920287018916</v>
      </c>
      <c r="F23" s="108">
        <f t="shared" si="0"/>
        <v>1045.4080365296802</v>
      </c>
      <c r="G23" s="108">
        <f t="shared" si="0"/>
        <v>1269.4240443574688</v>
      </c>
      <c r="H23" s="108">
        <f t="shared" si="0"/>
        <v>1493.4400521852572</v>
      </c>
      <c r="I23" s="108">
        <f t="shared" si="0"/>
        <v>1717.456060013046</v>
      </c>
      <c r="J23" s="108">
        <f t="shared" si="0"/>
        <v>1941.4720678408344</v>
      </c>
      <c r="K23" s="108">
        <f t="shared" si="0"/>
        <v>2165.488075668623</v>
      </c>
      <c r="L23" s="108">
        <f t="shared" si="0"/>
        <v>2389.5040834964116</v>
      </c>
      <c r="M23" s="108">
        <f t="shared" si="0"/>
        <v>2613.5200913242002</v>
      </c>
      <c r="N23" s="108">
        <f t="shared" si="0"/>
        <v>2837.5360991519892</v>
      </c>
      <c r="O23" s="108">
        <f t="shared" si="0"/>
        <v>3061.5521069797783</v>
      </c>
      <c r="P23" s="108">
        <f t="shared" si="0"/>
        <v>3285.5681148075669</v>
      </c>
      <c r="Q23" s="108">
        <f t="shared" si="0"/>
        <v>3509.5841226353555</v>
      </c>
      <c r="R23" s="108">
        <f t="shared" si="0"/>
        <v>3733.600130463145</v>
      </c>
    </row>
    <row r="24" spans="2:18">
      <c r="B24" s="107" t="s">
        <v>12</v>
      </c>
      <c r="C24" s="109">
        <f t="shared" si="2"/>
        <v>0.14000000000000001</v>
      </c>
      <c r="D24" s="108">
        <f>+'Total Retail Sales'!C13</f>
        <v>28217275</v>
      </c>
      <c r="E24" s="108">
        <f t="shared" si="1"/>
        <v>506.18073222439654</v>
      </c>
      <c r="F24" s="108">
        <f t="shared" si="0"/>
        <v>644.23002283105018</v>
      </c>
      <c r="G24" s="108">
        <f t="shared" si="0"/>
        <v>782.27931343770365</v>
      </c>
      <c r="H24" s="108">
        <f t="shared" si="0"/>
        <v>920.32860404435723</v>
      </c>
      <c r="I24" s="108">
        <f t="shared" si="0"/>
        <v>1058.3778946510108</v>
      </c>
      <c r="J24" s="108">
        <f t="shared" si="0"/>
        <v>1196.4271852576644</v>
      </c>
      <c r="K24" s="108">
        <f t="shared" si="0"/>
        <v>1334.476475864318</v>
      </c>
      <c r="L24" s="108">
        <f t="shared" si="0"/>
        <v>1472.5257664709716</v>
      </c>
      <c r="M24" s="108">
        <f t="shared" si="0"/>
        <v>1610.5750570776252</v>
      </c>
      <c r="N24" s="108">
        <f t="shared" si="0"/>
        <v>1748.624347684279</v>
      </c>
      <c r="O24" s="108">
        <f t="shared" si="0"/>
        <v>1886.6736382909328</v>
      </c>
      <c r="P24" s="108">
        <f t="shared" si="0"/>
        <v>2024.7229288975864</v>
      </c>
      <c r="Q24" s="108">
        <f t="shared" si="0"/>
        <v>2162.7722195042402</v>
      </c>
      <c r="R24" s="108">
        <f t="shared" si="0"/>
        <v>2300.821510110894</v>
      </c>
    </row>
    <row r="25" spans="2:18">
      <c r="B25" s="107" t="s">
        <v>13</v>
      </c>
      <c r="C25" s="109">
        <f t="shared" si="2"/>
        <v>0.14000000000000001</v>
      </c>
      <c r="D25" s="108">
        <f>+'Total Retail Sales'!C14</f>
        <v>13690057</v>
      </c>
      <c r="E25" s="108">
        <f t="shared" si="1"/>
        <v>245.58158349641221</v>
      </c>
      <c r="F25" s="108">
        <f t="shared" si="0"/>
        <v>312.55837899543371</v>
      </c>
      <c r="G25" s="108">
        <f t="shared" si="0"/>
        <v>379.53517449445525</v>
      </c>
      <c r="H25" s="108">
        <f t="shared" si="0"/>
        <v>446.51196999347673</v>
      </c>
      <c r="I25" s="108">
        <f t="shared" si="0"/>
        <v>513.48876549249826</v>
      </c>
      <c r="J25" s="108">
        <f t="shared" si="0"/>
        <v>580.46556099151974</v>
      </c>
      <c r="K25" s="108">
        <f t="shared" si="0"/>
        <v>647.44235649054121</v>
      </c>
      <c r="L25" s="108">
        <f t="shared" si="0"/>
        <v>714.41915198956269</v>
      </c>
      <c r="M25" s="108">
        <f t="shared" si="0"/>
        <v>781.39594748858428</v>
      </c>
      <c r="N25" s="108">
        <f t="shared" si="0"/>
        <v>848.37274298760587</v>
      </c>
      <c r="O25" s="108">
        <f t="shared" si="0"/>
        <v>915.34953848662758</v>
      </c>
      <c r="P25" s="108">
        <f t="shared" si="0"/>
        <v>982.32633398564906</v>
      </c>
      <c r="Q25" s="108">
        <f t="shared" si="0"/>
        <v>1049.3031294846708</v>
      </c>
      <c r="R25" s="108">
        <f t="shared" si="0"/>
        <v>1116.2799249836921</v>
      </c>
    </row>
    <row r="26" spans="2:18">
      <c r="B26" s="107" t="s">
        <v>54</v>
      </c>
      <c r="C26" s="109">
        <f t="shared" si="2"/>
        <v>0.14000000000000001</v>
      </c>
      <c r="D26" s="108">
        <f>+'Total Retail Sales'!C15</f>
        <v>54619790</v>
      </c>
      <c r="E26" s="108">
        <v>0</v>
      </c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K26" s="108">
        <v>0</v>
      </c>
      <c r="L26" s="108">
        <v>0</v>
      </c>
      <c r="M26" s="108">
        <v>0</v>
      </c>
      <c r="N26" s="108">
        <v>0</v>
      </c>
      <c r="O26" s="108">
        <v>0</v>
      </c>
      <c r="P26" s="108">
        <v>0</v>
      </c>
      <c r="Q26" s="108">
        <v>0</v>
      </c>
      <c r="R26" s="108">
        <v>0</v>
      </c>
    </row>
    <row r="27" spans="2:18" s="102" customFormat="1">
      <c r="B27" s="110" t="s">
        <v>58</v>
      </c>
      <c r="C27" s="111"/>
      <c r="D27" s="112">
        <f>+'Total Retail Sales'!C16</f>
        <v>346964768.52165419</v>
      </c>
      <c r="E27" s="112">
        <f>+SUM(E16:E26)</f>
        <v>5244.2836982031895</v>
      </c>
      <c r="F27" s="112">
        <f t="shared" ref="F27:R27" si="3">+SUM(F16:F26)</f>
        <v>6674.5428886222398</v>
      </c>
      <c r="G27" s="112">
        <f t="shared" si="3"/>
        <v>8104.802079041292</v>
      </c>
      <c r="H27" s="112">
        <f t="shared" si="3"/>
        <v>9535.0612694603442</v>
      </c>
      <c r="I27" s="112">
        <f t="shared" si="3"/>
        <v>10965.320459879393</v>
      </c>
      <c r="J27" s="112">
        <f t="shared" si="3"/>
        <v>12395.579650298443</v>
      </c>
      <c r="K27" s="112">
        <f t="shared" si="3"/>
        <v>13825.838840717495</v>
      </c>
      <c r="L27" s="112">
        <f t="shared" si="3"/>
        <v>15256.098031136547</v>
      </c>
      <c r="M27" s="112">
        <f t="shared" si="3"/>
        <v>16686.357221555601</v>
      </c>
      <c r="N27" s="112">
        <f t="shared" si="3"/>
        <v>18116.616411974654</v>
      </c>
      <c r="O27" s="112">
        <f t="shared" si="3"/>
        <v>19546.875602393709</v>
      </c>
      <c r="P27" s="112">
        <f t="shared" si="3"/>
        <v>20977.134792812762</v>
      </c>
      <c r="Q27" s="112">
        <f t="shared" si="3"/>
        <v>22407.39398323181</v>
      </c>
      <c r="R27" s="112">
        <f t="shared" si="3"/>
        <v>23837.65317365087</v>
      </c>
    </row>
    <row r="28" spans="2:18">
      <c r="B28" s="112" t="s">
        <v>109</v>
      </c>
      <c r="C28" s="112"/>
      <c r="D28" s="112"/>
      <c r="E28" s="112"/>
      <c r="F28" s="112">
        <f>+F27-E27</f>
        <v>1430.2591904190504</v>
      </c>
      <c r="G28" s="112">
        <f t="shared" ref="G28:R28" si="4">+G27-F27</f>
        <v>1430.2591904190522</v>
      </c>
      <c r="H28" s="112">
        <f t="shared" si="4"/>
        <v>1430.2591904190522</v>
      </c>
      <c r="I28" s="112">
        <f t="shared" si="4"/>
        <v>1430.2591904190485</v>
      </c>
      <c r="J28" s="112">
        <f t="shared" si="4"/>
        <v>1430.2591904190504</v>
      </c>
      <c r="K28" s="112">
        <f t="shared" si="4"/>
        <v>1430.2591904190522</v>
      </c>
      <c r="L28" s="112">
        <f t="shared" si="4"/>
        <v>1430.2591904190522</v>
      </c>
      <c r="M28" s="112">
        <f t="shared" si="4"/>
        <v>1430.259190419054</v>
      </c>
      <c r="N28" s="112">
        <f t="shared" si="4"/>
        <v>1430.2591904190522</v>
      </c>
      <c r="O28" s="112">
        <f t="shared" si="4"/>
        <v>1430.2591904190558</v>
      </c>
      <c r="P28" s="112">
        <f t="shared" si="4"/>
        <v>1430.2591904190522</v>
      </c>
      <c r="Q28" s="112">
        <f t="shared" si="4"/>
        <v>1430.2591904190485</v>
      </c>
      <c r="R28" s="112">
        <f t="shared" si="4"/>
        <v>1430.2591904190595</v>
      </c>
    </row>
  </sheetData>
  <pageMargins left="0.25" right="0.25" top="0.75" bottom="0.75" header="0.3" footer="0.3"/>
  <pageSetup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Total Retail Sales</vt:lpstr>
      <vt:lpstr>Blended Rate Calc</vt:lpstr>
      <vt:lpstr>Solar_NM_kW</vt:lpstr>
      <vt:lpstr>NM_Compensation_Rates</vt:lpstr>
      <vt:lpstr>NM_Cost-Benefit</vt:lpstr>
      <vt:lpstr>RES Req</vt:lpstr>
      <vt:lpstr>'Blended Rate Calc'!Print_Area</vt:lpstr>
      <vt:lpstr>'NM_Cost-Benefit'!Print_Area</vt:lpstr>
      <vt:lpstr>'RES Req'!Print_Area</vt:lpstr>
      <vt:lpstr>NM_Compensation_Rates!Print_Titles</vt:lpstr>
      <vt:lpstr>'NM_Cost-Benefit'!Print_Titles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Shawn Enterline</cp:lastModifiedBy>
  <cp:lastPrinted>2019-10-15T19:34:13Z</cp:lastPrinted>
  <dcterms:created xsi:type="dcterms:W3CDTF">2016-10-04T17:58:00Z</dcterms:created>
  <dcterms:modified xsi:type="dcterms:W3CDTF">2019-11-01T14:40:17Z</dcterms:modified>
</cp:coreProperties>
</file>