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mbailey\Documents\"/>
    </mc:Choice>
  </mc:AlternateContent>
  <xr:revisionPtr revIDLastSave="0" documentId="8_{026BADC7-0DF9-4118-B307-69B0CC3A4CC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ummary" sheetId="2" r:id="rId1"/>
    <sheet name="solar_value 16-18" sheetId="1" r:id="rId2"/>
    <sheet name="futures" sheetId="3" r:id="rId3"/>
    <sheet name="average_kw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37" i="2" l="1"/>
  <c r="V37" i="2"/>
  <c r="W37" i="2"/>
  <c r="X37" i="2"/>
  <c r="T37" i="2"/>
  <c r="C10" i="2"/>
  <c r="D10" i="2"/>
  <c r="E10" i="2"/>
  <c r="F10" i="2"/>
  <c r="B11" i="2"/>
  <c r="C11" i="2" s="1"/>
  <c r="D11" i="2" s="1"/>
  <c r="E11" i="2" s="1"/>
  <c r="F11" i="2" s="1"/>
  <c r="C4" i="1"/>
  <c r="C3" i="1"/>
  <c r="C15" i="2"/>
  <c r="D15" i="2" s="1"/>
  <c r="E15" i="2" s="1"/>
  <c r="F15" i="2" s="1"/>
  <c r="S32" i="2" l="1"/>
  <c r="S31" i="2"/>
  <c r="S30" i="2"/>
  <c r="S29" i="2"/>
  <c r="C19" i="6" l="1"/>
  <c r="K9" i="2"/>
  <c r="L9" i="2" l="1"/>
  <c r="M9" i="2" s="1"/>
  <c r="T9" i="2"/>
  <c r="H38" i="3"/>
  <c r="C8" i="1" s="1"/>
  <c r="C9" i="1" s="1"/>
  <c r="H37" i="3"/>
  <c r="C7" i="1" s="1"/>
  <c r="V9" i="2" l="1"/>
  <c r="U9" i="2"/>
  <c r="N9" i="2"/>
  <c r="D9" i="1"/>
  <c r="C10" i="1"/>
  <c r="D7" i="1"/>
  <c r="D8" i="1"/>
  <c r="W9" i="2" l="1"/>
  <c r="O9" i="2"/>
  <c r="C11" i="1"/>
  <c r="D11" i="1" s="1"/>
  <c r="D10" i="1"/>
  <c r="C9" i="2"/>
  <c r="D9" i="2" s="1"/>
  <c r="M15" i="2" l="1"/>
  <c r="D22" i="2"/>
  <c r="O15" i="2"/>
  <c r="X15" i="2" s="1"/>
  <c r="N15" i="2"/>
  <c r="X9" i="2"/>
  <c r="L15" i="2"/>
  <c r="C22" i="2"/>
  <c r="K15" i="2"/>
  <c r="B22" i="2"/>
  <c r="C23" i="2"/>
  <c r="B24" i="2"/>
  <c r="T24" i="2"/>
  <c r="T32" i="2" s="1"/>
  <c r="N14" i="2"/>
  <c r="M14" i="2"/>
  <c r="O14" i="2"/>
  <c r="E9" i="2"/>
  <c r="E22" i="2" s="1"/>
  <c r="O22" i="2" l="1"/>
  <c r="T15" i="2"/>
  <c r="T22" i="2" s="1"/>
  <c r="T30" i="2" s="1"/>
  <c r="K22" i="2"/>
  <c r="N21" i="2"/>
  <c r="W14" i="2"/>
  <c r="W21" i="2" s="1"/>
  <c r="W29" i="2" s="1"/>
  <c r="M21" i="2"/>
  <c r="V14" i="2"/>
  <c r="V21" i="2" s="1"/>
  <c r="V29" i="2" s="1"/>
  <c r="O21" i="2"/>
  <c r="X14" i="2"/>
  <c r="U15" i="2"/>
  <c r="U22" i="2" s="1"/>
  <c r="U30" i="2" s="1"/>
  <c r="L22" i="2"/>
  <c r="W15" i="2"/>
  <c r="W22" i="2" s="1"/>
  <c r="W30" i="2" s="1"/>
  <c r="N22" i="2"/>
  <c r="V15" i="2"/>
  <c r="V22" i="2" s="1"/>
  <c r="V30" i="2" s="1"/>
  <c r="M22" i="2"/>
  <c r="X22" i="2"/>
  <c r="X30" i="2" s="1"/>
  <c r="X21" i="2"/>
  <c r="X29" i="2" s="1"/>
  <c r="D23" i="2"/>
  <c r="K24" i="2"/>
  <c r="L11" i="2"/>
  <c r="U24" i="2" s="1"/>
  <c r="U32" i="2" s="1"/>
  <c r="D21" i="2"/>
  <c r="B21" i="2"/>
  <c r="K14" i="2"/>
  <c r="C21" i="2"/>
  <c r="L14" i="2"/>
  <c r="C24" i="2"/>
  <c r="F9" i="2"/>
  <c r="E21" i="2"/>
  <c r="F21" i="2" l="1"/>
  <c r="F22" i="2"/>
  <c r="G22" i="2" s="1"/>
  <c r="P22" i="2"/>
  <c r="Y22" i="2"/>
  <c r="L21" i="2"/>
  <c r="U14" i="2"/>
  <c r="U21" i="2" s="1"/>
  <c r="K21" i="2"/>
  <c r="T14" i="2"/>
  <c r="T21" i="2" s="1"/>
  <c r="L24" i="2"/>
  <c r="M11" i="2"/>
  <c r="V24" i="2" s="1"/>
  <c r="V32" i="2" s="1"/>
  <c r="G21" i="2"/>
  <c r="C25" i="2"/>
  <c r="C26" i="2" s="1"/>
  <c r="C28" i="2" s="1"/>
  <c r="C32" i="2" s="1"/>
  <c r="D24" i="2"/>
  <c r="D25" i="2" s="1"/>
  <c r="D26" i="2" s="1"/>
  <c r="D28" i="2" s="1"/>
  <c r="D32" i="2" s="1"/>
  <c r="F23" i="2"/>
  <c r="E23" i="2"/>
  <c r="U29" i="2" l="1"/>
  <c r="T29" i="2"/>
  <c r="P21" i="2"/>
  <c r="Y21" i="2"/>
  <c r="N11" i="2"/>
  <c r="W24" i="2" s="1"/>
  <c r="W32" i="2" s="1"/>
  <c r="M24" i="2"/>
  <c r="E24" i="2"/>
  <c r="E25" i="2" s="1"/>
  <c r="E26" i="2" s="1"/>
  <c r="E28" i="2" s="1"/>
  <c r="E32" i="2" s="1"/>
  <c r="F24" i="2"/>
  <c r="F25" i="2" s="1"/>
  <c r="F26" i="2" s="1"/>
  <c r="F28" i="2" s="1"/>
  <c r="F32" i="2" s="1"/>
  <c r="N24" i="2" l="1"/>
  <c r="O11" i="2"/>
  <c r="G24" i="2"/>
  <c r="O24" i="2" l="1"/>
  <c r="X24" i="2"/>
  <c r="P24" i="2"/>
  <c r="Y24" i="2" l="1"/>
  <c r="X32" i="2"/>
  <c r="B10" i="2" l="1"/>
  <c r="B23" i="2" s="1"/>
  <c r="T23" i="2"/>
  <c r="K23" i="2"/>
  <c r="K25" i="2" s="1"/>
  <c r="K26" i="2" s="1"/>
  <c r="M23" i="2" l="1"/>
  <c r="M25" i="2" s="1"/>
  <c r="M26" i="2" s="1"/>
  <c r="V23" i="2"/>
  <c r="G23" i="2"/>
  <c r="G25" i="2" s="1"/>
  <c r="G26" i="2" s="1"/>
  <c r="B25" i="2"/>
  <c r="B26" i="2" s="1"/>
  <c r="B28" i="2" s="1"/>
  <c r="B32" i="2" s="1"/>
  <c r="T25" i="2"/>
  <c r="T31" i="2"/>
  <c r="T34" i="2" s="1"/>
  <c r="L23" i="2"/>
  <c r="U23" i="2"/>
  <c r="T50" i="2" l="1"/>
  <c r="T46" i="2"/>
  <c r="T42" i="2"/>
  <c r="T38" i="2"/>
  <c r="T49" i="2"/>
  <c r="T45" i="2"/>
  <c r="T41" i="2"/>
  <c r="T48" i="2"/>
  <c r="T44" i="2"/>
  <c r="T40" i="2"/>
  <c r="T47" i="2"/>
  <c r="T43" i="2"/>
  <c r="T39" i="2"/>
  <c r="U31" i="2"/>
  <c r="U34" i="2" s="1"/>
  <c r="U25" i="2"/>
  <c r="N23" i="2"/>
  <c r="N25" i="2" s="1"/>
  <c r="N26" i="2" s="1"/>
  <c r="W23" i="2"/>
  <c r="V25" i="2"/>
  <c r="V31" i="2"/>
  <c r="V34" i="2" s="1"/>
  <c r="L25" i="2"/>
  <c r="L26" i="2" s="1"/>
  <c r="V48" i="2" l="1"/>
  <c r="V44" i="2"/>
  <c r="V40" i="2"/>
  <c r="V47" i="2"/>
  <c r="V43" i="2"/>
  <c r="V39" i="2"/>
  <c r="V50" i="2"/>
  <c r="V46" i="2"/>
  <c r="V42" i="2"/>
  <c r="V38" i="2"/>
  <c r="V49" i="2"/>
  <c r="V45" i="2"/>
  <c r="V41" i="2"/>
  <c r="U49" i="2"/>
  <c r="U45" i="2"/>
  <c r="U41" i="2"/>
  <c r="U48" i="2"/>
  <c r="U44" i="2"/>
  <c r="U40" i="2"/>
  <c r="U47" i="2"/>
  <c r="U43" i="2"/>
  <c r="U39" i="2"/>
  <c r="U50" i="2"/>
  <c r="U46" i="2"/>
  <c r="U42" i="2"/>
  <c r="U38" i="2"/>
  <c r="O23" i="2"/>
  <c r="X23" i="2"/>
  <c r="W31" i="2"/>
  <c r="W34" i="2" s="1"/>
  <c r="W25" i="2"/>
  <c r="W47" i="2" l="1"/>
  <c r="W43" i="2"/>
  <c r="W39" i="2"/>
  <c r="W50" i="2"/>
  <c r="W46" i="2"/>
  <c r="W42" i="2"/>
  <c r="W38" i="2"/>
  <c r="W49" i="2"/>
  <c r="W45" i="2"/>
  <c r="W41" i="2"/>
  <c r="W48" i="2"/>
  <c r="W44" i="2"/>
  <c r="W40" i="2"/>
  <c r="X31" i="2"/>
  <c r="X34" i="2" s="1"/>
  <c r="X25" i="2"/>
  <c r="Y23" i="2"/>
  <c r="Y25" i="2" s="1"/>
  <c r="O25" i="2"/>
  <c r="O26" i="2" s="1"/>
  <c r="P23" i="2"/>
  <c r="P25" i="2" s="1"/>
  <c r="P26" i="2" s="1"/>
  <c r="X50" i="2" l="1"/>
  <c r="X46" i="2"/>
  <c r="X42" i="2"/>
  <c r="X38" i="2"/>
  <c r="X49" i="2"/>
  <c r="X45" i="2"/>
  <c r="X41" i="2"/>
  <c r="X48" i="2"/>
  <c r="X44" i="2"/>
  <c r="X40" i="2"/>
  <c r="X47" i="2"/>
  <c r="X43" i="2"/>
  <c r="X3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Shawn Enterline</author>
  </authors>
  <commentList>
    <comment ref="B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Avoided T&amp;D losses.</t>
        </r>
      </text>
    </comment>
    <comment ref="B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Reserve Margin Ratio</t>
        </r>
      </text>
    </comment>
    <comment ref="B1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Based on VELCO forecast of RNS costs.  Does not include VTA avoided costs.</t>
        </r>
      </text>
    </comment>
    <comment ref="B17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Capacity avoided costs only.</t>
        </r>
      </text>
    </comment>
  </commentList>
</comments>
</file>

<file path=xl/sharedStrings.xml><?xml version="1.0" encoding="utf-8"?>
<sst xmlns="http://schemas.openxmlformats.org/spreadsheetml/2006/main" count="132" uniqueCount="63">
  <si>
    <t>VT Peak kW</t>
  </si>
  <si>
    <t>kWh</t>
  </si>
  <si>
    <t>ISO-NE Peak kW</t>
  </si>
  <si>
    <t>Price</t>
  </si>
  <si>
    <t>Quantity</t>
  </si>
  <si>
    <t>$</t>
  </si>
  <si>
    <t>Total</t>
  </si>
  <si>
    <t>Losses</t>
  </si>
  <si>
    <t>Total with Losses</t>
  </si>
  <si>
    <t>Reserve Ratio</t>
  </si>
  <si>
    <t>Hub LMP</t>
  </si>
  <si>
    <t>Average Energy Value per kWh</t>
  </si>
  <si>
    <t>Forwards</t>
  </si>
  <si>
    <t>2019-09-27T00:00:00Z</t>
  </si>
  <si>
    <t>ATC</t>
  </si>
  <si>
    <t>total_hours</t>
  </si>
  <si>
    <t>off_peak_hours</t>
  </si>
  <si>
    <t>on_peak_hours</t>
  </si>
  <si>
    <t>U6</t>
  </si>
  <si>
    <t>H2</t>
  </si>
  <si>
    <t>settlement_date</t>
  </si>
  <si>
    <t>contract_date</t>
  </si>
  <si>
    <t>CY20</t>
  </si>
  <si>
    <t>CY21</t>
  </si>
  <si>
    <t>CY22</t>
  </si>
  <si>
    <t>CY23</t>
  </si>
  <si>
    <t>CY24</t>
  </si>
  <si>
    <t>Solar Value</t>
  </si>
  <si>
    <t>Solar v Hub</t>
  </si>
  <si>
    <t>Inflation</t>
  </si>
  <si>
    <t>VT Peak $/kW</t>
  </si>
  <si>
    <t>ISO-NE Peak $/kW</t>
  </si>
  <si>
    <t>1 MWh Value - no peak shift</t>
  </si>
  <si>
    <t>Energy $/kWh</t>
  </si>
  <si>
    <t>Ancillary $/kWh</t>
  </si>
  <si>
    <t>Energy</t>
  </si>
  <si>
    <t>Ancillary</t>
  </si>
  <si>
    <t>VT Peak</t>
  </si>
  <si>
    <t>ISO-NE</t>
  </si>
  <si>
    <t>1 kW system - no peak shift</t>
  </si>
  <si>
    <t>average_kw</t>
  </si>
  <si>
    <t>hour_ending</t>
  </si>
  <si>
    <t>Ratio MWh to kW</t>
  </si>
  <si>
    <t>$/kWh</t>
  </si>
  <si>
    <t>REC Value</t>
  </si>
  <si>
    <t>REC</t>
  </si>
  <si>
    <t>Total ($/kWh)</t>
  </si>
  <si>
    <t>1 kW system - Peak Shift</t>
  </si>
  <si>
    <t>Energy Cost Inflation</t>
  </si>
  <si>
    <t>BED</t>
  </si>
  <si>
    <t>Barton</t>
  </si>
  <si>
    <t>Enosburg</t>
  </si>
  <si>
    <t>Hardwick</t>
  </si>
  <si>
    <t>Hyde Park</t>
  </si>
  <si>
    <t>Jacksonville</t>
  </si>
  <si>
    <t>Johnson</t>
  </si>
  <si>
    <t>Ludlow</t>
  </si>
  <si>
    <t>Lyndonville</t>
  </si>
  <si>
    <t>Morrisville</t>
  </si>
  <si>
    <t>Northfield</t>
  </si>
  <si>
    <t>Orleans</t>
  </si>
  <si>
    <t>Swanton</t>
  </si>
  <si>
    <t>Assumed Losses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</si>
</sst>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164" formatCode="#,##0.000"/>
    <numFmt numFmtId="165" formatCode="#,##0.00000"/>
    <numFmt numFmtId="166" formatCode="0.0%"/>
    <numFmt numFmtId="167" formatCode="#,##0.0"/>
    <numFmt numFmtId="168" formatCode="&quot;$&quot;#,##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25">
    <xf numFmtId="0" fontId="0" fillId="0" borderId="0" xfId="0"/>
    <xf numFmtId="4" fontId="0" fillId="0" borderId="0" xfId="0" applyNumberFormat="1"/>
    <xf numFmtId="164" fontId="0" fillId="0" borderId="0" xfId="0" applyNumberFormat="1"/>
    <xf numFmtId="165" fontId="0" fillId="0" borderId="0" xfId="0" applyNumberFormat="1"/>
    <xf numFmtId="3" fontId="0" fillId="0" borderId="0" xfId="0" applyNumberFormat="1"/>
    <xf numFmtId="14" fontId="0" fillId="0" borderId="0" xfId="0" applyNumberFormat="1"/>
    <xf numFmtId="166" fontId="0" fillId="0" borderId="0" xfId="1" applyNumberFormat="1" applyFont="1"/>
    <xf numFmtId="164" fontId="0" fillId="0" borderId="0" xfId="0" applyNumberFormat="1" applyFill="1"/>
    <xf numFmtId="3" fontId="0" fillId="0" borderId="0" xfId="0" applyNumberFormat="1" applyFill="1"/>
    <xf numFmtId="1" fontId="0" fillId="0" borderId="0" xfId="0" applyNumberFormat="1" applyFill="1"/>
    <xf numFmtId="0" fontId="0" fillId="0" borderId="0" xfId="0" applyAlignment="1">
      <alignment horizontal="right"/>
    </xf>
    <xf numFmtId="167" fontId="0" fillId="0" borderId="0" xfId="0" applyNumberFormat="1"/>
    <xf numFmtId="9" fontId="0" fillId="0" borderId="0" xfId="1" applyFont="1"/>
    <xf numFmtId="2" fontId="0" fillId="0" borderId="0" xfId="0" applyNumberFormat="1" applyFill="1"/>
    <xf numFmtId="0" fontId="16" fillId="0" borderId="10" xfId="0" applyFont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168" fontId="0" fillId="0" borderId="10" xfId="0" applyNumberFormat="1" applyBorder="1" applyAlignment="1">
      <alignment horizontal="center"/>
    </xf>
    <xf numFmtId="4" fontId="0" fillId="0" borderId="0" xfId="0" applyNumberFormat="1" applyFill="1"/>
    <xf numFmtId="0" fontId="16" fillId="0" borderId="0" xfId="0" applyFont="1" applyFill="1" applyBorder="1" applyAlignment="1">
      <alignment horizontal="center"/>
    </xf>
    <xf numFmtId="0" fontId="16" fillId="0" borderId="0" xfId="0" applyFont="1"/>
    <xf numFmtId="10" fontId="16" fillId="0" borderId="0" xfId="0" applyNumberFormat="1" applyFont="1"/>
    <xf numFmtId="0" fontId="0" fillId="0" borderId="0" xfId="0" applyAlignment="1">
      <alignment horizontal="center" wrapText="1"/>
    </xf>
    <xf numFmtId="10" fontId="0" fillId="0" borderId="0" xfId="0" applyNumberFormat="1" applyAlignment="1">
      <alignment horizontal="center"/>
    </xf>
    <xf numFmtId="168" fontId="0" fillId="0" borderId="0" xfId="43" applyNumberFormat="1" applyFont="1" applyAlignment="1">
      <alignment horizontal="center"/>
    </xf>
    <xf numFmtId="0" fontId="0" fillId="0" borderId="0" xfId="0" applyAlignment="1">
      <alignment horizontal="center"/>
    </xf>
  </cellXfs>
  <cellStyles count="4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" xfId="43" builtinId="4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AvenirNext LT Pro Bold" panose="020B0804020202020204" pitchFamily="34" charset="0"/>
                <a:ea typeface="+mn-ea"/>
                <a:cs typeface="+mn-cs"/>
              </a:defRPr>
            </a:pPr>
            <a:r>
              <a:rPr lang="en-US"/>
              <a:t>Unitized Solar</a:t>
            </a:r>
            <a:r>
              <a:rPr lang="en-US" baseline="0"/>
              <a:t> Valuation</a:t>
            </a:r>
          </a:p>
          <a:p>
            <a:pPr>
              <a:defRPr/>
            </a:pPr>
            <a:r>
              <a:rPr lang="en-US" baseline="0"/>
              <a:t>BED October 2019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/>
              </a:solidFill>
              <a:latin typeface="AvenirNext LT Pro Bold" panose="020B08040202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1"/>
          <c:tx>
            <c:strRef>
              <c:f>Summary!$S$29</c:f>
              <c:strCache>
                <c:ptCount val="1"/>
                <c:pt idx="0">
                  <c:v>Energy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Summary!$T$28:$X$28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Summary!$T$29:$X$29</c:f>
              <c:numCache>
                <c:formatCode>"$"#,##0.000</c:formatCode>
                <c:ptCount val="5"/>
                <c:pt idx="0">
                  <c:v>3.6821389740373654E-2</c:v>
                </c:pt>
                <c:pt idx="1">
                  <c:v>3.6318803310627805E-2</c:v>
                </c:pt>
                <c:pt idx="2">
                  <c:v>3.7226773393393496E-2</c:v>
                </c:pt>
                <c:pt idx="3">
                  <c:v>3.8157442728228332E-2</c:v>
                </c:pt>
                <c:pt idx="4">
                  <c:v>3.9111378796434032E-2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39-497E-B5D9-9711EE06CB7D}"/>
            </c:ext>
          </c:extLst>
        </c:ser>
        <c:ser>
          <c:idx val="2"/>
          <c:order val="2"/>
          <c:tx>
            <c:strRef>
              <c:f>Summary!$S$30</c:f>
              <c:strCache>
                <c:ptCount val="1"/>
                <c:pt idx="0">
                  <c:v>Ancillary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Summary!$T$28:$X$28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Summary!$T$30:$X$30</c:f>
              <c:numCache>
                <c:formatCode>"$"#,##0.000</c:formatCode>
                <c:ptCount val="5"/>
                <c:pt idx="0">
                  <c:v>2.475063E-3</c:v>
                </c:pt>
                <c:pt idx="1">
                  <c:v>2.5369395749999996E-3</c:v>
                </c:pt>
                <c:pt idx="2">
                  <c:v>2.6003630643749993E-3</c:v>
                </c:pt>
                <c:pt idx="3">
                  <c:v>2.665372140984374E-3</c:v>
                </c:pt>
                <c:pt idx="4">
                  <c:v>2.7320064445089829E-3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D39-497E-B5D9-9711EE06CB7D}"/>
            </c:ext>
          </c:extLst>
        </c:ser>
        <c:ser>
          <c:idx val="3"/>
          <c:order val="3"/>
          <c:tx>
            <c:strRef>
              <c:f>Summary!$S$31</c:f>
              <c:strCache>
                <c:ptCount val="1"/>
                <c:pt idx="0">
                  <c:v>VT Peak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Summary!$T$28:$X$28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Summary!$T$31:$X$31</c:f>
              <c:numCache>
                <c:formatCode>"$"#,##0.000</c:formatCode>
                <c:ptCount val="5"/>
                <c:pt idx="0">
                  <c:v>6.08261612451868E-4</c:v>
                </c:pt>
                <c:pt idx="1">
                  <c:v>4.6054995898615555E-4</c:v>
                </c:pt>
                <c:pt idx="2">
                  <c:v>4.823942258155385E-4</c:v>
                </c:pt>
                <c:pt idx="3">
                  <c:v>4.9424295530867926E-4</c:v>
                </c:pt>
                <c:pt idx="4">
                  <c:v>5.0860517990072645E-4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D39-497E-B5D9-9711EE06CB7D}"/>
            </c:ext>
          </c:extLst>
        </c:ser>
        <c:ser>
          <c:idx val="4"/>
          <c:order val="4"/>
          <c:tx>
            <c:strRef>
              <c:f>Summary!$S$32</c:f>
              <c:strCache>
                <c:ptCount val="1"/>
                <c:pt idx="0">
                  <c:v>ISO-NE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Summary!$T$28:$X$28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Summary!$T$32:$X$32</c:f>
              <c:numCache>
                <c:formatCode>"$"#,##0.000</c:formatCode>
                <c:ptCount val="5"/>
                <c:pt idx="0">
                  <c:v>1.9355344916335945E-2</c:v>
                </c:pt>
                <c:pt idx="1">
                  <c:v>1.5783513583886018E-2</c:v>
                </c:pt>
                <c:pt idx="2">
                  <c:v>1.3329068322661519E-2</c:v>
                </c:pt>
                <c:pt idx="3">
                  <c:v>1.2394118097637127E-2</c:v>
                </c:pt>
                <c:pt idx="4">
                  <c:v>1.2703971050078051E-2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D39-497E-B5D9-9711EE06CB7D}"/>
            </c:ext>
          </c:extLst>
        </c:ser>
        <c:ser>
          <c:idx val="5"/>
          <c:order val="5"/>
          <c:tx>
            <c:strRef>
              <c:f>Summary!$S$33</c:f>
              <c:strCache>
                <c:ptCount val="1"/>
                <c:pt idx="0">
                  <c:v>REC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Summary!$T$28:$X$28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Summary!$T$33:$X$33</c:f>
              <c:numCache>
                <c:formatCode>"$"#,##0.000</c:formatCode>
                <c:ptCount val="5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D39-497E-B5D9-9711EE06CB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32283744"/>
        <c:axId val="10322853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Summary!$S$28</c15:sqref>
                        </c15:formulaRef>
                      </c:ext>
                    </c:extLst>
                    <c:strCache>
                      <c:ptCount val="1"/>
                      <c:pt idx="0">
                        <c:v>$/kWh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Summary!$T$28:$X$28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2020</c:v>
                      </c:pt>
                      <c:pt idx="1">
                        <c:v>2021</c:v>
                      </c:pt>
                      <c:pt idx="2">
                        <c:v>2022</c:v>
                      </c:pt>
                      <c:pt idx="3">
                        <c:v>2023</c:v>
                      </c:pt>
                      <c:pt idx="4">
                        <c:v>2024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Summary!$T$28:$X$28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2020</c:v>
                      </c:pt>
                      <c:pt idx="1">
                        <c:v>2021</c:v>
                      </c:pt>
                      <c:pt idx="2">
                        <c:v>2022</c:v>
                      </c:pt>
                      <c:pt idx="3">
                        <c:v>2023</c:v>
                      </c:pt>
                      <c:pt idx="4">
                        <c:v>2024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CD39-497E-B5D9-9711EE06CB7D}"/>
                  </c:ext>
                </c:extLst>
              </c15:ser>
            </c15:filteredBarSeries>
          </c:ext>
        </c:extLst>
      </c:barChart>
      <c:catAx>
        <c:axId val="1032283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venirNext LT Pro Bold" panose="020B08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32285312"/>
        <c:crosses val="autoZero"/>
        <c:auto val="1"/>
        <c:lblAlgn val="ctr"/>
        <c:lblOffset val="100"/>
        <c:noMultiLvlLbl val="0"/>
      </c:catAx>
      <c:valAx>
        <c:axId val="1032285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venirNext LT Pro Bold" panose="020B08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32283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279374453193356"/>
          <c:y val="0.17161563137941091"/>
          <c:w val="0.15053958880139984"/>
          <c:h val="0.7164679935841352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venirNext LT Pro Bold" panose="020B08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="1">
          <a:solidFill>
            <a:schemeClr val="tx1"/>
          </a:solidFill>
          <a:latin typeface="AvenirNext LT Pro Bold" panose="020B08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Solar Profile on</a:t>
            </a:r>
            <a:r>
              <a:rPr lang="en-US" baseline="0"/>
              <a:t> ISO-NE Peak Days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average_kw!$B$2:$B$25</c:f>
              <c:numCache>
                <c:formatCode>#,##0.0</c:formatCode>
                <c:ptCount val="24"/>
                <c:pt idx="0">
                  <c:v>-9.8239727854192898E-5</c:v>
                </c:pt>
                <c:pt idx="1">
                  <c:v>-9.7746091508232899E-5</c:v>
                </c:pt>
                <c:pt idx="2">
                  <c:v>-9.8350593597996595E-5</c:v>
                </c:pt>
                <c:pt idx="3">
                  <c:v>-9.8844229943956594E-5</c:v>
                </c:pt>
                <c:pt idx="4">
                  <c:v>-9.9448732033720398E-5</c:v>
                </c:pt>
                <c:pt idx="5">
                  <c:v>2.0505869603944901E-3</c:v>
                </c:pt>
                <c:pt idx="6">
                  <c:v>2.5183768137942E-2</c:v>
                </c:pt>
                <c:pt idx="7">
                  <c:v>0.122675421561201</c:v>
                </c:pt>
                <c:pt idx="8">
                  <c:v>0.18324772255977001</c:v>
                </c:pt>
                <c:pt idx="9">
                  <c:v>0.26153142950601699</c:v>
                </c:pt>
                <c:pt idx="10">
                  <c:v>0.37198614826454302</c:v>
                </c:pt>
                <c:pt idx="11">
                  <c:v>0.65383731110723897</c:v>
                </c:pt>
                <c:pt idx="12">
                  <c:v>0.77500919638904497</c:v>
                </c:pt>
                <c:pt idx="13">
                  <c:v>0.68171950616941401</c:v>
                </c:pt>
                <c:pt idx="14" formatCode="#,##0.00">
                  <c:v>0.40492508448201397</c:v>
                </c:pt>
                <c:pt idx="15" formatCode="#,##0.00">
                  <c:v>0.267971555149916</c:v>
                </c:pt>
                <c:pt idx="16" formatCode="#,##0.00">
                  <c:v>0.21292367050355701</c:v>
                </c:pt>
                <c:pt idx="17" formatCode="#,##0.00">
                  <c:v>8.5466232830052696E-2</c:v>
                </c:pt>
                <c:pt idx="18">
                  <c:v>0.10891947048662701</c:v>
                </c:pt>
                <c:pt idx="19">
                  <c:v>2.1703430586180301E-2</c:v>
                </c:pt>
                <c:pt idx="20">
                  <c:v>1.33687174828391E-3</c:v>
                </c:pt>
                <c:pt idx="21">
                  <c:v>-9.9448732033720398E-5</c:v>
                </c:pt>
                <c:pt idx="22">
                  <c:v>-9.9448732033720398E-5</c:v>
                </c:pt>
                <c:pt idx="23">
                  <c:v>-1.02741498484381E-4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00-4317-B274-EB77065EF0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32288840"/>
        <c:axId val="1032285704"/>
      </c:lineChart>
      <c:catAx>
        <c:axId val="10322888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2285704"/>
        <c:crosses val="autoZero"/>
        <c:auto val="1"/>
        <c:lblAlgn val="ctr"/>
        <c:lblOffset val="100"/>
        <c:noMultiLvlLbl val="0"/>
      </c:catAx>
      <c:valAx>
        <c:axId val="1032285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2288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6</xdr:colOff>
      <xdr:row>27</xdr:row>
      <xdr:rowOff>4762</xdr:rowOff>
    </xdr:from>
    <xdr:to>
      <xdr:col>35</xdr:col>
      <xdr:colOff>0</xdr:colOff>
      <xdr:row>46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5B48631-6D78-49CB-9B4A-6AED6AD045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3</xdr:row>
      <xdr:rowOff>19050</xdr:rowOff>
    </xdr:from>
    <xdr:to>
      <xdr:col>10</xdr:col>
      <xdr:colOff>314325</xdr:colOff>
      <xdr:row>18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1"/>
  <sheetViews>
    <sheetView tabSelected="1" topLeftCell="I1" workbookViewId="0">
      <selection activeCell="Q18" sqref="Q18"/>
    </sheetView>
  </sheetViews>
  <sheetFormatPr defaultRowHeight="15" x14ac:dyDescent="0.25"/>
  <cols>
    <col min="1" max="1" width="26.28515625" bestFit="1" customWidth="1"/>
    <col min="2" max="2" width="10.85546875" bestFit="1" customWidth="1"/>
    <col min="3" max="6" width="9.42578125" bestFit="1" customWidth="1"/>
    <col min="10" max="10" width="16" bestFit="1" customWidth="1"/>
    <col min="18" max="18" width="10.42578125" bestFit="1" customWidth="1"/>
    <col min="19" max="19" width="16.85546875" customWidth="1"/>
    <col min="20" max="20" width="11.5703125" bestFit="1" customWidth="1"/>
  </cols>
  <sheetData>
    <row r="1" spans="1:24" x14ac:dyDescent="0.25">
      <c r="A1" t="s">
        <v>32</v>
      </c>
      <c r="J1" t="s">
        <v>39</v>
      </c>
      <c r="S1" t="s">
        <v>47</v>
      </c>
    </row>
    <row r="3" spans="1:24" x14ac:dyDescent="0.25">
      <c r="A3" t="s">
        <v>7</v>
      </c>
      <c r="B3" s="6">
        <v>0.03</v>
      </c>
    </row>
    <row r="4" spans="1:24" x14ac:dyDescent="0.25">
      <c r="A4" t="s">
        <v>9</v>
      </c>
      <c r="B4" s="12">
        <v>0.2</v>
      </c>
    </row>
    <row r="5" spans="1:24" x14ac:dyDescent="0.25">
      <c r="A5" t="s">
        <v>48</v>
      </c>
      <c r="B5" s="6">
        <v>2.5000000000000001E-2</v>
      </c>
    </row>
    <row r="7" spans="1:24" x14ac:dyDescent="0.25">
      <c r="B7">
        <v>2020</v>
      </c>
      <c r="C7">
        <v>2021</v>
      </c>
      <c r="D7">
        <v>2022</v>
      </c>
      <c r="E7">
        <v>2023</v>
      </c>
      <c r="F7">
        <v>2024</v>
      </c>
      <c r="K7">
        <v>2020</v>
      </c>
      <c r="L7">
        <v>2021</v>
      </c>
      <c r="M7">
        <v>2022</v>
      </c>
      <c r="N7">
        <v>2023</v>
      </c>
      <c r="O7">
        <v>2024</v>
      </c>
      <c r="T7">
        <v>2020</v>
      </c>
      <c r="U7">
        <v>2021</v>
      </c>
      <c r="V7">
        <v>2022</v>
      </c>
      <c r="W7">
        <v>2023</v>
      </c>
      <c r="X7">
        <v>2024</v>
      </c>
    </row>
    <row r="8" spans="1:24" x14ac:dyDescent="0.25">
      <c r="A8" t="s">
        <v>4</v>
      </c>
      <c r="J8" t="s">
        <v>4</v>
      </c>
      <c r="S8" t="s">
        <v>4</v>
      </c>
    </row>
    <row r="9" spans="1:24" x14ac:dyDescent="0.25">
      <c r="A9" t="s">
        <v>1</v>
      </c>
      <c r="B9" s="4">
        <v>1000</v>
      </c>
      <c r="C9" s="4">
        <f>B9</f>
        <v>1000</v>
      </c>
      <c r="D9" s="4">
        <f t="shared" ref="D9:F9" si="0">C9</f>
        <v>1000</v>
      </c>
      <c r="E9" s="4">
        <f t="shared" si="0"/>
        <v>1000</v>
      </c>
      <c r="F9" s="4">
        <f t="shared" si="0"/>
        <v>1000</v>
      </c>
      <c r="J9" t="s">
        <v>1</v>
      </c>
      <c r="K9" s="4">
        <f>B9*'solar_value 16-18'!$G$1</f>
        <v>1217.7409887376512</v>
      </c>
      <c r="L9" s="4">
        <f>K9</f>
        <v>1217.7409887376512</v>
      </c>
      <c r="M9" s="4">
        <f t="shared" ref="M9:M11" si="1">L9</f>
        <v>1217.7409887376512</v>
      </c>
      <c r="N9" s="4">
        <f t="shared" ref="N9:N11" si="2">M9</f>
        <v>1217.7409887376512</v>
      </c>
      <c r="O9" s="4">
        <f t="shared" ref="O9:O11" si="3">N9</f>
        <v>1217.7409887376512</v>
      </c>
      <c r="S9" t="s">
        <v>1</v>
      </c>
      <c r="T9" s="4">
        <f>K9</f>
        <v>1217.7409887376512</v>
      </c>
      <c r="U9" s="4">
        <f t="shared" ref="U9" si="4">L9</f>
        <v>1217.7409887376512</v>
      </c>
      <c r="V9" s="4">
        <f t="shared" ref="V9" si="5">M9</f>
        <v>1217.7409887376512</v>
      </c>
      <c r="W9" s="4">
        <f t="shared" ref="W9" si="6">N9</f>
        <v>1217.7409887376512</v>
      </c>
      <c r="X9" s="4">
        <f t="shared" ref="X9" si="7">O9</f>
        <v>1217.7409887376512</v>
      </c>
    </row>
    <row r="10" spans="1:24" x14ac:dyDescent="0.25">
      <c r="A10" t="s">
        <v>0</v>
      </c>
      <c r="B10" s="1">
        <f>K10/'solar_value 16-18'!$G$1</f>
        <v>1.0276640049292213E-2</v>
      </c>
      <c r="C10" s="1">
        <f>L10/'solar_value 16-18'!$G$1</f>
        <v>1.0276640049292209E-2</v>
      </c>
      <c r="D10" s="1">
        <f>M10/'solar_value 16-18'!$G$1</f>
        <v>1.0276640049292209E-2</v>
      </c>
      <c r="E10" s="1">
        <f>N10/'solar_value 16-18'!$G$1</f>
        <v>1.0276640049292209E-2</v>
      </c>
      <c r="F10" s="1">
        <f>O10/'solar_value 16-18'!$G$1</f>
        <v>1.0276640049292209E-2</v>
      </c>
      <c r="J10" t="s">
        <v>0</v>
      </c>
      <c r="K10" s="17">
        <v>1.2514285814526044E-2</v>
      </c>
      <c r="L10" s="17">
        <v>1.2514285814526039E-2</v>
      </c>
      <c r="M10" s="17">
        <v>1.2514285814526039E-2</v>
      </c>
      <c r="N10" s="17">
        <v>1.2514285814526039E-2</v>
      </c>
      <c r="O10" s="17">
        <v>1.2514285814526039E-2</v>
      </c>
      <c r="S10" t="s">
        <v>0</v>
      </c>
      <c r="T10" s="1">
        <v>6.146930268533574E-3</v>
      </c>
      <c r="U10" s="1">
        <v>4.4334431811769628E-3</v>
      </c>
      <c r="V10" s="1">
        <v>4.4334431811769628E-3</v>
      </c>
      <c r="W10" s="1">
        <v>4.4334431811769628E-3</v>
      </c>
      <c r="X10" s="1">
        <v>4.4334431811769628E-3</v>
      </c>
    </row>
    <row r="11" spans="1:24" x14ac:dyDescent="0.25">
      <c r="A11" t="s">
        <v>2</v>
      </c>
      <c r="B11" s="1">
        <f>K11/'solar_value 16-18'!$G$1</f>
        <v>0.30442555375539748</v>
      </c>
      <c r="C11" s="1">
        <f>B11</f>
        <v>0.30442555375539748</v>
      </c>
      <c r="D11" s="1">
        <f t="shared" ref="D11:F11" si="8">C11</f>
        <v>0.30442555375539748</v>
      </c>
      <c r="E11" s="1">
        <f t="shared" si="8"/>
        <v>0.30442555375539748</v>
      </c>
      <c r="F11" s="1">
        <f t="shared" si="8"/>
        <v>0.30442555375539748</v>
      </c>
      <c r="J11" t="s">
        <v>2</v>
      </c>
      <c r="K11" s="1">
        <v>0.3707114748271047</v>
      </c>
      <c r="L11" s="1">
        <f t="shared" ref="L11" si="9">K11</f>
        <v>0.3707114748271047</v>
      </c>
      <c r="M11" s="1">
        <f t="shared" si="1"/>
        <v>0.3707114748271047</v>
      </c>
      <c r="N11" s="1">
        <f t="shared" si="2"/>
        <v>0.3707114748271047</v>
      </c>
      <c r="O11" s="1">
        <f t="shared" si="3"/>
        <v>0.3707114748271047</v>
      </c>
      <c r="S11" t="s">
        <v>2</v>
      </c>
      <c r="T11" s="1">
        <v>0.27185463501473134</v>
      </c>
      <c r="U11" s="1">
        <v>0.27185463501473134</v>
      </c>
      <c r="V11" s="1">
        <v>0.27185463501473134</v>
      </c>
      <c r="W11" s="1">
        <v>0.27185463501473134</v>
      </c>
      <c r="X11" s="1">
        <v>0.27185463501473134</v>
      </c>
    </row>
    <row r="12" spans="1:24" x14ac:dyDescent="0.25">
      <c r="K12" s="1"/>
      <c r="T12" s="1"/>
    </row>
    <row r="13" spans="1:24" x14ac:dyDescent="0.25">
      <c r="A13" t="s">
        <v>3</v>
      </c>
      <c r="J13" t="s">
        <v>3</v>
      </c>
      <c r="S13" t="s">
        <v>3</v>
      </c>
    </row>
    <row r="14" spans="1:24" x14ac:dyDescent="0.25">
      <c r="A14" t="s">
        <v>33</v>
      </c>
      <c r="B14" s="7">
        <v>3.6821389740373654E-2</v>
      </c>
      <c r="C14" s="7">
        <v>3.6318803310627805E-2</v>
      </c>
      <c r="D14" s="7">
        <v>3.7226773393393496E-2</v>
      </c>
      <c r="E14" s="7">
        <v>3.8157442728228332E-2</v>
      </c>
      <c r="F14" s="7">
        <v>3.9111378796434032E-2</v>
      </c>
      <c r="J14" t="s">
        <v>33</v>
      </c>
      <c r="K14" s="7">
        <f>B14</f>
        <v>3.6821389740373654E-2</v>
      </c>
      <c r="L14" s="7">
        <f t="shared" ref="L14:O14" si="10">C14</f>
        <v>3.6318803310627805E-2</v>
      </c>
      <c r="M14" s="7">
        <f t="shared" si="10"/>
        <v>3.7226773393393496E-2</v>
      </c>
      <c r="N14" s="7">
        <f t="shared" si="10"/>
        <v>3.8157442728228332E-2</v>
      </c>
      <c r="O14" s="7">
        <f t="shared" si="10"/>
        <v>3.9111378796434032E-2</v>
      </c>
      <c r="S14" t="s">
        <v>33</v>
      </c>
      <c r="T14" s="7">
        <f>K14</f>
        <v>3.6821389740373654E-2</v>
      </c>
      <c r="U14" s="7">
        <f t="shared" ref="U14:U15" si="11">L14</f>
        <v>3.6318803310627805E-2</v>
      </c>
      <c r="V14" s="7">
        <f t="shared" ref="V14:V15" si="12">M14</f>
        <v>3.7226773393393496E-2</v>
      </c>
      <c r="W14" s="7">
        <f t="shared" ref="W14:W15" si="13">N14</f>
        <v>3.8157442728228332E-2</v>
      </c>
      <c r="X14" s="7">
        <f t="shared" ref="X14:X15" si="14">O14</f>
        <v>3.9111378796434032E-2</v>
      </c>
    </row>
    <row r="15" spans="1:24" x14ac:dyDescent="0.25">
      <c r="A15" t="s">
        <v>34</v>
      </c>
      <c r="B15" s="7">
        <v>2.475063E-3</v>
      </c>
      <c r="C15" s="7">
        <f>B15*(1+$B$5)</f>
        <v>2.5369395749999996E-3</v>
      </c>
      <c r="D15" s="7">
        <f t="shared" ref="D15:F15" si="15">C15*(1+$B$5)</f>
        <v>2.6003630643749993E-3</v>
      </c>
      <c r="E15" s="7">
        <f t="shared" si="15"/>
        <v>2.665372140984374E-3</v>
      </c>
      <c r="F15" s="7">
        <f t="shared" si="15"/>
        <v>2.7320064445089829E-3</v>
      </c>
      <c r="J15" t="s">
        <v>34</v>
      </c>
      <c r="K15" s="7">
        <f>B15</f>
        <v>2.475063E-3</v>
      </c>
      <c r="L15" s="7">
        <f t="shared" ref="L15" si="16">C15</f>
        <v>2.5369395749999996E-3</v>
      </c>
      <c r="M15" s="7">
        <f t="shared" ref="M15" si="17">D15</f>
        <v>2.6003630643749993E-3</v>
      </c>
      <c r="N15" s="7">
        <f t="shared" ref="N15" si="18">E15</f>
        <v>2.665372140984374E-3</v>
      </c>
      <c r="O15" s="7">
        <f t="shared" ref="O15" si="19">F15</f>
        <v>2.7320064445089829E-3</v>
      </c>
      <c r="S15" t="s">
        <v>34</v>
      </c>
      <c r="T15" s="7">
        <f>K15</f>
        <v>2.475063E-3</v>
      </c>
      <c r="U15" s="7">
        <f t="shared" si="11"/>
        <v>2.5369395749999996E-3</v>
      </c>
      <c r="V15" s="7">
        <f t="shared" si="12"/>
        <v>2.6003630643749993E-3</v>
      </c>
      <c r="W15" s="7">
        <f t="shared" si="13"/>
        <v>2.665372140984374E-3</v>
      </c>
      <c r="X15" s="7">
        <f t="shared" si="14"/>
        <v>2.7320064445089829E-3</v>
      </c>
    </row>
    <row r="16" spans="1:24" x14ac:dyDescent="0.25">
      <c r="A16" t="s">
        <v>30</v>
      </c>
      <c r="B16" s="8">
        <v>120.5</v>
      </c>
      <c r="C16" s="8">
        <v>126.5</v>
      </c>
      <c r="D16" s="8">
        <v>132.5</v>
      </c>
      <c r="E16" s="8">
        <v>135.75450963926232</v>
      </c>
      <c r="F16" s="8">
        <v>139.6994050310532</v>
      </c>
      <c r="J16" t="s">
        <v>30</v>
      </c>
      <c r="K16" s="8">
        <v>120.5</v>
      </c>
      <c r="L16" s="8">
        <v>126.5</v>
      </c>
      <c r="M16" s="8">
        <v>132.5</v>
      </c>
      <c r="N16" s="8">
        <v>135.75450963926232</v>
      </c>
      <c r="O16" s="8">
        <v>139.6994050310532</v>
      </c>
      <c r="S16" t="s">
        <v>30</v>
      </c>
      <c r="T16" s="8">
        <v>120.5</v>
      </c>
      <c r="U16" s="8">
        <v>126.5</v>
      </c>
      <c r="V16" s="8">
        <v>132.5</v>
      </c>
      <c r="W16" s="8">
        <v>135.75450963926232</v>
      </c>
      <c r="X16" s="8">
        <v>139.6994050310532</v>
      </c>
    </row>
    <row r="17" spans="1:25" x14ac:dyDescent="0.25">
      <c r="A17" t="s">
        <v>31</v>
      </c>
      <c r="B17" s="9">
        <v>72.249999999999986</v>
      </c>
      <c r="C17" s="9">
        <v>58.917000000000002</v>
      </c>
      <c r="D17" s="9">
        <v>49.754999999999988</v>
      </c>
      <c r="E17" s="9">
        <v>46.264999999999986</v>
      </c>
      <c r="F17" s="9">
        <v>47.421624999999977</v>
      </c>
      <c r="J17" t="s">
        <v>31</v>
      </c>
      <c r="K17" s="9">
        <v>72.249999999999986</v>
      </c>
      <c r="L17" s="9">
        <v>58.917000000000002</v>
      </c>
      <c r="M17" s="9">
        <v>49.754999999999988</v>
      </c>
      <c r="N17" s="9">
        <v>46.264999999999986</v>
      </c>
      <c r="O17" s="9">
        <v>47.421624999999977</v>
      </c>
      <c r="S17" t="s">
        <v>31</v>
      </c>
      <c r="T17" s="9">
        <v>72.249999999999986</v>
      </c>
      <c r="U17" s="9">
        <v>58.917000000000002</v>
      </c>
      <c r="V17" s="9">
        <v>49.754999999999988</v>
      </c>
      <c r="W17" s="9">
        <v>46.264999999999986</v>
      </c>
      <c r="X17" s="9">
        <v>47.421624999999977</v>
      </c>
    </row>
    <row r="18" spans="1:25" x14ac:dyDescent="0.25">
      <c r="B18" s="13"/>
      <c r="C18" s="13"/>
      <c r="D18" s="13"/>
      <c r="E18" s="13"/>
      <c r="F18" s="13"/>
      <c r="K18" s="9"/>
      <c r="L18" s="9"/>
      <c r="M18" s="9"/>
      <c r="N18" s="9"/>
      <c r="O18" s="9"/>
      <c r="T18" s="9"/>
      <c r="U18" s="9"/>
      <c r="V18" s="9"/>
      <c r="W18" s="9"/>
      <c r="X18" s="9"/>
    </row>
    <row r="20" spans="1:25" x14ac:dyDescent="0.25">
      <c r="A20" t="s">
        <v>5</v>
      </c>
      <c r="G20" s="10" t="s">
        <v>6</v>
      </c>
      <c r="J20" t="s">
        <v>5</v>
      </c>
      <c r="P20" s="10" t="s">
        <v>6</v>
      </c>
      <c r="Q20" s="10"/>
      <c r="S20" t="s">
        <v>5</v>
      </c>
      <c r="Y20" s="10" t="s">
        <v>6</v>
      </c>
    </row>
    <row r="21" spans="1:25" x14ac:dyDescent="0.25">
      <c r="A21" t="s">
        <v>35</v>
      </c>
      <c r="B21" s="1">
        <f>B9*B14</f>
        <v>36.821389740373654</v>
      </c>
      <c r="C21" s="1">
        <f>C9*C14</f>
        <v>36.318803310627807</v>
      </c>
      <c r="D21" s="1">
        <f>D9*D14</f>
        <v>37.226773393393493</v>
      </c>
      <c r="E21" s="1">
        <f>E9*E14</f>
        <v>38.157442728228332</v>
      </c>
      <c r="F21" s="1">
        <f>F9*F14</f>
        <v>39.111378796434032</v>
      </c>
      <c r="G21" s="4">
        <f>SUM(B21:F21)</f>
        <v>187.6357879690573</v>
      </c>
      <c r="J21" t="s">
        <v>35</v>
      </c>
      <c r="K21" s="1">
        <f>K9*K14</f>
        <v>44.83891554913702</v>
      </c>
      <c r="L21" s="1">
        <f>L9*L14</f>
        <v>44.226895453252183</v>
      </c>
      <c r="M21" s="1">
        <f>M9*M14</f>
        <v>45.332567839583483</v>
      </c>
      <c r="N21" s="1">
        <f>N9*N14</f>
        <v>46.465882035573067</v>
      </c>
      <c r="O21" s="1">
        <f>O9*O14</f>
        <v>47.627529086462381</v>
      </c>
      <c r="P21" s="4">
        <f>SUM(K21:O21)</f>
        <v>228.49178996400812</v>
      </c>
      <c r="S21" t="s">
        <v>35</v>
      </c>
      <c r="T21" s="1">
        <f>T9*T14</f>
        <v>44.83891554913702</v>
      </c>
      <c r="U21" s="1">
        <f>U9*U14</f>
        <v>44.226895453252183</v>
      </c>
      <c r="V21" s="1">
        <f>V9*V14</f>
        <v>45.332567839583483</v>
      </c>
      <c r="W21" s="1">
        <f>W9*W14</f>
        <v>46.465882035573067</v>
      </c>
      <c r="X21" s="1">
        <f>X9*X14</f>
        <v>47.627529086462381</v>
      </c>
      <c r="Y21" s="4">
        <f>SUM(T21:X21)</f>
        <v>228.49178996400812</v>
      </c>
    </row>
    <row r="22" spans="1:25" x14ac:dyDescent="0.25">
      <c r="A22" t="s">
        <v>36</v>
      </c>
      <c r="B22" s="1">
        <f>B9*B15</f>
        <v>2.475063</v>
      </c>
      <c r="C22" s="1">
        <f t="shared" ref="C22:F22" si="20">C9*C15</f>
        <v>2.5369395749999994</v>
      </c>
      <c r="D22" s="1">
        <f t="shared" si="20"/>
        <v>2.6003630643749993</v>
      </c>
      <c r="E22" s="1">
        <f t="shared" si="20"/>
        <v>2.665372140984374</v>
      </c>
      <c r="F22" s="1">
        <f t="shared" si="20"/>
        <v>2.7320064445089831</v>
      </c>
      <c r="G22" s="4">
        <f>SUM(B22:F22)</f>
        <v>13.009744224868356</v>
      </c>
      <c r="J22" t="s">
        <v>36</v>
      </c>
      <c r="K22" s="1">
        <f>K9*K15</f>
        <v>3.013985664807977</v>
      </c>
      <c r="L22" s="1">
        <f t="shared" ref="L22:O22" si="21">L9*L15</f>
        <v>3.0893353064281759</v>
      </c>
      <c r="M22" s="1">
        <f t="shared" si="21"/>
        <v>3.16656868908888</v>
      </c>
      <c r="N22" s="1">
        <f t="shared" si="21"/>
        <v>3.2457329063161016</v>
      </c>
      <c r="O22" s="1">
        <f t="shared" si="21"/>
        <v>3.3268762289740037</v>
      </c>
      <c r="P22" s="4">
        <f>SUM(K22:O22)</f>
        <v>15.842498795615139</v>
      </c>
      <c r="S22" t="s">
        <v>36</v>
      </c>
      <c r="T22" s="1">
        <f>T9*T15</f>
        <v>3.013985664807977</v>
      </c>
      <c r="U22" s="1">
        <f t="shared" ref="U22:X22" si="22">U9*U15</f>
        <v>3.0893353064281759</v>
      </c>
      <c r="V22" s="1">
        <f t="shared" si="22"/>
        <v>3.16656868908888</v>
      </c>
      <c r="W22" s="1">
        <f t="shared" si="22"/>
        <v>3.2457329063161016</v>
      </c>
      <c r="X22" s="1">
        <f t="shared" si="22"/>
        <v>3.3268762289740037</v>
      </c>
      <c r="Y22" s="4">
        <f>SUM(T22:X22)</f>
        <v>15.842498795615139</v>
      </c>
    </row>
    <row r="23" spans="1:25" x14ac:dyDescent="0.25">
      <c r="A23" t="s">
        <v>37</v>
      </c>
      <c r="B23" s="1">
        <f>B10*B16</f>
        <v>1.2383351259397117</v>
      </c>
      <c r="C23" s="1">
        <f>C10*C16</f>
        <v>1.2999949662354644</v>
      </c>
      <c r="D23" s="1">
        <f>D10*D16</f>
        <v>1.3616548065312177</v>
      </c>
      <c r="E23" s="1">
        <f>E10*E16</f>
        <v>1.3951002306308684</v>
      </c>
      <c r="F23" s="1">
        <f>F10*F16</f>
        <v>1.4356405006044148</v>
      </c>
      <c r="G23" s="4">
        <f>SUM(B23:F23)</f>
        <v>6.7307256299416771</v>
      </c>
      <c r="J23" t="s">
        <v>37</v>
      </c>
      <c r="K23" s="1">
        <f>K10*K16</f>
        <v>1.5079714406503884</v>
      </c>
      <c r="L23" s="1">
        <f>L10*L16</f>
        <v>1.5830571555375439</v>
      </c>
      <c r="M23" s="1">
        <f>M10*M16</f>
        <v>1.6581428704247001</v>
      </c>
      <c r="N23" s="1">
        <f>N10*N16</f>
        <v>1.6988707342365588</v>
      </c>
      <c r="O23" s="1">
        <f>O10*O16</f>
        <v>1.7482382826778367</v>
      </c>
      <c r="P23" s="4">
        <f>SUM(K23:O23)</f>
        <v>8.196280483527028</v>
      </c>
      <c r="S23" t="s">
        <v>37</v>
      </c>
      <c r="T23" s="1">
        <f>T10*T16</f>
        <v>0.74070509735829571</v>
      </c>
      <c r="U23" s="1">
        <f>U10*U16</f>
        <v>0.56083056241888574</v>
      </c>
      <c r="V23" s="1">
        <f>V10*V16</f>
        <v>0.58743122150594762</v>
      </c>
      <c r="W23" s="1">
        <f>W10*W16</f>
        <v>0.60185990507420983</v>
      </c>
      <c r="X23" s="1">
        <f>X10*X16</f>
        <v>0.61934937464940154</v>
      </c>
      <c r="Y23" s="4">
        <f>SUM(T23:X23)</f>
        <v>3.1101761610067404</v>
      </c>
    </row>
    <row r="24" spans="1:25" x14ac:dyDescent="0.25">
      <c r="A24" t="s">
        <v>38</v>
      </c>
      <c r="B24" s="1">
        <f>B11*B17*(1+$B$4)</f>
        <v>26.393695510592959</v>
      </c>
      <c r="C24" s="1">
        <f>C11*C17*(1+$B$4)</f>
        <v>21.523008420728104</v>
      </c>
      <c r="D24" s="1">
        <f>D11*D17*(1+$B$4)</f>
        <v>18.176032112519756</v>
      </c>
      <c r="E24" s="1">
        <f>E11*E17*(1+$B$4)</f>
        <v>16.901097893392151</v>
      </c>
      <c r="F24" s="1">
        <f>F11*F17*(1+$B$4)</f>
        <v>17.323625340726952</v>
      </c>
      <c r="G24" s="4">
        <f>SUM(B24:F24)</f>
        <v>100.31745927795993</v>
      </c>
      <c r="J24" t="s">
        <v>38</v>
      </c>
      <c r="K24" s="1">
        <f>K11*K17*(1+$B$4)</f>
        <v>32.140684867509968</v>
      </c>
      <c r="L24" s="1">
        <f>L11*L17*(1+$B$4)</f>
        <v>26.209449554866232</v>
      </c>
      <c r="M24" s="1">
        <f>M11*M17*(1+$B$4)</f>
        <v>22.133699316027108</v>
      </c>
      <c r="N24" s="1">
        <f>N11*N17*(1+$B$4)</f>
        <v>20.581159659451192</v>
      </c>
      <c r="O24" s="1">
        <f>O11*O17*(1+$B$4)</f>
        <v>21.095688650937468</v>
      </c>
      <c r="P24" s="4">
        <f>SUM(K24:O24)</f>
        <v>122.16068204879195</v>
      </c>
      <c r="S24" t="s">
        <v>38</v>
      </c>
      <c r="T24" s="1">
        <f>T11*T17*(1+$B$4)</f>
        <v>23.569796855777202</v>
      </c>
      <c r="U24" s="1">
        <f>U11*U17*(1+$B$4)</f>
        <v>19.220231437395508</v>
      </c>
      <c r="V24" s="1">
        <f>V11*V17*(1+$B$4)</f>
        <v>16.231352838189544</v>
      </c>
      <c r="W24" s="1">
        <f>W11*W17*(1+$B$4)</f>
        <v>15.09282562674785</v>
      </c>
      <c r="X24" s="1">
        <f>X11*X17*(1+$B$4)</f>
        <v>15.470146267416542</v>
      </c>
      <c r="Y24" s="4">
        <f>SUM(T24:X24)</f>
        <v>89.584353025526639</v>
      </c>
    </row>
    <row r="25" spans="1:25" x14ac:dyDescent="0.25">
      <c r="A25" t="s">
        <v>6</v>
      </c>
      <c r="B25" s="1">
        <f>SUM(B21:B24)</f>
        <v>66.928483376906328</v>
      </c>
      <c r="C25" s="1">
        <f t="shared" ref="C25:G25" si="23">SUM(C21:C24)</f>
        <v>61.678746272591376</v>
      </c>
      <c r="D25" s="1">
        <f t="shared" si="23"/>
        <v>59.364823376819466</v>
      </c>
      <c r="E25" s="1">
        <f t="shared" si="23"/>
        <v>59.119012993235728</v>
      </c>
      <c r="F25" s="1">
        <f t="shared" si="23"/>
        <v>60.602651082274377</v>
      </c>
      <c r="G25" s="4">
        <f t="shared" si="23"/>
        <v>307.69371710182725</v>
      </c>
      <c r="J25" t="s">
        <v>6</v>
      </c>
      <c r="K25" s="1">
        <f>SUM(K21:K24)</f>
        <v>81.501557522105344</v>
      </c>
      <c r="L25" s="1">
        <f t="shared" ref="L25:P25" si="24">SUM(L21:L24)</f>
        <v>75.108737470084137</v>
      </c>
      <c r="M25" s="1">
        <f t="shared" si="24"/>
        <v>72.290978715124169</v>
      </c>
      <c r="N25" s="1">
        <f t="shared" si="24"/>
        <v>71.991645335576919</v>
      </c>
      <c r="O25" s="1">
        <f t="shared" si="24"/>
        <v>73.798332249051697</v>
      </c>
      <c r="P25" s="4">
        <f t="shared" si="24"/>
        <v>374.69125129194225</v>
      </c>
      <c r="S25" t="s">
        <v>6</v>
      </c>
      <c r="T25" s="1">
        <f>SUM(T21:T24)</f>
        <v>72.163403167080489</v>
      </c>
      <c r="U25" s="1">
        <f t="shared" ref="U25:Y25" si="25">SUM(U21:U24)</f>
        <v>67.097292759494749</v>
      </c>
      <c r="V25" s="1">
        <f t="shared" si="25"/>
        <v>65.317920588367855</v>
      </c>
      <c r="W25" s="1">
        <f t="shared" si="25"/>
        <v>65.406300473711227</v>
      </c>
      <c r="X25" s="1">
        <f t="shared" si="25"/>
        <v>67.043900957502331</v>
      </c>
      <c r="Y25" s="4">
        <f t="shared" si="25"/>
        <v>337.02881794615666</v>
      </c>
    </row>
    <row r="26" spans="1:25" x14ac:dyDescent="0.25">
      <c r="A26" t="s">
        <v>8</v>
      </c>
      <c r="B26" s="1">
        <f>B25*(1+$B$3)</f>
        <v>68.936337878213521</v>
      </c>
      <c r="C26" s="1">
        <f t="shared" ref="C26:G26" si="26">C25*(1+$B$3)</f>
        <v>63.529108660769118</v>
      </c>
      <c r="D26" s="1">
        <f t="shared" si="26"/>
        <v>61.14576807812405</v>
      </c>
      <c r="E26" s="1">
        <f t="shared" si="26"/>
        <v>60.8925833830328</v>
      </c>
      <c r="F26" s="1">
        <f t="shared" si="26"/>
        <v>62.42073061474261</v>
      </c>
      <c r="G26" s="4">
        <f t="shared" si="26"/>
        <v>316.92452861488209</v>
      </c>
      <c r="J26" t="s">
        <v>8</v>
      </c>
      <c r="K26" s="1">
        <f>K25*(1+$B$3)</f>
        <v>83.946604247768505</v>
      </c>
      <c r="L26" s="1">
        <f t="shared" ref="L26:P26" si="27">L25*(1+$B$3)</f>
        <v>77.361999594186656</v>
      </c>
      <c r="M26" s="1">
        <f t="shared" si="27"/>
        <v>74.459708076577897</v>
      </c>
      <c r="N26" s="1">
        <f t="shared" si="27"/>
        <v>74.151394695644228</v>
      </c>
      <c r="O26" s="1">
        <f t="shared" si="27"/>
        <v>76.012282216523246</v>
      </c>
      <c r="P26" s="4">
        <f t="shared" si="27"/>
        <v>385.9319888307005</v>
      </c>
    </row>
    <row r="28" spans="1:25" x14ac:dyDescent="0.25">
      <c r="A28" t="s">
        <v>46</v>
      </c>
      <c r="B28" s="1">
        <f>+B26/B9</f>
        <v>6.8936337878213516E-2</v>
      </c>
      <c r="C28" s="1">
        <f t="shared" ref="C28:F28" si="28">+C26/C9</f>
        <v>6.3529108660769121E-2</v>
      </c>
      <c r="D28" s="1">
        <f t="shared" si="28"/>
        <v>6.1145768078124052E-2</v>
      </c>
      <c r="E28" s="1">
        <f t="shared" si="28"/>
        <v>6.08925833830328E-2</v>
      </c>
      <c r="F28" s="1">
        <f t="shared" si="28"/>
        <v>6.2420730614742612E-2</v>
      </c>
      <c r="S28" s="15" t="s">
        <v>43</v>
      </c>
      <c r="T28" s="15">
        <v>2020</v>
      </c>
      <c r="U28" s="15">
        <v>2021</v>
      </c>
      <c r="V28" s="15">
        <v>2022</v>
      </c>
      <c r="W28" s="15">
        <v>2023</v>
      </c>
      <c r="X28" s="15">
        <v>2024</v>
      </c>
    </row>
    <row r="29" spans="1:25" x14ac:dyDescent="0.25">
      <c r="S29" s="14" t="str">
        <f>+S21</f>
        <v>Energy</v>
      </c>
      <c r="T29" s="16">
        <f>+T21/T$9</f>
        <v>3.6821389740373654E-2</v>
      </c>
      <c r="U29" s="16">
        <f t="shared" ref="U29:X29" si="29">+U21/U$9</f>
        <v>3.6318803310627805E-2</v>
      </c>
      <c r="V29" s="16">
        <f t="shared" si="29"/>
        <v>3.7226773393393496E-2</v>
      </c>
      <c r="W29" s="16">
        <f t="shared" si="29"/>
        <v>3.8157442728228332E-2</v>
      </c>
      <c r="X29" s="16">
        <f t="shared" si="29"/>
        <v>3.9111378796434032E-2</v>
      </c>
    </row>
    <row r="30" spans="1:25" x14ac:dyDescent="0.25">
      <c r="A30" t="s">
        <v>44</v>
      </c>
      <c r="B30">
        <v>0.03</v>
      </c>
      <c r="C30">
        <v>0.03</v>
      </c>
      <c r="D30">
        <v>0.03</v>
      </c>
      <c r="E30">
        <v>0.03</v>
      </c>
      <c r="F30">
        <v>0.03</v>
      </c>
      <c r="S30" s="14" t="str">
        <f>+S22</f>
        <v>Ancillary</v>
      </c>
      <c r="T30" s="16">
        <f t="shared" ref="T30:X32" si="30">+T22/T$9</f>
        <v>2.475063E-3</v>
      </c>
      <c r="U30" s="16">
        <f t="shared" si="30"/>
        <v>2.5369395749999996E-3</v>
      </c>
      <c r="V30" s="16">
        <f t="shared" si="30"/>
        <v>2.6003630643749993E-3</v>
      </c>
      <c r="W30" s="16">
        <f t="shared" si="30"/>
        <v>2.665372140984374E-3</v>
      </c>
      <c r="X30" s="16">
        <f t="shared" si="30"/>
        <v>2.7320064445089829E-3</v>
      </c>
    </row>
    <row r="31" spans="1:25" x14ac:dyDescent="0.25">
      <c r="S31" s="14" t="str">
        <f>+S23</f>
        <v>VT Peak</v>
      </c>
      <c r="T31" s="16">
        <f t="shared" si="30"/>
        <v>6.08261612451868E-4</v>
      </c>
      <c r="U31" s="16">
        <f t="shared" si="30"/>
        <v>4.6054995898615555E-4</v>
      </c>
      <c r="V31" s="16">
        <f t="shared" si="30"/>
        <v>4.823942258155385E-4</v>
      </c>
      <c r="W31" s="16">
        <f t="shared" si="30"/>
        <v>4.9424295530867926E-4</v>
      </c>
      <c r="X31" s="16">
        <f t="shared" si="30"/>
        <v>5.0860517990072645E-4</v>
      </c>
    </row>
    <row r="32" spans="1:25" x14ac:dyDescent="0.25">
      <c r="B32" s="1">
        <f>+B30+B28</f>
        <v>9.8936337878213515E-2</v>
      </c>
      <c r="C32" s="1">
        <f>+C30+C28</f>
        <v>9.352910866076912E-2</v>
      </c>
      <c r="D32" s="1">
        <f>+D30+D28</f>
        <v>9.1145768078124051E-2</v>
      </c>
      <c r="E32" s="1">
        <f>+E30+E28</f>
        <v>9.0892583383032799E-2</v>
      </c>
      <c r="F32" s="1">
        <f>+F30+F28</f>
        <v>9.2420730614742611E-2</v>
      </c>
      <c r="S32" s="14" t="str">
        <f>+S24</f>
        <v>ISO-NE</v>
      </c>
      <c r="T32" s="16">
        <f t="shared" si="30"/>
        <v>1.9355344916335945E-2</v>
      </c>
      <c r="U32" s="16">
        <f t="shared" si="30"/>
        <v>1.5783513583886018E-2</v>
      </c>
      <c r="V32" s="16">
        <f t="shared" si="30"/>
        <v>1.3329068322661519E-2</v>
      </c>
      <c r="W32" s="16">
        <f t="shared" si="30"/>
        <v>1.2394118097637127E-2</v>
      </c>
      <c r="X32" s="16">
        <f t="shared" si="30"/>
        <v>1.2703971050078051E-2</v>
      </c>
    </row>
    <row r="33" spans="18:25" x14ac:dyDescent="0.25">
      <c r="S33" s="14" t="s">
        <v>45</v>
      </c>
      <c r="T33" s="16">
        <v>0.03</v>
      </c>
      <c r="U33" s="16">
        <v>0.03</v>
      </c>
      <c r="V33" s="16">
        <v>0.03</v>
      </c>
      <c r="W33" s="16">
        <v>0.03</v>
      </c>
      <c r="X33" s="16">
        <v>0.03</v>
      </c>
    </row>
    <row r="34" spans="18:25" x14ac:dyDescent="0.25">
      <c r="S34" s="14" t="s">
        <v>6</v>
      </c>
      <c r="T34" s="16">
        <f>+SUM(T29:T33)</f>
        <v>8.926005926916146E-2</v>
      </c>
      <c r="U34" s="16">
        <f>+SUM(U29:U33)</f>
        <v>8.5099806428499986E-2</v>
      </c>
      <c r="V34" s="16">
        <f>+SUM(V29:V33)</f>
        <v>8.3638599006245554E-2</v>
      </c>
      <c r="W34" s="16">
        <f>+SUM(W29:W33)</f>
        <v>8.3711175922158515E-2</v>
      </c>
      <c r="X34" s="16">
        <f>+SUM(X29:X33)</f>
        <v>8.5055961470921787E-2</v>
      </c>
    </row>
    <row r="36" spans="18:25" x14ac:dyDescent="0.25">
      <c r="T36" s="24" t="s">
        <v>8</v>
      </c>
      <c r="U36" s="24"/>
      <c r="V36" s="24"/>
      <c r="W36" s="24"/>
      <c r="X36" s="24"/>
      <c r="Y36" s="4"/>
    </row>
    <row r="37" spans="18:25" x14ac:dyDescent="0.25">
      <c r="S37" s="21" t="s">
        <v>62</v>
      </c>
      <c r="T37" s="18">
        <f>T28</f>
        <v>2020</v>
      </c>
      <c r="U37" s="18">
        <f t="shared" ref="U37:X37" si="31">U28</f>
        <v>2021</v>
      </c>
      <c r="V37" s="18">
        <f t="shared" si="31"/>
        <v>2022</v>
      </c>
      <c r="W37" s="18">
        <f t="shared" si="31"/>
        <v>2023</v>
      </c>
      <c r="X37" s="18">
        <f t="shared" si="31"/>
        <v>2024</v>
      </c>
    </row>
    <row r="38" spans="18:25" x14ac:dyDescent="0.25">
      <c r="R38" t="s">
        <v>49</v>
      </c>
      <c r="S38" s="22">
        <v>0.03</v>
      </c>
      <c r="T38" s="23">
        <f>T$34*(1+$S38)</f>
        <v>9.1937861047236308E-2</v>
      </c>
      <c r="U38" s="23">
        <f t="shared" ref="U38:X50" si="32">U$34*(1+$S38)</f>
        <v>8.7652800621354984E-2</v>
      </c>
      <c r="V38" s="23">
        <f t="shared" si="32"/>
        <v>8.6147756976432927E-2</v>
      </c>
      <c r="W38" s="23">
        <f t="shared" si="32"/>
        <v>8.6222511199823271E-2</v>
      </c>
      <c r="X38" s="23">
        <f t="shared" si="32"/>
        <v>8.7607640315049445E-2</v>
      </c>
    </row>
    <row r="39" spans="18:25" x14ac:dyDescent="0.25">
      <c r="R39" t="s">
        <v>50</v>
      </c>
      <c r="S39" s="22">
        <v>0.13056509797498725</v>
      </c>
      <c r="T39" s="23">
        <f t="shared" ref="T39:T50" si="33">T$34*(1+$S39)</f>
        <v>0.10091430765289269</v>
      </c>
      <c r="U39" s="23">
        <f t="shared" si="32"/>
        <v>9.6210870992489539E-2</v>
      </c>
      <c r="V39" s="23">
        <f t="shared" si="32"/>
        <v>9.4558880879986679E-2</v>
      </c>
      <c r="W39" s="23">
        <f t="shared" si="32"/>
        <v>9.4640933808036537E-2</v>
      </c>
      <c r="X39" s="23">
        <f t="shared" si="32"/>
        <v>9.616130141372943E-2</v>
      </c>
    </row>
    <row r="40" spans="18:25" x14ac:dyDescent="0.25">
      <c r="R40" t="s">
        <v>51</v>
      </c>
      <c r="S40" s="22">
        <v>8.3154418655137896E-2</v>
      </c>
      <c r="T40" s="23">
        <f t="shared" si="33"/>
        <v>9.6682427606811727E-2</v>
      </c>
      <c r="U40" s="23">
        <f t="shared" si="32"/>
        <v>9.2176231359726662E-2</v>
      </c>
      <c r="V40" s="23">
        <f t="shared" si="32"/>
        <v>9.0593518083740096E-2</v>
      </c>
      <c r="W40" s="23">
        <f t="shared" si="32"/>
        <v>9.067213009090358E-2</v>
      </c>
      <c r="X40" s="23">
        <f t="shared" si="32"/>
        <v>9.2128740500190084E-2</v>
      </c>
    </row>
    <row r="41" spans="18:25" x14ac:dyDescent="0.25">
      <c r="R41" t="s">
        <v>52</v>
      </c>
      <c r="S41" s="22">
        <v>3.5999999999999997E-2</v>
      </c>
      <c r="T41" s="23">
        <f t="shared" si="33"/>
        <v>9.247342140285128E-2</v>
      </c>
      <c r="U41" s="23">
        <f t="shared" si="32"/>
        <v>8.816339945992599E-2</v>
      </c>
      <c r="V41" s="23">
        <f t="shared" si="32"/>
        <v>8.6649588570470393E-2</v>
      </c>
      <c r="W41" s="23">
        <f t="shared" si="32"/>
        <v>8.6724778255356225E-2</v>
      </c>
      <c r="X41" s="23">
        <f t="shared" si="32"/>
        <v>8.8117976083874977E-2</v>
      </c>
    </row>
    <row r="42" spans="18:25" x14ac:dyDescent="0.25">
      <c r="R42" t="s">
        <v>53</v>
      </c>
      <c r="S42" s="22">
        <v>0.11108198749510512</v>
      </c>
      <c r="T42" s="23">
        <f t="shared" si="33"/>
        <v>9.9175244056710798E-2</v>
      </c>
      <c r="U42" s="23">
        <f t="shared" si="32"/>
        <v>9.4552862062026496E-2</v>
      </c>
      <c r="V42" s="23">
        <f t="shared" si="32"/>
        <v>9.2929340815165448E-2</v>
      </c>
      <c r="W42" s="23">
        <f t="shared" si="32"/>
        <v>9.3009979719144278E-2</v>
      </c>
      <c r="X42" s="23">
        <f t="shared" si="32"/>
        <v>9.4504146719418869E-2</v>
      </c>
    </row>
    <row r="43" spans="18:25" x14ac:dyDescent="0.25">
      <c r="R43" t="s">
        <v>54</v>
      </c>
      <c r="S43" s="22">
        <v>0.13881604276302351</v>
      </c>
      <c r="T43" s="23">
        <f t="shared" si="33"/>
        <v>0.10165078747369941</v>
      </c>
      <c r="U43" s="23">
        <f t="shared" si="32"/>
        <v>9.6913024796803665E-2</v>
      </c>
      <c r="V43" s="23">
        <f t="shared" si="32"/>
        <v>9.5248978342535914E-2</v>
      </c>
      <c r="W43" s="23">
        <f t="shared" si="32"/>
        <v>9.5331630098711859E-2</v>
      </c>
      <c r="X43" s="23">
        <f t="shared" si="32"/>
        <v>9.6863093455719348E-2</v>
      </c>
    </row>
    <row r="44" spans="18:25" x14ac:dyDescent="0.25">
      <c r="R44" t="s">
        <v>55</v>
      </c>
      <c r="S44" s="22">
        <v>5.7612055480237373E-2</v>
      </c>
      <c r="T44" s="23">
        <f t="shared" si="33"/>
        <v>9.440251475594566E-2</v>
      </c>
      <c r="U44" s="23">
        <f t="shared" si="32"/>
        <v>9.0002581197816178E-2</v>
      </c>
      <c r="V44" s="23">
        <f t="shared" si="32"/>
        <v>8.8457190612482695E-2</v>
      </c>
      <c r="W44" s="23">
        <f t="shared" si="32"/>
        <v>8.8533948833701817E-2</v>
      </c>
      <c r="X44" s="23">
        <f t="shared" si="32"/>
        <v>8.9956210242109452E-2</v>
      </c>
    </row>
    <row r="45" spans="18:25" x14ac:dyDescent="0.25">
      <c r="R45" t="s">
        <v>56</v>
      </c>
      <c r="S45" s="22">
        <v>6.9958126992596417E-2</v>
      </c>
      <c r="T45" s="23">
        <f t="shared" si="33"/>
        <v>9.5504525830880135E-2</v>
      </c>
      <c r="U45" s="23">
        <f t="shared" si="32"/>
        <v>9.1053229493670354E-2</v>
      </c>
      <c r="V45" s="23">
        <f t="shared" si="32"/>
        <v>8.9489798737007326E-2</v>
      </c>
      <c r="W45" s="23">
        <f t="shared" si="32"/>
        <v>8.9567452998020464E-2</v>
      </c>
      <c r="X45" s="23">
        <f t="shared" si="32"/>
        <v>9.1006317224981925E-2</v>
      </c>
    </row>
    <row r="46" spans="18:25" x14ac:dyDescent="0.25">
      <c r="R46" t="s">
        <v>57</v>
      </c>
      <c r="S46" s="22">
        <v>6.5673285601520207E-2</v>
      </c>
      <c r="T46" s="23">
        <f t="shared" si="33"/>
        <v>9.5122060634353731E-2</v>
      </c>
      <c r="U46" s="23">
        <f t="shared" si="32"/>
        <v>9.0688590320712956E-2</v>
      </c>
      <c r="V46" s="23">
        <f t="shared" si="32"/>
        <v>8.9131420606093748E-2</v>
      </c>
      <c r="W46" s="23">
        <f t="shared" si="32"/>
        <v>8.9208763886533538E-2</v>
      </c>
      <c r="X46" s="23">
        <f t="shared" si="32"/>
        <v>9.0641865920713535E-2</v>
      </c>
    </row>
    <row r="47" spans="18:25" x14ac:dyDescent="0.25">
      <c r="R47" t="s">
        <v>58</v>
      </c>
      <c r="S47" s="22">
        <v>5.0000000000000001E-3</v>
      </c>
      <c r="T47" s="23">
        <f t="shared" si="33"/>
        <v>8.9706359565507252E-2</v>
      </c>
      <c r="U47" s="23">
        <f t="shared" si="32"/>
        <v>8.5525305460642478E-2</v>
      </c>
      <c r="V47" s="23">
        <f t="shared" si="32"/>
        <v>8.4056792001276776E-2</v>
      </c>
      <c r="W47" s="23">
        <f t="shared" si="32"/>
        <v>8.4129731801769303E-2</v>
      </c>
      <c r="X47" s="23">
        <f t="shared" si="32"/>
        <v>8.5481241278276388E-2</v>
      </c>
    </row>
    <row r="48" spans="18:25" x14ac:dyDescent="0.25">
      <c r="R48" t="s">
        <v>59</v>
      </c>
      <c r="S48" s="22">
        <v>3.5999999999999997E-2</v>
      </c>
      <c r="T48" s="23">
        <f t="shared" si="33"/>
        <v>9.247342140285128E-2</v>
      </c>
      <c r="U48" s="23">
        <f t="shared" si="32"/>
        <v>8.816339945992599E-2</v>
      </c>
      <c r="V48" s="23">
        <f t="shared" si="32"/>
        <v>8.6649588570470393E-2</v>
      </c>
      <c r="W48" s="23">
        <f t="shared" si="32"/>
        <v>8.6724778255356225E-2</v>
      </c>
      <c r="X48" s="23">
        <f t="shared" si="32"/>
        <v>8.8117976083874977E-2</v>
      </c>
    </row>
    <row r="49" spans="18:24" x14ac:dyDescent="0.25">
      <c r="R49" t="s">
        <v>60</v>
      </c>
      <c r="S49" s="22">
        <v>8.5481403833957192E-2</v>
      </c>
      <c r="T49" s="23">
        <f t="shared" si="33"/>
        <v>9.6890134441791592E-2</v>
      </c>
      <c r="U49" s="23">
        <f t="shared" si="32"/>
        <v>9.2374257348006167E-2</v>
      </c>
      <c r="V49" s="23">
        <f t="shared" si="32"/>
        <v>9.0788143864004828E-2</v>
      </c>
      <c r="W49" s="23">
        <f t="shared" si="32"/>
        <v>9.086692475657597E-2</v>
      </c>
      <c r="X49" s="23">
        <f t="shared" si="32"/>
        <v>9.2326664461903143E-2</v>
      </c>
    </row>
    <row r="50" spans="18:24" x14ac:dyDescent="0.25">
      <c r="R50" t="s">
        <v>61</v>
      </c>
      <c r="S50" s="22">
        <v>5.6333687046879188E-2</v>
      </c>
      <c r="T50" s="23">
        <f t="shared" si="33"/>
        <v>9.4288407513816286E-2</v>
      </c>
      <c r="U50" s="23">
        <f t="shared" si="32"/>
        <v>8.9893792291593097E-2</v>
      </c>
      <c r="V50" s="23">
        <f t="shared" si="32"/>
        <v>8.8350269667702805E-2</v>
      </c>
      <c r="W50" s="23">
        <f t="shared" si="32"/>
        <v>8.8426935108883636E-2</v>
      </c>
      <c r="X50" s="23">
        <f t="shared" si="32"/>
        <v>8.9847477385896102E-2</v>
      </c>
    </row>
    <row r="51" spans="18:24" x14ac:dyDescent="0.25">
      <c r="R51" s="19"/>
      <c r="S51" s="20"/>
    </row>
  </sheetData>
  <mergeCells count="1">
    <mergeCell ref="T36:X36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11"/>
  <sheetViews>
    <sheetView workbookViewId="0">
      <selection activeCell="F1" sqref="F1"/>
    </sheetView>
  </sheetViews>
  <sheetFormatPr defaultRowHeight="15" x14ac:dyDescent="0.25"/>
  <cols>
    <col min="2" max="2" width="12.5703125" style="1" customWidth="1"/>
    <col min="3" max="3" width="21.5703125" style="2" bestFit="1" customWidth="1"/>
    <col min="4" max="4" width="19.140625" style="3" bestFit="1" customWidth="1"/>
    <col min="5" max="5" width="20" style="3" bestFit="1" customWidth="1"/>
    <col min="6" max="6" width="15.5703125" style="2" bestFit="1" customWidth="1"/>
    <col min="7" max="7" width="21.140625" bestFit="1" customWidth="1"/>
    <col min="8" max="8" width="18.42578125" bestFit="1" customWidth="1"/>
    <col min="10" max="16" width="8.7109375" style="1"/>
  </cols>
  <sheetData>
    <row r="1" spans="2:7" x14ac:dyDescent="0.25">
      <c r="B1" s="1" t="s">
        <v>10</v>
      </c>
      <c r="C1" s="2">
        <v>3.57479394768856E-2</v>
      </c>
      <c r="F1" s="2" t="s">
        <v>42</v>
      </c>
      <c r="G1" s="1">
        <v>1.2177409887376511</v>
      </c>
    </row>
    <row r="2" spans="2:7" x14ac:dyDescent="0.25">
      <c r="B2" s="1" t="s">
        <v>11</v>
      </c>
      <c r="C2" s="2">
        <v>3.384318E-2</v>
      </c>
    </row>
    <row r="3" spans="2:7" x14ac:dyDescent="0.25">
      <c r="B3" s="1" t="s">
        <v>28</v>
      </c>
      <c r="C3" s="6">
        <f>C2/C1</f>
        <v>0.94671694355650327</v>
      </c>
    </row>
    <row r="4" spans="2:7" x14ac:dyDescent="0.25">
      <c r="B4" s="1" t="s">
        <v>29</v>
      </c>
      <c r="C4" s="6">
        <f>Summary!B5</f>
        <v>2.5000000000000001E-2</v>
      </c>
    </row>
    <row r="6" spans="2:7" x14ac:dyDescent="0.25">
      <c r="C6" s="1" t="s">
        <v>12</v>
      </c>
      <c r="D6" s="3" t="s">
        <v>27</v>
      </c>
    </row>
    <row r="7" spans="2:7" x14ac:dyDescent="0.25">
      <c r="B7" s="1" t="s">
        <v>22</v>
      </c>
      <c r="C7" s="1">
        <f>futures!H37</f>
        <v>39.357816484517265</v>
      </c>
      <c r="D7" s="1">
        <f>C7*$C$3</f>
        <v>37.260711727279947</v>
      </c>
    </row>
    <row r="8" spans="2:7" x14ac:dyDescent="0.25">
      <c r="B8" s="1" t="s">
        <v>23</v>
      </c>
      <c r="C8" s="1">
        <f>futures!H38</f>
        <v>38.820609589041048</v>
      </c>
      <c r="D8" s="1">
        <f t="shared" ref="D8:D11" si="0">C8*$C$3</f>
        <v>36.752128857137222</v>
      </c>
    </row>
    <row r="9" spans="2:7" x14ac:dyDescent="0.25">
      <c r="B9" s="1" t="s">
        <v>24</v>
      </c>
      <c r="C9" s="1">
        <f>C8*(1+$C$4)</f>
        <v>39.791124828767067</v>
      </c>
      <c r="D9" s="1">
        <f t="shared" si="0"/>
        <v>37.670932078565649</v>
      </c>
    </row>
    <row r="10" spans="2:7" x14ac:dyDescent="0.25">
      <c r="B10" s="1" t="s">
        <v>25</v>
      </c>
      <c r="C10" s="1">
        <f t="shared" ref="C10:C11" si="1">C9*(1+$C$4)</f>
        <v>40.785902949486243</v>
      </c>
      <c r="D10" s="1">
        <f t="shared" si="0"/>
        <v>38.612705380529789</v>
      </c>
    </row>
    <row r="11" spans="2:7" x14ac:dyDescent="0.25">
      <c r="B11" s="1" t="s">
        <v>26</v>
      </c>
      <c r="C11" s="1">
        <f t="shared" si="1"/>
        <v>41.805550523223395</v>
      </c>
      <c r="D11" s="1">
        <f t="shared" si="0"/>
        <v>39.57802301504303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8"/>
  <sheetViews>
    <sheetView topLeftCell="A10" workbookViewId="0">
      <selection activeCell="D12" sqref="D12"/>
    </sheetView>
  </sheetViews>
  <sheetFormatPr defaultRowHeight="15" x14ac:dyDescent="0.25"/>
  <cols>
    <col min="1" max="1" width="12.42578125" bestFit="1" customWidth="1"/>
  </cols>
  <sheetData>
    <row r="1" spans="1:8" x14ac:dyDescent="0.25">
      <c r="A1" t="s">
        <v>21</v>
      </c>
      <c r="B1" t="s">
        <v>20</v>
      </c>
      <c r="C1" t="s">
        <v>19</v>
      </c>
      <c r="D1" t="s">
        <v>18</v>
      </c>
      <c r="E1" t="s">
        <v>17</v>
      </c>
      <c r="F1" t="s">
        <v>16</v>
      </c>
      <c r="G1" t="s">
        <v>15</v>
      </c>
      <c r="H1" t="s">
        <v>14</v>
      </c>
    </row>
    <row r="2" spans="1:8" x14ac:dyDescent="0.25">
      <c r="A2" s="5">
        <v>43739</v>
      </c>
      <c r="B2" t="s">
        <v>13</v>
      </c>
      <c r="C2">
        <v>21.95</v>
      </c>
      <c r="D2">
        <v>28.82</v>
      </c>
      <c r="E2">
        <v>368</v>
      </c>
      <c r="F2">
        <v>376</v>
      </c>
      <c r="G2">
        <v>744</v>
      </c>
      <c r="H2">
        <v>25.348064516129</v>
      </c>
    </row>
    <row r="3" spans="1:8" x14ac:dyDescent="0.25">
      <c r="A3" s="5">
        <v>43770</v>
      </c>
      <c r="B3" t="s">
        <v>13</v>
      </c>
      <c r="C3">
        <v>34.43</v>
      </c>
      <c r="D3">
        <v>42.58</v>
      </c>
      <c r="E3">
        <v>320</v>
      </c>
      <c r="F3">
        <v>401</v>
      </c>
      <c r="G3">
        <v>721</v>
      </c>
      <c r="H3">
        <v>38.0471983356449</v>
      </c>
    </row>
    <row r="4" spans="1:8" x14ac:dyDescent="0.25">
      <c r="A4" s="5">
        <v>43800</v>
      </c>
      <c r="B4" t="s">
        <v>13</v>
      </c>
      <c r="C4">
        <v>50.53</v>
      </c>
      <c r="D4">
        <v>61.13</v>
      </c>
      <c r="E4">
        <v>336</v>
      </c>
      <c r="F4">
        <v>408</v>
      </c>
      <c r="G4">
        <v>744</v>
      </c>
      <c r="H4">
        <v>55.317096774193502</v>
      </c>
    </row>
    <row r="5" spans="1:8" x14ac:dyDescent="0.25">
      <c r="A5" s="5">
        <v>43831</v>
      </c>
      <c r="B5" t="s">
        <v>13</v>
      </c>
      <c r="C5">
        <v>68.41</v>
      </c>
      <c r="D5">
        <v>80.819999999999993</v>
      </c>
      <c r="E5">
        <v>352</v>
      </c>
      <c r="F5">
        <v>392</v>
      </c>
      <c r="G5">
        <v>744</v>
      </c>
      <c r="H5">
        <v>74.281397849462294</v>
      </c>
    </row>
    <row r="6" spans="1:8" x14ac:dyDescent="0.25">
      <c r="A6" s="5">
        <v>43862</v>
      </c>
      <c r="B6" t="s">
        <v>13</v>
      </c>
      <c r="C6">
        <v>63.99</v>
      </c>
      <c r="D6">
        <v>76.73</v>
      </c>
      <c r="E6">
        <v>320</v>
      </c>
      <c r="F6">
        <v>376</v>
      </c>
      <c r="G6">
        <v>696</v>
      </c>
      <c r="H6">
        <v>69.847471264367798</v>
      </c>
    </row>
    <row r="7" spans="1:8" x14ac:dyDescent="0.25">
      <c r="A7" s="5">
        <v>43891</v>
      </c>
      <c r="B7" t="s">
        <v>13</v>
      </c>
      <c r="C7">
        <v>43</v>
      </c>
      <c r="D7">
        <v>50.75</v>
      </c>
      <c r="E7">
        <v>352</v>
      </c>
      <c r="F7">
        <v>391</v>
      </c>
      <c r="G7">
        <v>743</v>
      </c>
      <c r="H7">
        <v>46.671601615074003</v>
      </c>
    </row>
    <row r="8" spans="1:8" x14ac:dyDescent="0.25">
      <c r="A8" s="5">
        <v>43922</v>
      </c>
      <c r="B8" t="s">
        <v>13</v>
      </c>
      <c r="C8">
        <v>28.4</v>
      </c>
      <c r="D8">
        <v>35.65</v>
      </c>
      <c r="E8">
        <v>352</v>
      </c>
      <c r="F8">
        <v>368</v>
      </c>
      <c r="G8">
        <v>720</v>
      </c>
      <c r="H8">
        <v>31.9444444444444</v>
      </c>
    </row>
    <row r="9" spans="1:8" x14ac:dyDescent="0.25">
      <c r="A9" s="5">
        <v>43952</v>
      </c>
      <c r="B9" t="s">
        <v>13</v>
      </c>
      <c r="C9">
        <v>21.6</v>
      </c>
      <c r="D9">
        <v>27.55</v>
      </c>
      <c r="E9">
        <v>320</v>
      </c>
      <c r="F9">
        <v>424</v>
      </c>
      <c r="G9">
        <v>744</v>
      </c>
      <c r="H9">
        <v>24.159139784946198</v>
      </c>
    </row>
    <row r="10" spans="1:8" x14ac:dyDescent="0.25">
      <c r="A10" s="5">
        <v>43983</v>
      </c>
      <c r="B10" t="s">
        <v>13</v>
      </c>
      <c r="C10">
        <v>21.45</v>
      </c>
      <c r="D10">
        <v>27.65</v>
      </c>
      <c r="E10">
        <v>352</v>
      </c>
      <c r="F10">
        <v>368</v>
      </c>
      <c r="G10">
        <v>720</v>
      </c>
      <c r="H10">
        <v>24.481111111111101</v>
      </c>
    </row>
    <row r="11" spans="1:8" x14ac:dyDescent="0.25">
      <c r="A11" s="5">
        <v>44013</v>
      </c>
      <c r="B11" t="s">
        <v>13</v>
      </c>
      <c r="C11">
        <v>25.12</v>
      </c>
      <c r="D11">
        <v>36.049999999999997</v>
      </c>
      <c r="E11">
        <v>368</v>
      </c>
      <c r="F11">
        <v>376</v>
      </c>
      <c r="G11">
        <v>744</v>
      </c>
      <c r="H11">
        <v>30.526236559139701</v>
      </c>
    </row>
    <row r="12" spans="1:8" x14ac:dyDescent="0.25">
      <c r="A12" s="5">
        <v>44044</v>
      </c>
      <c r="B12" t="s">
        <v>13</v>
      </c>
      <c r="C12">
        <v>24.08</v>
      </c>
      <c r="D12">
        <v>33.85</v>
      </c>
      <c r="E12">
        <v>336</v>
      </c>
      <c r="F12">
        <v>408</v>
      </c>
      <c r="G12">
        <v>744</v>
      </c>
      <c r="H12">
        <v>28.492258064516101</v>
      </c>
    </row>
    <row r="13" spans="1:8" x14ac:dyDescent="0.25">
      <c r="A13" s="5">
        <v>44075</v>
      </c>
      <c r="B13" t="s">
        <v>13</v>
      </c>
      <c r="C13">
        <v>21.6</v>
      </c>
      <c r="D13">
        <v>30.6</v>
      </c>
      <c r="E13">
        <v>336</v>
      </c>
      <c r="F13">
        <v>384</v>
      </c>
      <c r="G13">
        <v>720</v>
      </c>
      <c r="H13">
        <v>25.8</v>
      </c>
    </row>
    <row r="14" spans="1:8" x14ac:dyDescent="0.25">
      <c r="A14" s="5">
        <v>44105</v>
      </c>
      <c r="B14" t="s">
        <v>13</v>
      </c>
      <c r="C14">
        <v>21.9</v>
      </c>
      <c r="D14">
        <v>28.75</v>
      </c>
      <c r="E14">
        <v>352</v>
      </c>
      <c r="F14">
        <v>392</v>
      </c>
      <c r="G14">
        <v>744</v>
      </c>
      <c r="H14">
        <v>25.140860215053699</v>
      </c>
    </row>
    <row r="15" spans="1:8" x14ac:dyDescent="0.25">
      <c r="A15" s="5">
        <v>44136</v>
      </c>
      <c r="B15" t="s">
        <v>13</v>
      </c>
      <c r="C15">
        <v>33.5</v>
      </c>
      <c r="D15">
        <v>41</v>
      </c>
      <c r="E15">
        <v>320</v>
      </c>
      <c r="F15">
        <v>401</v>
      </c>
      <c r="G15">
        <v>721</v>
      </c>
      <c r="H15">
        <v>36.8287101248266</v>
      </c>
    </row>
    <row r="16" spans="1:8" x14ac:dyDescent="0.25">
      <c r="A16" s="5">
        <v>44166</v>
      </c>
      <c r="B16" t="s">
        <v>13</v>
      </c>
      <c r="C16">
        <v>50.25</v>
      </c>
      <c r="D16">
        <v>60</v>
      </c>
      <c r="E16">
        <v>352</v>
      </c>
      <c r="F16">
        <v>392</v>
      </c>
      <c r="G16">
        <v>744</v>
      </c>
      <c r="H16">
        <v>54.862903225806399</v>
      </c>
    </row>
    <row r="17" spans="1:8" x14ac:dyDescent="0.25">
      <c r="A17" s="5">
        <v>44197</v>
      </c>
      <c r="B17" t="s">
        <v>13</v>
      </c>
      <c r="C17">
        <v>65.61</v>
      </c>
      <c r="D17">
        <v>78.709999999999994</v>
      </c>
      <c r="E17">
        <v>320</v>
      </c>
      <c r="F17">
        <v>424</v>
      </c>
      <c r="G17">
        <v>744</v>
      </c>
      <c r="H17">
        <v>71.2444086021505</v>
      </c>
    </row>
    <row r="18" spans="1:8" x14ac:dyDescent="0.25">
      <c r="A18" s="5">
        <v>44228</v>
      </c>
      <c r="B18" t="s">
        <v>13</v>
      </c>
      <c r="C18">
        <v>64.59</v>
      </c>
      <c r="D18">
        <v>75.790000000000006</v>
      </c>
      <c r="E18">
        <v>320</v>
      </c>
      <c r="F18">
        <v>352</v>
      </c>
      <c r="G18">
        <v>672</v>
      </c>
      <c r="H18">
        <v>69.923333333333304</v>
      </c>
    </row>
    <row r="19" spans="1:8" x14ac:dyDescent="0.25">
      <c r="A19" s="5">
        <v>44256</v>
      </c>
      <c r="B19" t="s">
        <v>13</v>
      </c>
      <c r="C19">
        <v>42.5</v>
      </c>
      <c r="D19">
        <v>49.75</v>
      </c>
      <c r="E19">
        <v>368</v>
      </c>
      <c r="F19">
        <v>375</v>
      </c>
      <c r="G19">
        <v>743</v>
      </c>
      <c r="H19">
        <v>46.090847913862703</v>
      </c>
    </row>
    <row r="20" spans="1:8" x14ac:dyDescent="0.25">
      <c r="A20" s="5">
        <v>44287</v>
      </c>
      <c r="B20" t="s">
        <v>13</v>
      </c>
      <c r="C20">
        <v>25.25</v>
      </c>
      <c r="D20">
        <v>34.25</v>
      </c>
      <c r="E20">
        <v>352</v>
      </c>
      <c r="F20">
        <v>368</v>
      </c>
      <c r="G20">
        <v>720</v>
      </c>
      <c r="H20">
        <v>29.65</v>
      </c>
    </row>
    <row r="21" spans="1:8" x14ac:dyDescent="0.25">
      <c r="A21" s="5">
        <v>44317</v>
      </c>
      <c r="B21" t="s">
        <v>13</v>
      </c>
      <c r="C21">
        <v>22.5</v>
      </c>
      <c r="D21">
        <v>28.75</v>
      </c>
      <c r="E21">
        <v>320</v>
      </c>
      <c r="F21">
        <v>424</v>
      </c>
      <c r="G21">
        <v>744</v>
      </c>
      <c r="H21">
        <v>25.188172043010699</v>
      </c>
    </row>
    <row r="22" spans="1:8" x14ac:dyDescent="0.25">
      <c r="A22" s="5">
        <v>44348</v>
      </c>
      <c r="B22" t="s">
        <v>13</v>
      </c>
      <c r="C22">
        <v>22.75</v>
      </c>
      <c r="D22">
        <v>28.75</v>
      </c>
      <c r="E22">
        <v>352</v>
      </c>
      <c r="F22">
        <v>368</v>
      </c>
      <c r="G22">
        <v>720</v>
      </c>
      <c r="H22">
        <v>25.683333333333302</v>
      </c>
    </row>
    <row r="23" spans="1:8" x14ac:dyDescent="0.25">
      <c r="A23" s="5">
        <v>44378</v>
      </c>
      <c r="B23" t="s">
        <v>13</v>
      </c>
      <c r="C23">
        <v>25.4</v>
      </c>
      <c r="D23">
        <v>35.83</v>
      </c>
      <c r="E23">
        <v>336</v>
      </c>
      <c r="F23">
        <v>408</v>
      </c>
      <c r="G23">
        <v>744</v>
      </c>
      <c r="H23">
        <v>30.1103225806451</v>
      </c>
    </row>
    <row r="24" spans="1:8" x14ac:dyDescent="0.25">
      <c r="A24" s="5">
        <v>44409</v>
      </c>
      <c r="B24" t="s">
        <v>13</v>
      </c>
      <c r="C24">
        <v>23.6</v>
      </c>
      <c r="D24">
        <v>34.17</v>
      </c>
      <c r="E24">
        <v>352</v>
      </c>
      <c r="F24">
        <v>392</v>
      </c>
      <c r="G24">
        <v>744</v>
      </c>
      <c r="H24">
        <v>28.6008602150537</v>
      </c>
    </row>
    <row r="25" spans="1:8" x14ac:dyDescent="0.25">
      <c r="A25" s="5">
        <v>44440</v>
      </c>
      <c r="B25" t="s">
        <v>13</v>
      </c>
      <c r="C25">
        <v>21.75</v>
      </c>
      <c r="D25">
        <v>31.75</v>
      </c>
      <c r="E25">
        <v>336</v>
      </c>
      <c r="F25">
        <v>384</v>
      </c>
      <c r="G25">
        <v>720</v>
      </c>
      <c r="H25">
        <v>26.4166666666666</v>
      </c>
    </row>
    <row r="26" spans="1:8" x14ac:dyDescent="0.25">
      <c r="A26" s="5">
        <v>44470</v>
      </c>
      <c r="B26" t="s">
        <v>13</v>
      </c>
      <c r="C26">
        <v>21.85</v>
      </c>
      <c r="D26">
        <v>30.75</v>
      </c>
      <c r="E26">
        <v>336</v>
      </c>
      <c r="F26">
        <v>408</v>
      </c>
      <c r="G26">
        <v>744</v>
      </c>
      <c r="H26">
        <v>25.869354838709601</v>
      </c>
    </row>
    <row r="27" spans="1:8" x14ac:dyDescent="0.25">
      <c r="A27" s="5">
        <v>44501</v>
      </c>
      <c r="B27" t="s">
        <v>13</v>
      </c>
      <c r="C27">
        <v>30</v>
      </c>
      <c r="D27">
        <v>40.35</v>
      </c>
      <c r="E27">
        <v>336</v>
      </c>
      <c r="F27">
        <v>385</v>
      </c>
      <c r="G27">
        <v>721</v>
      </c>
      <c r="H27">
        <v>34.823300970873703</v>
      </c>
    </row>
    <row r="28" spans="1:8" x14ac:dyDescent="0.25">
      <c r="A28" s="5">
        <v>44531</v>
      </c>
      <c r="B28" t="s">
        <v>13</v>
      </c>
      <c r="C28">
        <v>49.25</v>
      </c>
      <c r="D28">
        <v>58.9</v>
      </c>
      <c r="E28">
        <v>368</v>
      </c>
      <c r="F28">
        <v>376</v>
      </c>
      <c r="G28">
        <v>744</v>
      </c>
      <c r="H28">
        <v>54.0231182795698</v>
      </c>
    </row>
    <row r="29" spans="1:8" x14ac:dyDescent="0.25">
      <c r="A29" s="5">
        <v>44652</v>
      </c>
      <c r="B29" t="s">
        <v>13</v>
      </c>
      <c r="C29">
        <v>26.01</v>
      </c>
      <c r="D29">
        <v>32.46</v>
      </c>
      <c r="E29">
        <v>336</v>
      </c>
      <c r="F29">
        <v>384</v>
      </c>
      <c r="G29">
        <v>720</v>
      </c>
      <c r="H29">
        <v>29.02</v>
      </c>
    </row>
    <row r="30" spans="1:8" x14ac:dyDescent="0.25">
      <c r="A30" s="5">
        <v>44682</v>
      </c>
      <c r="B30" t="s">
        <v>13</v>
      </c>
      <c r="C30">
        <v>22.36</v>
      </c>
      <c r="D30">
        <v>28.48</v>
      </c>
      <c r="E30">
        <v>336</v>
      </c>
      <c r="F30">
        <v>408</v>
      </c>
      <c r="G30">
        <v>744</v>
      </c>
      <c r="H30">
        <v>25.123870967741901</v>
      </c>
    </row>
    <row r="31" spans="1:8" x14ac:dyDescent="0.25">
      <c r="A31" s="5">
        <v>44713</v>
      </c>
      <c r="B31" t="s">
        <v>13</v>
      </c>
      <c r="C31">
        <v>22.86</v>
      </c>
      <c r="D31">
        <v>30.32</v>
      </c>
      <c r="E31">
        <v>352</v>
      </c>
      <c r="F31">
        <v>368</v>
      </c>
      <c r="G31">
        <v>720</v>
      </c>
      <c r="H31">
        <v>26.507111111111101</v>
      </c>
    </row>
    <row r="32" spans="1:8" x14ac:dyDescent="0.25">
      <c r="A32" s="5">
        <v>44743</v>
      </c>
      <c r="B32" t="s">
        <v>13</v>
      </c>
      <c r="C32">
        <v>25.66</v>
      </c>
      <c r="D32">
        <v>37.39</v>
      </c>
      <c r="E32">
        <v>320</v>
      </c>
      <c r="F32">
        <v>424</v>
      </c>
      <c r="G32">
        <v>744</v>
      </c>
      <c r="H32">
        <v>30.705161290322501</v>
      </c>
    </row>
    <row r="33" spans="1:8" x14ac:dyDescent="0.25">
      <c r="A33" s="5">
        <v>44774</v>
      </c>
      <c r="B33" t="s">
        <v>13</v>
      </c>
      <c r="C33">
        <v>23.51</v>
      </c>
      <c r="D33">
        <v>35.450000000000003</v>
      </c>
      <c r="E33">
        <v>368</v>
      </c>
      <c r="F33">
        <v>376</v>
      </c>
      <c r="G33">
        <v>744</v>
      </c>
      <c r="H33">
        <v>29.415806451612902</v>
      </c>
    </row>
    <row r="34" spans="1:8" x14ac:dyDescent="0.25">
      <c r="A34" s="5">
        <v>44805</v>
      </c>
      <c r="B34" t="s">
        <v>13</v>
      </c>
      <c r="C34">
        <v>21.91</v>
      </c>
      <c r="D34">
        <v>31.42</v>
      </c>
      <c r="E34">
        <v>336</v>
      </c>
      <c r="F34">
        <v>384</v>
      </c>
      <c r="G34">
        <v>720</v>
      </c>
      <c r="H34">
        <v>26.347999999999999</v>
      </c>
    </row>
    <row r="35" spans="1:8" x14ac:dyDescent="0.25">
      <c r="A35" s="5">
        <v>44835</v>
      </c>
      <c r="B35" t="s">
        <v>13</v>
      </c>
      <c r="C35">
        <v>23.01</v>
      </c>
      <c r="D35">
        <v>30.97</v>
      </c>
      <c r="E35">
        <v>336</v>
      </c>
      <c r="F35">
        <v>408</v>
      </c>
      <c r="G35">
        <v>744</v>
      </c>
      <c r="H35">
        <v>26.604838709677399</v>
      </c>
    </row>
    <row r="37" spans="1:8" x14ac:dyDescent="0.25">
      <c r="H37">
        <f>SUMPRODUCT(H5:H16,G5:G16)/SUM(G5:G16)</f>
        <v>39.357816484517265</v>
      </c>
    </row>
    <row r="38" spans="1:8" x14ac:dyDescent="0.25">
      <c r="H38">
        <f>SUMPRODUCT(H17:H28,G17:G28)/SUM(G17:G28)</f>
        <v>38.820609589041048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5"/>
  <sheetViews>
    <sheetView workbookViewId="0">
      <selection activeCell="B20" sqref="B17:B20"/>
    </sheetView>
  </sheetViews>
  <sheetFormatPr defaultRowHeight="15" x14ac:dyDescent="0.25"/>
  <cols>
    <col min="2" max="2" width="8.7109375" style="11"/>
  </cols>
  <sheetData>
    <row r="1" spans="1:2" x14ac:dyDescent="0.25">
      <c r="A1" t="s">
        <v>41</v>
      </c>
      <c r="B1" s="11" t="s">
        <v>40</v>
      </c>
    </row>
    <row r="2" spans="1:2" x14ac:dyDescent="0.25">
      <c r="A2">
        <v>1</v>
      </c>
      <c r="B2" s="11">
        <v>-9.8239727854192898E-5</v>
      </c>
    </row>
    <row r="3" spans="1:2" x14ac:dyDescent="0.25">
      <c r="A3">
        <v>2</v>
      </c>
      <c r="B3" s="11">
        <v>-9.7746091508232899E-5</v>
      </c>
    </row>
    <row r="4" spans="1:2" x14ac:dyDescent="0.25">
      <c r="A4">
        <v>3</v>
      </c>
      <c r="B4" s="11">
        <v>-9.8350593597996595E-5</v>
      </c>
    </row>
    <row r="5" spans="1:2" x14ac:dyDescent="0.25">
      <c r="A5">
        <v>4</v>
      </c>
      <c r="B5" s="11">
        <v>-9.8844229943956594E-5</v>
      </c>
    </row>
    <row r="6" spans="1:2" x14ac:dyDescent="0.25">
      <c r="A6">
        <v>5</v>
      </c>
      <c r="B6" s="11">
        <v>-9.9448732033720398E-5</v>
      </c>
    </row>
    <row r="7" spans="1:2" x14ac:dyDescent="0.25">
      <c r="A7">
        <v>6</v>
      </c>
      <c r="B7" s="11">
        <v>2.0505869603944901E-3</v>
      </c>
    </row>
    <row r="8" spans="1:2" x14ac:dyDescent="0.25">
      <c r="A8">
        <v>7</v>
      </c>
      <c r="B8" s="11">
        <v>2.5183768137942E-2</v>
      </c>
    </row>
    <row r="9" spans="1:2" x14ac:dyDescent="0.25">
      <c r="A9">
        <v>8</v>
      </c>
      <c r="B9" s="11">
        <v>0.122675421561201</v>
      </c>
    </row>
    <row r="10" spans="1:2" x14ac:dyDescent="0.25">
      <c r="A10">
        <v>9</v>
      </c>
      <c r="B10" s="11">
        <v>0.18324772255977001</v>
      </c>
    </row>
    <row r="11" spans="1:2" x14ac:dyDescent="0.25">
      <c r="A11">
        <v>10</v>
      </c>
      <c r="B11" s="11">
        <v>0.26153142950601699</v>
      </c>
    </row>
    <row r="12" spans="1:2" x14ac:dyDescent="0.25">
      <c r="A12">
        <v>11</v>
      </c>
      <c r="B12" s="11">
        <v>0.37198614826454302</v>
      </c>
    </row>
    <row r="13" spans="1:2" x14ac:dyDescent="0.25">
      <c r="A13">
        <v>12</v>
      </c>
      <c r="B13" s="11">
        <v>0.65383731110723897</v>
      </c>
    </row>
    <row r="14" spans="1:2" x14ac:dyDescent="0.25">
      <c r="A14">
        <v>13</v>
      </c>
      <c r="B14" s="11">
        <v>0.77500919638904497</v>
      </c>
    </row>
    <row r="15" spans="1:2" x14ac:dyDescent="0.25">
      <c r="A15">
        <v>14</v>
      </c>
      <c r="B15" s="11">
        <v>0.68171950616941401</v>
      </c>
    </row>
    <row r="16" spans="1:2" x14ac:dyDescent="0.25">
      <c r="A16">
        <v>15</v>
      </c>
      <c r="B16" s="1">
        <v>0.40492508448201397</v>
      </c>
    </row>
    <row r="17" spans="1:3" x14ac:dyDescent="0.25">
      <c r="A17">
        <v>16</v>
      </c>
      <c r="B17" s="1">
        <v>0.267971555149916</v>
      </c>
    </row>
    <row r="18" spans="1:3" x14ac:dyDescent="0.25">
      <c r="A18">
        <v>17</v>
      </c>
      <c r="B18" s="1">
        <v>0.21292367050355701</v>
      </c>
    </row>
    <row r="19" spans="1:3" x14ac:dyDescent="0.25">
      <c r="A19">
        <v>18</v>
      </c>
      <c r="B19" s="1">
        <v>8.5466232830052696E-2</v>
      </c>
      <c r="C19">
        <f>B19*3/(2*B18+B16)</f>
        <v>0.30862687617394141</v>
      </c>
    </row>
    <row r="20" spans="1:3" x14ac:dyDescent="0.25">
      <c r="A20">
        <v>19</v>
      </c>
      <c r="B20" s="11">
        <v>0.10891947048662701</v>
      </c>
    </row>
    <row r="21" spans="1:3" x14ac:dyDescent="0.25">
      <c r="A21">
        <v>20</v>
      </c>
      <c r="B21" s="11">
        <v>2.1703430586180301E-2</v>
      </c>
    </row>
    <row r="22" spans="1:3" x14ac:dyDescent="0.25">
      <c r="A22">
        <v>21</v>
      </c>
      <c r="B22" s="11">
        <v>1.33687174828391E-3</v>
      </c>
    </row>
    <row r="23" spans="1:3" x14ac:dyDescent="0.25">
      <c r="A23">
        <v>22</v>
      </c>
      <c r="B23" s="11">
        <v>-9.9448732033720398E-5</v>
      </c>
    </row>
    <row r="24" spans="1:3" x14ac:dyDescent="0.25">
      <c r="A24">
        <v>23</v>
      </c>
      <c r="B24" s="11">
        <v>-9.9448732033720398E-5</v>
      </c>
    </row>
    <row r="25" spans="1:3" x14ac:dyDescent="0.25">
      <c r="A25">
        <v>24</v>
      </c>
      <c r="B25" s="11">
        <v>-1.02741498484381E-4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solar_value 16-18</vt:lpstr>
      <vt:lpstr>futures</vt:lpstr>
      <vt:lpstr>average_kw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Casey Lamont</dc:creator>
  <cp:lastModifiedBy>Melissa Bailey</cp:lastModifiedBy>
  <dcterms:created xsi:type="dcterms:W3CDTF">2019-10-03T16:58:00Z</dcterms:created>
  <dcterms:modified xsi:type="dcterms:W3CDTF">2019-11-01T20:07:35Z</dcterms:modified>
</cp:coreProperties>
</file>