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WEC\Net Metering\New Statewide Program\PUC and PSD Filings\"/>
    </mc:Choice>
  </mc:AlternateContent>
  <xr:revisionPtr revIDLastSave="0" documentId="13_ncr:1_{949EF9D6-E7A8-4B88-952B-55AE738EAD55}" xr6:coauthVersionLast="45" xr6:coauthVersionMax="45" xr10:uidLastSave="{00000000-0000-0000-0000-000000000000}"/>
  <bookViews>
    <workbookView xWindow="22932" yWindow="-108" windowWidth="23256" windowHeight="12576" xr2:uid="{39700634-AB75-4ED2-A5F7-4DF07F1424D5}"/>
  </bookViews>
  <sheets>
    <sheet name="WO Progress Info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5" i="1" l="1"/>
  <c r="H25" i="1"/>
  <c r="G25" i="1"/>
  <c r="F25" i="1"/>
  <c r="E25" i="1"/>
  <c r="D25" i="1"/>
  <c r="C25" i="1"/>
  <c r="E28" i="1" l="1"/>
  <c r="H27" i="1"/>
  <c r="H26" i="1"/>
  <c r="G27" i="1"/>
  <c r="G26" i="1"/>
  <c r="G28" i="1" s="1"/>
  <c r="F27" i="1"/>
  <c r="F26" i="1"/>
  <c r="F28" i="1" s="1"/>
  <c r="E27" i="1"/>
  <c r="E26" i="1"/>
  <c r="D27" i="1"/>
  <c r="D26" i="1"/>
  <c r="D28" i="1" s="1"/>
  <c r="C27" i="1"/>
  <c r="I27" i="1" s="1"/>
  <c r="C26" i="1"/>
  <c r="I26" i="1" s="1"/>
  <c r="I28" i="1" s="1"/>
  <c r="D21" i="1"/>
  <c r="E21" i="1"/>
  <c r="G21" i="1"/>
  <c r="H21" i="1"/>
  <c r="C21" i="1"/>
  <c r="F19" i="1"/>
  <c r="F21" i="1" s="1"/>
  <c r="I19" i="1"/>
  <c r="I20" i="1"/>
  <c r="I18" i="1"/>
  <c r="I11" i="1"/>
  <c r="H10" i="1"/>
  <c r="H12" i="1" s="1"/>
  <c r="G10" i="1"/>
  <c r="G12" i="1" s="1"/>
  <c r="F10" i="1"/>
  <c r="F12" i="1" s="1"/>
  <c r="D10" i="1"/>
  <c r="D12" i="1" s="1"/>
  <c r="C10" i="1"/>
  <c r="C12" i="1" s="1"/>
  <c r="E9" i="1"/>
  <c r="E10" i="1" s="1"/>
  <c r="I8" i="1"/>
  <c r="I7" i="1"/>
  <c r="C28" i="1" l="1"/>
  <c r="I29" i="1" s="1"/>
  <c r="H28" i="1"/>
  <c r="I22" i="1"/>
  <c r="I21" i="1"/>
  <c r="E12" i="1"/>
  <c r="I13" i="1" s="1"/>
  <c r="I10" i="1"/>
  <c r="I9" i="1"/>
  <c r="I31" i="1" l="1"/>
  <c r="I12" i="1"/>
  <c r="I34" i="1" l="1"/>
  <c r="I35" i="1" s="1"/>
  <c r="I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tc={2BC705B9-010B-44F2-A67B-187EE2721756}</author>
    <author>Cheryl Willette</author>
  </authors>
  <commentList>
    <comment ref="B7" authorId="0" shapeId="0" xr:uid="{2BC705B9-010B-44F2-A67B-187EE2721756}">
      <text>
        <t>[Threaded comment]
Your version of Excel allows you to read this threaded comment; however, any edits to it will get removed if the file is opened in a newer version of Excel. Learn more: https://go.microsoft.com/fwlink/?linkid=870924
Comment:
    technical staff time for second meter installaton</t>
      </text>
    </comment>
    <comment ref="B26" authorId="1" shapeId="0" xr:uid="{10559FA5-F734-4D90-B56A-66D777062837}">
      <text>
        <r>
          <rPr>
            <b/>
            <sz val="9"/>
            <color indexed="81"/>
            <rFont val="Tahoma"/>
            <family val="2"/>
          </rPr>
          <t>Cheryl Willette:</t>
        </r>
        <r>
          <rPr>
            <sz val="9"/>
            <color indexed="81"/>
            <rFont val="Tahoma"/>
            <family val="2"/>
          </rPr>
          <t xml:space="preserve">
I used a 50% estimate for Susan, but if I had to guess, I'd say most of her time is NM, and would be closer to 100%.  You only need to update the % after you discuss with her</t>
        </r>
      </text>
    </comment>
  </commentList>
</comments>
</file>

<file path=xl/sharedStrings.xml><?xml version="1.0" encoding="utf-8"?>
<sst xmlns="http://schemas.openxmlformats.org/spreadsheetml/2006/main" count="33" uniqueCount="27">
  <si>
    <t>Description of Charges</t>
  </si>
  <si>
    <t>YTD Aug 2019</t>
  </si>
  <si>
    <t>Total</t>
  </si>
  <si>
    <t>Labor &amp; OH's</t>
  </si>
  <si>
    <t>Materials (Meter)</t>
  </si>
  <si>
    <t>Transportation &amp; Misc OH's</t>
  </si>
  <si>
    <t>Total Charges</t>
  </si>
  <si>
    <t>Total WEC Paid over the years</t>
  </si>
  <si>
    <t>Total Member Contributions</t>
  </si>
  <si>
    <t xml:space="preserve">   Sub Total</t>
  </si>
  <si>
    <t>Net Cost to WEC</t>
  </si>
  <si>
    <t>Legal</t>
  </si>
  <si>
    <t>Billing (NISC Programming)</t>
  </si>
  <si>
    <t>Other Costs - Activity Code 415 Net Meter</t>
  </si>
  <si>
    <t>Internal Labor Estimate for Billing and other NM Issues</t>
  </si>
  <si>
    <t>Director of Prod &amp; Serv (10% of 908.01)</t>
  </si>
  <si>
    <t>Billing Supervisor (50% of 903.07)</t>
  </si>
  <si>
    <t>General Manager (10% of total)</t>
  </si>
  <si>
    <t>Average</t>
  </si>
  <si>
    <t>Member Payment for Meter and Install Costs</t>
  </si>
  <si>
    <t xml:space="preserve">Misc Exp Net Metering </t>
  </si>
  <si>
    <t xml:space="preserve">WEC Admin and Indirect Costs </t>
  </si>
  <si>
    <t xml:space="preserve">Installation Costs for 2nd Meter - </t>
  </si>
  <si>
    <t>Total Average</t>
  </si>
  <si>
    <t>Total Cost</t>
  </si>
  <si>
    <t>Net Cost Power Supply &amp; Retail Load</t>
  </si>
  <si>
    <t xml:space="preserve">Estimated Rate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</si>
</sst>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_(&quot;$&quot;* #,##0.0_);_(&quot;$&quot;* \(#,##0.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3" fillId="2" borderId="0" xfId="0" applyFont="1" applyFill="1"/>
    <xf numFmtId="0" fontId="4" fillId="3" borderId="0" xfId="0" applyFont="1" applyFill="1"/>
    <xf numFmtId="0" fontId="0" fillId="4" borderId="0" xfId="0" applyFill="1"/>
    <xf numFmtId="0" fontId="0" fillId="0" borderId="0" xfId="0" applyFill="1"/>
    <xf numFmtId="164" fontId="0" fillId="0" borderId="0" xfId="1" applyNumberFormat="1" applyFont="1"/>
    <xf numFmtId="164" fontId="0" fillId="2" borderId="0" xfId="1" applyNumberFormat="1" applyFont="1" applyFill="1"/>
    <xf numFmtId="164" fontId="4" fillId="0" borderId="0" xfId="1" applyNumberFormat="1" applyFont="1" applyAlignment="1">
      <alignment horizontal="center"/>
    </xf>
    <xf numFmtId="164" fontId="0" fillId="0" borderId="1" xfId="1" applyNumberFormat="1" applyFont="1" applyBorder="1"/>
    <xf numFmtId="164" fontId="0" fillId="0" borderId="0" xfId="1" applyNumberFormat="1" applyFont="1" applyFill="1"/>
    <xf numFmtId="0" fontId="4" fillId="0" borderId="0" xfId="1" applyNumberFormat="1" applyFont="1" applyAlignment="1">
      <alignment horizontal="center"/>
    </xf>
    <xf numFmtId="164" fontId="0" fillId="5" borderId="0" xfId="1" applyNumberFormat="1" applyFont="1" applyFill="1"/>
    <xf numFmtId="164" fontId="2" fillId="5" borderId="0" xfId="1" applyNumberFormat="1" applyFont="1" applyFill="1"/>
    <xf numFmtId="165" fontId="0" fillId="0" borderId="0" xfId="1" applyNumberFormat="1" applyFont="1" applyAlignment="1">
      <alignment horizontal="right"/>
    </xf>
    <xf numFmtId="10" fontId="0" fillId="0" borderId="0" xfId="2" applyNumberFormat="1" applyFont="1"/>
    <xf numFmtId="164" fontId="0" fillId="0" borderId="0" xfId="1" applyNumberFormat="1" applyFont="1" applyAlignment="1">
      <alignment horizontal="right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WEC%20Exhibit%201%20-%20Net%20Metering%20Power%20Cost%20Savings%20Analysis%202018%20Energy%20&amp;%20FCM%20Updated%20v10-31-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2013 Energy Revenue"/>
      <sheetName val="2016 Energy Revenue"/>
      <sheetName val="2017 Energy Revenue"/>
      <sheetName val="2018 Energy Revenue"/>
      <sheetName val="Solar Data"/>
      <sheetName val="VELCO Peak"/>
      <sheetName val="Sheet3"/>
    </sheetNames>
    <sheetDataSet>
      <sheetData sheetId="0">
        <row r="48">
          <cell r="F48">
            <v>711562.9551235676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Patty Richards" id="{26366EE6-8F24-4BC7-B130-04E03FE4196C}" userId="S-1-5-21-153057862-733044404-1862565094-2281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7" dT="2019-10-14T21:15:44.52" personId="{26366EE6-8F24-4BC7-B130-04E03FE4196C}" id="{2BC705B9-010B-44F2-A67B-187EE2721756}">
    <text>technical staff time for second meter installaton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9B994-7A9A-4818-BE07-76BC8913A186}">
  <sheetPr>
    <pageSetUpPr fitToPage="1"/>
  </sheetPr>
  <dimension ref="A1:J36"/>
  <sheetViews>
    <sheetView tabSelected="1" topLeftCell="A19" zoomScale="120" zoomScaleNormal="120" workbookViewId="0">
      <selection activeCell="H44" sqref="H44"/>
    </sheetView>
  </sheetViews>
  <sheetFormatPr defaultRowHeight="14.4" x14ac:dyDescent="0.3"/>
  <cols>
    <col min="2" max="2" width="45.5546875" customWidth="1"/>
    <col min="3" max="3" width="11.5546875" style="8" bestFit="1" customWidth="1"/>
    <col min="4" max="4" width="13.33203125" style="8" customWidth="1"/>
    <col min="5" max="5" width="11.5546875" style="8" bestFit="1" customWidth="1"/>
    <col min="6" max="7" width="12.33203125" style="8" bestFit="1" customWidth="1"/>
    <col min="8" max="8" width="12.6640625" style="8" bestFit="1" customWidth="1"/>
    <col min="9" max="9" width="16.6640625" style="8" customWidth="1"/>
    <col min="10" max="10" width="25.88671875" bestFit="1" customWidth="1"/>
  </cols>
  <sheetData>
    <row r="1" spans="1:10" x14ac:dyDescent="0.3">
      <c r="A1" t="s">
        <v>21</v>
      </c>
    </row>
    <row r="3" spans="1:10" ht="15.6" x14ac:dyDescent="0.3">
      <c r="B3" s="4" t="s">
        <v>22</v>
      </c>
      <c r="C3" s="9"/>
      <c r="D3" s="9"/>
      <c r="E3" s="9"/>
      <c r="F3" s="9"/>
      <c r="G3" s="9"/>
      <c r="H3" s="9"/>
    </row>
    <row r="6" spans="1:10" x14ac:dyDescent="0.3">
      <c r="B6" s="1" t="s">
        <v>0</v>
      </c>
      <c r="C6" s="13">
        <v>2014</v>
      </c>
      <c r="D6" s="13">
        <v>2015</v>
      </c>
      <c r="E6" s="13">
        <v>2016</v>
      </c>
      <c r="F6" s="13">
        <v>2017</v>
      </c>
      <c r="G6" s="13">
        <v>2018</v>
      </c>
      <c r="H6" s="10" t="s">
        <v>1</v>
      </c>
      <c r="I6" s="10" t="s">
        <v>2</v>
      </c>
    </row>
    <row r="7" spans="1:10" x14ac:dyDescent="0.3">
      <c r="B7" s="2" t="s">
        <v>3</v>
      </c>
      <c r="C7" s="8">
        <v>915.07</v>
      </c>
      <c r="D7" s="8">
        <v>1603.17</v>
      </c>
      <c r="E7" s="8">
        <v>1232.69</v>
      </c>
      <c r="F7" s="8">
        <v>12490.47</v>
      </c>
      <c r="G7" s="8">
        <v>9649.4699999999993</v>
      </c>
      <c r="H7" s="8">
        <v>5932.69</v>
      </c>
      <c r="I7" s="8">
        <f>SUM(C7:H7)</f>
        <v>31823.559999999998</v>
      </c>
    </row>
    <row r="8" spans="1:10" x14ac:dyDescent="0.3">
      <c r="B8" s="2" t="s">
        <v>4</v>
      </c>
      <c r="C8" s="8">
        <v>1738.8</v>
      </c>
      <c r="D8" s="8">
        <v>3184.95</v>
      </c>
      <c r="E8" s="8">
        <v>1702.27</v>
      </c>
      <c r="F8" s="8">
        <v>19079.330000000002</v>
      </c>
      <c r="G8" s="8">
        <v>20111.830000000002</v>
      </c>
      <c r="H8" s="8">
        <v>11942.21</v>
      </c>
      <c r="I8" s="8">
        <f t="shared" ref="I8:I12" si="0">SUM(C8:H8)</f>
        <v>57759.390000000007</v>
      </c>
    </row>
    <row r="9" spans="1:10" x14ac:dyDescent="0.3">
      <c r="B9" s="2" t="s">
        <v>5</v>
      </c>
      <c r="C9" s="11">
        <v>610.86</v>
      </c>
      <c r="D9" s="11">
        <v>947.94</v>
      </c>
      <c r="E9" s="11">
        <f>860.57-32.96</f>
        <v>827.61</v>
      </c>
      <c r="F9" s="11">
        <v>7140.12</v>
      </c>
      <c r="G9" s="11">
        <v>5550.17</v>
      </c>
      <c r="H9" s="11">
        <v>3562.22</v>
      </c>
      <c r="I9" s="11">
        <f t="shared" si="0"/>
        <v>18638.920000000002</v>
      </c>
    </row>
    <row r="10" spans="1:10" x14ac:dyDescent="0.3">
      <c r="B10" s="2" t="s">
        <v>6</v>
      </c>
      <c r="C10" s="8">
        <f t="shared" ref="C10:H10" si="1">SUM(C7:C9)</f>
        <v>3264.73</v>
      </c>
      <c r="D10" s="8">
        <f t="shared" si="1"/>
        <v>5736.0599999999995</v>
      </c>
      <c r="E10" s="8">
        <f t="shared" si="1"/>
        <v>3762.57</v>
      </c>
      <c r="F10" s="8">
        <f t="shared" si="1"/>
        <v>38709.920000000006</v>
      </c>
      <c r="G10" s="8">
        <f t="shared" si="1"/>
        <v>35311.47</v>
      </c>
      <c r="H10" s="8">
        <f t="shared" si="1"/>
        <v>21437.119999999999</v>
      </c>
      <c r="I10" s="8">
        <f t="shared" si="0"/>
        <v>108221.87</v>
      </c>
      <c r="J10" t="s">
        <v>7</v>
      </c>
    </row>
    <row r="11" spans="1:10" x14ac:dyDescent="0.3">
      <c r="B11" s="2" t="s">
        <v>19</v>
      </c>
      <c r="C11" s="11">
        <v>-2472.6</v>
      </c>
      <c r="D11" s="11">
        <v>-4609.04</v>
      </c>
      <c r="E11" s="11">
        <v>-2670.72</v>
      </c>
      <c r="F11" s="11">
        <v>-28487.68</v>
      </c>
      <c r="G11" s="11">
        <v>-21810.880000000001</v>
      </c>
      <c r="H11" s="11">
        <v>-10745.85</v>
      </c>
      <c r="I11" s="11">
        <f t="shared" si="0"/>
        <v>-70796.77</v>
      </c>
      <c r="J11" t="s">
        <v>8</v>
      </c>
    </row>
    <row r="12" spans="1:10" x14ac:dyDescent="0.3">
      <c r="B12" s="3" t="s">
        <v>9</v>
      </c>
      <c r="C12" s="8">
        <f>SUM(C10:C11)</f>
        <v>792.13000000000011</v>
      </c>
      <c r="D12" s="8">
        <f t="shared" ref="D12:H12" si="2">SUM(D10:D11)</f>
        <v>1127.0199999999995</v>
      </c>
      <c r="E12" s="8">
        <f t="shared" si="2"/>
        <v>1091.8500000000004</v>
      </c>
      <c r="F12" s="8">
        <f t="shared" si="2"/>
        <v>10222.240000000005</v>
      </c>
      <c r="G12" s="8">
        <f t="shared" si="2"/>
        <v>13500.59</v>
      </c>
      <c r="H12" s="8">
        <f t="shared" si="2"/>
        <v>10691.269999999999</v>
      </c>
      <c r="I12" s="8">
        <f t="shared" si="0"/>
        <v>37425.100000000006</v>
      </c>
      <c r="J12" t="s">
        <v>10</v>
      </c>
    </row>
    <row r="13" spans="1:10" x14ac:dyDescent="0.3">
      <c r="B13" s="2"/>
      <c r="H13" s="14" t="s">
        <v>18</v>
      </c>
      <c r="I13" s="14">
        <f>AVERAGE(C12:G12)</f>
        <v>5346.7660000000014</v>
      </c>
    </row>
    <row r="14" spans="1:10" x14ac:dyDescent="0.3">
      <c r="B14" s="2"/>
    </row>
    <row r="15" spans="1:10" x14ac:dyDescent="0.3">
      <c r="B15" s="2"/>
    </row>
    <row r="17" spans="2:9" x14ac:dyDescent="0.3">
      <c r="B17" s="5" t="s">
        <v>13</v>
      </c>
      <c r="C17" s="13">
        <v>2014</v>
      </c>
      <c r="D17" s="13">
        <v>2015</v>
      </c>
      <c r="E17" s="13">
        <v>2016</v>
      </c>
      <c r="F17" s="13">
        <v>2017</v>
      </c>
      <c r="G17" s="13">
        <v>2018</v>
      </c>
      <c r="H17" s="10" t="s">
        <v>1</v>
      </c>
      <c r="I17" s="10" t="s">
        <v>2</v>
      </c>
    </row>
    <row r="18" spans="2:9" x14ac:dyDescent="0.3">
      <c r="B18" t="s">
        <v>11</v>
      </c>
      <c r="C18" s="8">
        <v>8715</v>
      </c>
      <c r="D18" s="8">
        <v>2759</v>
      </c>
      <c r="E18" s="8">
        <v>4440</v>
      </c>
      <c r="F18" s="8">
        <v>464.35</v>
      </c>
      <c r="G18" s="8">
        <v>1519.05</v>
      </c>
      <c r="H18" s="8">
        <v>0</v>
      </c>
      <c r="I18" s="8">
        <f>SUM(C18:H18)</f>
        <v>17897.400000000001</v>
      </c>
    </row>
    <row r="19" spans="2:9" x14ac:dyDescent="0.3">
      <c r="B19" t="s">
        <v>12</v>
      </c>
      <c r="C19" s="8">
        <v>3900</v>
      </c>
      <c r="D19" s="8">
        <v>0</v>
      </c>
      <c r="E19" s="8">
        <v>0</v>
      </c>
      <c r="F19" s="8">
        <f>6600+337.5+900</f>
        <v>7837.5</v>
      </c>
      <c r="G19" s="8">
        <v>1725</v>
      </c>
      <c r="H19" s="8">
        <v>0</v>
      </c>
      <c r="I19" s="8">
        <f t="shared" ref="I19:I20" si="3">SUM(C19:H19)</f>
        <v>13462.5</v>
      </c>
    </row>
    <row r="20" spans="2:9" x14ac:dyDescent="0.3">
      <c r="B20" t="s">
        <v>20</v>
      </c>
      <c r="C20" s="11">
        <v>45.36</v>
      </c>
      <c r="D20" s="11">
        <v>21.65</v>
      </c>
      <c r="E20" s="11">
        <v>126.44</v>
      </c>
      <c r="F20" s="11">
        <v>0</v>
      </c>
      <c r="G20" s="11">
        <v>0</v>
      </c>
      <c r="H20" s="11">
        <v>0</v>
      </c>
      <c r="I20" s="8">
        <f t="shared" si="3"/>
        <v>193.45</v>
      </c>
    </row>
    <row r="21" spans="2:9" x14ac:dyDescent="0.3">
      <c r="C21" s="8">
        <f>SUM(C18:C20)</f>
        <v>12660.36</v>
      </c>
      <c r="D21" s="8">
        <f t="shared" ref="D21:H21" si="4">SUM(D18:D20)</f>
        <v>2780.65</v>
      </c>
      <c r="E21" s="8">
        <f t="shared" si="4"/>
        <v>4566.4399999999996</v>
      </c>
      <c r="F21" s="8">
        <f t="shared" si="4"/>
        <v>8301.85</v>
      </c>
      <c r="G21" s="8">
        <f t="shared" si="4"/>
        <v>3244.05</v>
      </c>
      <c r="H21" s="8">
        <f t="shared" si="4"/>
        <v>0</v>
      </c>
      <c r="I21" s="8">
        <f>SUM(I18:I20)</f>
        <v>31553.350000000002</v>
      </c>
    </row>
    <row r="22" spans="2:9" x14ac:dyDescent="0.3">
      <c r="H22" s="14" t="s">
        <v>18</v>
      </c>
      <c r="I22" s="14">
        <f>AVERAGE(C21:G21)</f>
        <v>6310.67</v>
      </c>
    </row>
    <row r="24" spans="2:9" x14ac:dyDescent="0.3">
      <c r="B24" s="6" t="s">
        <v>14</v>
      </c>
      <c r="C24" s="13">
        <v>2014</v>
      </c>
      <c r="D24" s="13">
        <v>2015</v>
      </c>
      <c r="E24" s="13">
        <v>2016</v>
      </c>
      <c r="F24" s="13">
        <v>2017</v>
      </c>
      <c r="G24" s="13">
        <v>2018</v>
      </c>
      <c r="H24" s="10" t="s">
        <v>1</v>
      </c>
      <c r="I24" s="10" t="s">
        <v>2</v>
      </c>
    </row>
    <row r="25" spans="2:9" x14ac:dyDescent="0.3">
      <c r="B25" s="7" t="s">
        <v>17</v>
      </c>
      <c r="C25" s="12">
        <f>200120.95*0.1</f>
        <v>20012.095000000001</v>
      </c>
      <c r="D25" s="12">
        <f>227168.17*0.1</f>
        <v>22716.817000000003</v>
      </c>
      <c r="E25" s="8">
        <f>253276.06*0.1</f>
        <v>25327.606</v>
      </c>
      <c r="F25" s="8">
        <f>262138.19*0.1</f>
        <v>26213.819000000003</v>
      </c>
      <c r="G25" s="8">
        <f>289343.33*0.1</f>
        <v>28934.333000000002</v>
      </c>
      <c r="H25" s="8">
        <f>192983.28*0.1</f>
        <v>19298.328000000001</v>
      </c>
      <c r="I25" s="8">
        <f>SUM(C25:H25)</f>
        <v>142502.99800000002</v>
      </c>
    </row>
    <row r="26" spans="2:9" x14ac:dyDescent="0.3">
      <c r="B26" t="s">
        <v>16</v>
      </c>
      <c r="C26" s="8">
        <f>45233.38*0.5</f>
        <v>22616.69</v>
      </c>
      <c r="D26" s="8">
        <f>62379.57*0.5</f>
        <v>31189.785</v>
      </c>
      <c r="E26" s="8">
        <f>79490.28*0.5</f>
        <v>39745.14</v>
      </c>
      <c r="F26" s="8">
        <f>92697.96*0.5</f>
        <v>46348.98</v>
      </c>
      <c r="G26" s="8">
        <f>99519.28*0.5</f>
        <v>49759.64</v>
      </c>
      <c r="H26" s="8">
        <f>73962.66*0.5</f>
        <v>36981.33</v>
      </c>
      <c r="I26" s="8">
        <f>SUM(C26:H26)</f>
        <v>226641.565</v>
      </c>
    </row>
    <row r="27" spans="2:9" x14ac:dyDescent="0.3">
      <c r="B27" t="s">
        <v>15</v>
      </c>
      <c r="C27" s="11">
        <f>104621.94*0.1</f>
        <v>10462.194000000001</v>
      </c>
      <c r="D27" s="11">
        <f>115630.08*0.1</f>
        <v>11563.008000000002</v>
      </c>
      <c r="E27" s="11">
        <f>131475.68*0.1</f>
        <v>13147.567999999999</v>
      </c>
      <c r="F27" s="11">
        <f>140664.12*0.1</f>
        <v>14066.412</v>
      </c>
      <c r="G27" s="11">
        <f>143326.4*0.1</f>
        <v>14332.64</v>
      </c>
      <c r="H27" s="11">
        <f>97920.08*0.1</f>
        <v>9792.0079999999998</v>
      </c>
      <c r="I27" s="11">
        <f>SUM(C27:H27)</f>
        <v>73363.83</v>
      </c>
    </row>
    <row r="28" spans="2:9" x14ac:dyDescent="0.3">
      <c r="C28" s="8">
        <f>SUM(C25:C27)</f>
        <v>53090.979000000007</v>
      </c>
      <c r="D28" s="8">
        <f t="shared" ref="D28:I28" si="5">SUM(D25:D27)</f>
        <v>65469.61</v>
      </c>
      <c r="E28" s="8">
        <f t="shared" si="5"/>
        <v>78220.313999999998</v>
      </c>
      <c r="F28" s="8">
        <f t="shared" si="5"/>
        <v>86629.210999999996</v>
      </c>
      <c r="G28" s="8">
        <f t="shared" si="5"/>
        <v>93026.612999999998</v>
      </c>
      <c r="H28" s="8">
        <f t="shared" si="5"/>
        <v>66071.665999999997</v>
      </c>
      <c r="I28" s="8">
        <f t="shared" si="5"/>
        <v>442508.39300000004</v>
      </c>
    </row>
    <row r="29" spans="2:9" x14ac:dyDescent="0.3">
      <c r="H29" s="14" t="s">
        <v>18</v>
      </c>
      <c r="I29" s="14">
        <f>AVERAGE(C28:G28)</f>
        <v>75287.345400000006</v>
      </c>
    </row>
    <row r="31" spans="2:9" x14ac:dyDescent="0.3">
      <c r="H31" s="15" t="s">
        <v>23</v>
      </c>
      <c r="I31" s="15">
        <f>+I29+I22+I13</f>
        <v>86944.781400000007</v>
      </c>
    </row>
    <row r="34" spans="8:9" x14ac:dyDescent="0.3">
      <c r="H34" s="16" t="s">
        <v>25</v>
      </c>
      <c r="I34" s="8">
        <f>[1]Summary!$F$48</f>
        <v>711562.9551235676</v>
      </c>
    </row>
    <row r="35" spans="8:9" x14ac:dyDescent="0.3">
      <c r="H35" s="8" t="s">
        <v>24</v>
      </c>
      <c r="I35" s="8">
        <f>+I34+I31</f>
        <v>798507.73652356758</v>
      </c>
    </row>
    <row r="36" spans="8:9" x14ac:dyDescent="0.3">
      <c r="H36" s="18" t="s">
        <v>26</v>
      </c>
      <c r="I36" s="17">
        <f>+I35/140000/100</f>
        <v>5.7036266894540548E-2</v>
      </c>
    </row>
  </sheetData>
  <pageMargins left="0.7" right="0.7" top="0.75" bottom="0.75" header="0.3" footer="0.3"/>
  <pageSetup scale="7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 Progress 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Cheryl Willette</dc:creator>
  <cp:lastModifiedBy>Patty Richards</cp:lastModifiedBy>
  <cp:lastPrinted>2019-10-08T18:49:40Z</cp:lastPrinted>
  <dcterms:created xsi:type="dcterms:W3CDTF">2019-10-08T17:45:28Z</dcterms:created>
  <dcterms:modified xsi:type="dcterms:W3CDTF">2019-10-31T19:05:33Z</dcterms:modified>
</cp:coreProperties>
</file>