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08" windowWidth="11976" windowHeight="2868" tabRatio="489" activeTab="1"/>
  </bookViews>
  <sheets>
    <sheet name="Summary" sheetId="13" r:id="rId1"/>
    <sheet name="Multiyear Analysis Benefits" sheetId="9" r:id="rId2"/>
    <sheet name="Multiyear Analysis Cost" sheetId="11" r:id="rId3"/>
    <sheet name="Multiyear Summary" sheetId="12" r:id="rId4"/>
    <sheet name="Avoided Costs" sheetId="10" r:id="rId5"/>
  </sheets>
  <externalReferences>
    <externalReference r:id="rId6"/>
  </externalReferences>
  <definedNames>
    <definedName name="EnergyLosses" localSheetId="0">'[1]Multiyear Analysis Benefits'!$B$8</definedName>
    <definedName name="EnergyLosses">'Multiyear Analysis Benefits'!$B$8</definedName>
    <definedName name="LMPScalar" localSheetId="0">'[1]Multiyear Analysis Benefits'!$B$18</definedName>
    <definedName name="LMPScalar">'Multiyear Analysis Benefits'!$B$18</definedName>
    <definedName name="LMPShapeAdj" localSheetId="0">'[1]Multiyear Analysis Benefits'!$B$17</definedName>
    <definedName name="LMPShapeAdj">'Multiyear Analysis Benefits'!$B$17</definedName>
    <definedName name="StartScalar" localSheetId="0">'[1]Multiyear Analysis Benefits'!$B$19</definedName>
    <definedName name="StartScalar">'Multiyear Analysis Benefits'!$B$19</definedName>
  </definedNames>
  <calcPr calcId="145621"/>
</workbook>
</file>

<file path=xl/calcChain.xml><?xml version="1.0" encoding="utf-8"?>
<calcChain xmlns="http://schemas.openxmlformats.org/spreadsheetml/2006/main">
  <c r="AB47" i="9" l="1"/>
  <c r="AA47" i="9"/>
  <c r="Z47" i="9"/>
  <c r="Y47" i="9"/>
  <c r="AC47" i="9" s="1"/>
  <c r="AB46" i="9"/>
  <c r="AA46" i="9"/>
  <c r="Z46" i="9"/>
  <c r="Y46" i="9"/>
  <c r="AC46" i="9" s="1"/>
  <c r="AB45" i="9"/>
  <c r="AA45" i="9"/>
  <c r="Z45" i="9"/>
  <c r="Y45" i="9"/>
  <c r="AC45" i="9" s="1"/>
  <c r="AB44" i="9"/>
  <c r="AA44" i="9"/>
  <c r="Z44" i="9"/>
  <c r="Y44" i="9"/>
  <c r="AC44" i="9" s="1"/>
  <c r="AB43" i="9"/>
  <c r="AA43" i="9"/>
  <c r="Z43" i="9"/>
  <c r="Y43" i="9"/>
  <c r="AC43" i="9" s="1"/>
  <c r="AB42" i="9"/>
  <c r="AA42" i="9"/>
  <c r="Z42" i="9"/>
  <c r="Y42" i="9"/>
  <c r="AC42" i="9" s="1"/>
  <c r="AB41" i="9"/>
  <c r="AA41" i="9"/>
  <c r="Z41" i="9"/>
  <c r="Y41" i="9"/>
  <c r="AC41" i="9" s="1"/>
  <c r="AB40" i="9"/>
  <c r="AA40" i="9"/>
  <c r="Z40" i="9"/>
  <c r="Y40" i="9"/>
  <c r="AC40" i="9" s="1"/>
  <c r="AB39" i="9"/>
  <c r="AA39" i="9"/>
  <c r="Z39" i="9"/>
  <c r="Y39" i="9"/>
  <c r="AC39" i="9" s="1"/>
  <c r="AB38" i="9"/>
  <c r="AA38" i="9"/>
  <c r="Z38" i="9"/>
  <c r="Y38" i="9"/>
  <c r="AC38" i="9" s="1"/>
  <c r="AB37" i="9"/>
  <c r="AA37" i="9"/>
  <c r="Z37" i="9"/>
  <c r="Y37" i="9"/>
  <c r="AC37" i="9" s="1"/>
  <c r="AB36" i="9"/>
  <c r="AA36" i="9"/>
  <c r="Z36" i="9"/>
  <c r="Y36" i="9"/>
  <c r="AC36" i="9" s="1"/>
  <c r="AB35" i="9"/>
  <c r="AA35" i="9"/>
  <c r="Z35" i="9"/>
  <c r="Y35" i="9"/>
  <c r="AC35" i="9" s="1"/>
  <c r="AB34" i="9"/>
  <c r="AA34" i="9"/>
  <c r="Z34" i="9"/>
  <c r="Y34" i="9"/>
  <c r="AC34" i="9" s="1"/>
  <c r="AB33" i="9"/>
  <c r="AA33" i="9"/>
  <c r="Z33" i="9"/>
  <c r="Y33" i="9"/>
  <c r="AC33" i="9" s="1"/>
  <c r="AB32" i="9"/>
  <c r="AA32" i="9"/>
  <c r="Z32" i="9"/>
  <c r="Y32" i="9"/>
  <c r="AC32" i="9" s="1"/>
  <c r="AB31" i="9"/>
  <c r="AA31" i="9"/>
  <c r="Z31" i="9"/>
  <c r="Y31" i="9"/>
  <c r="AC31" i="9" s="1"/>
  <c r="AB30" i="9"/>
  <c r="AA30" i="9"/>
  <c r="Z30" i="9"/>
  <c r="Y30" i="9"/>
  <c r="AC30" i="9" s="1"/>
  <c r="AB29" i="9"/>
  <c r="AA29" i="9"/>
  <c r="Z29" i="9"/>
  <c r="Y29" i="9"/>
  <c r="AC29" i="9" s="1"/>
  <c r="AB28" i="9"/>
  <c r="AA28" i="9"/>
  <c r="Z28" i="9"/>
  <c r="Y28" i="9"/>
  <c r="AC28" i="9" s="1"/>
  <c r="AB27" i="9"/>
  <c r="AA27" i="9"/>
  <c r="Z27" i="9"/>
  <c r="Y27" i="9"/>
  <c r="AC27" i="9" s="1"/>
  <c r="AB26" i="9"/>
  <c r="AA26" i="9"/>
  <c r="Z26" i="9"/>
  <c r="Y26" i="9"/>
  <c r="AC26" i="9" s="1"/>
  <c r="AB25" i="9"/>
  <c r="AA25" i="9"/>
  <c r="Z25" i="9"/>
  <c r="Y25" i="9"/>
  <c r="AC25" i="9" s="1"/>
  <c r="AB24" i="9"/>
  <c r="AA24" i="9"/>
  <c r="Z24" i="9"/>
  <c r="Y24" i="9"/>
  <c r="AC24" i="9" s="1"/>
  <c r="AC23" i="9"/>
  <c r="AB23" i="9"/>
  <c r="AA23" i="9"/>
  <c r="Z23" i="9"/>
  <c r="Y23" i="9"/>
  <c r="E22" i="13" l="1"/>
  <c r="E20" i="13"/>
  <c r="E19" i="13"/>
  <c r="E18" i="13"/>
  <c r="E17" i="13"/>
  <c r="E14" i="13"/>
  <c r="E13" i="13"/>
  <c r="E12" i="13"/>
  <c r="E11" i="13"/>
  <c r="P49" i="9" l="1"/>
  <c r="K51" i="9" l="1"/>
  <c r="M50" i="9"/>
  <c r="K50" i="9"/>
  <c r="E51" i="9"/>
  <c r="E50" i="9"/>
  <c r="H51" i="9"/>
  <c r="H50" i="9"/>
  <c r="C19" i="13" l="1"/>
  <c r="C17" i="13"/>
  <c r="C12" i="13"/>
  <c r="C11" i="13"/>
  <c r="C8" i="13"/>
  <c r="C7" i="13"/>
  <c r="C6" i="13"/>
  <c r="D19" i="13"/>
  <c r="D17" i="13"/>
  <c r="D12" i="13"/>
  <c r="D11" i="13"/>
  <c r="AE37" i="11" l="1"/>
  <c r="AA37" i="11"/>
  <c r="F36" i="11"/>
  <c r="E36" i="11"/>
  <c r="D36" i="11"/>
  <c r="Q42" i="12" l="1"/>
  <c r="I42" i="12"/>
  <c r="C42" i="12"/>
  <c r="AE36" i="11"/>
  <c r="AA36" i="11"/>
  <c r="AU34" i="11" l="1"/>
  <c r="AU33" i="11"/>
  <c r="AU32" i="11"/>
  <c r="AU31" i="11"/>
  <c r="AU30" i="11"/>
  <c r="AU29" i="11"/>
  <c r="AU28" i="11"/>
  <c r="AU27" i="11"/>
  <c r="AU26" i="11"/>
  <c r="AU25" i="11"/>
  <c r="AU24" i="11"/>
  <c r="AU23" i="11"/>
  <c r="AU22" i="11"/>
  <c r="AU21" i="11"/>
  <c r="AU20" i="11"/>
  <c r="AU19" i="11"/>
  <c r="AU18" i="11"/>
  <c r="AU17" i="11"/>
  <c r="AU16" i="11"/>
  <c r="AU15" i="11"/>
  <c r="AU14" i="11"/>
  <c r="AU13" i="11"/>
  <c r="AU12" i="11"/>
  <c r="AU11" i="11"/>
  <c r="AU10" i="11"/>
  <c r="AP10" i="11"/>
  <c r="AP11" i="11" s="1"/>
  <c r="AP12" i="11" s="1"/>
  <c r="AP13" i="11" s="1"/>
  <c r="AP14" i="11" s="1"/>
  <c r="AP15" i="11" s="1"/>
  <c r="AP16" i="11" s="1"/>
  <c r="AP17" i="11" s="1"/>
  <c r="AP18" i="11" s="1"/>
  <c r="AP19" i="11" s="1"/>
  <c r="AP20" i="11" s="1"/>
  <c r="AP21" i="11" s="1"/>
  <c r="AP22" i="11" s="1"/>
  <c r="AP23" i="11" s="1"/>
  <c r="AP24" i="11" s="1"/>
  <c r="AP25" i="11" s="1"/>
  <c r="AP26" i="11" s="1"/>
  <c r="AP27" i="11" s="1"/>
  <c r="AP28" i="11" s="1"/>
  <c r="AP29" i="11" s="1"/>
  <c r="AP30" i="11" s="1"/>
  <c r="AP31" i="11" s="1"/>
  <c r="AP32" i="11" s="1"/>
  <c r="AP33" i="11" s="1"/>
  <c r="AP34" i="11" s="1"/>
  <c r="R45" i="9"/>
  <c r="R9" i="11"/>
  <c r="Q9" i="11"/>
  <c r="P9" i="11"/>
  <c r="N9" i="11"/>
  <c r="J9" i="11"/>
  <c r="M9" i="11"/>
  <c r="I9" i="11"/>
  <c r="F9" i="11"/>
  <c r="AG21" i="11"/>
  <c r="AG22" i="11" s="1"/>
  <c r="AG23" i="11" s="1"/>
  <c r="AG24" i="11" s="1"/>
  <c r="AG25" i="11" s="1"/>
  <c r="AG26" i="11" s="1"/>
  <c r="AG27" i="11" s="1"/>
  <c r="AG28" i="11" s="1"/>
  <c r="AG29" i="11" s="1"/>
  <c r="AG30" i="11" s="1"/>
  <c r="AG31" i="11" s="1"/>
  <c r="AG32" i="11" s="1"/>
  <c r="AG33" i="11" s="1"/>
  <c r="AG34" i="11" s="1"/>
  <c r="AG11" i="11"/>
  <c r="AG12" i="11" s="1"/>
  <c r="AG13" i="11" s="1"/>
  <c r="AG14" i="11" s="1"/>
  <c r="AG15" i="11" s="1"/>
  <c r="AG16" i="11" s="1"/>
  <c r="AG17" i="11" s="1"/>
  <c r="AG18" i="11" s="1"/>
  <c r="AG19" i="11" s="1"/>
  <c r="AR11" i="11"/>
  <c r="AR12" i="11" s="1"/>
  <c r="AR13" i="11" s="1"/>
  <c r="AR14" i="11" s="1"/>
  <c r="AR15" i="11" s="1"/>
  <c r="AR16" i="11" s="1"/>
  <c r="AR17" i="11" s="1"/>
  <c r="AR18" i="11" s="1"/>
  <c r="AR19" i="11" s="1"/>
  <c r="AR10" i="11"/>
  <c r="AR9" i="11" l="1"/>
  <c r="AC10" i="11" l="1"/>
  <c r="AU9" i="11" l="1"/>
  <c r="A17" i="12" l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16" i="12"/>
  <c r="AW10" i="11" l="1"/>
  <c r="AW11" i="11"/>
  <c r="AW12" i="11"/>
  <c r="AW13" i="11"/>
  <c r="AW14" i="11"/>
  <c r="AW15" i="11"/>
  <c r="AW16" i="11"/>
  <c r="AW17" i="11"/>
  <c r="AW18" i="11"/>
  <c r="AW19" i="11"/>
  <c r="AW20" i="11"/>
  <c r="AW21" i="11"/>
  <c r="AW22" i="11"/>
  <c r="AW23" i="11"/>
  <c r="AW24" i="11"/>
  <c r="AW25" i="11"/>
  <c r="AW26" i="11"/>
  <c r="AW27" i="11"/>
  <c r="AW28" i="11"/>
  <c r="AW29" i="11"/>
  <c r="AW30" i="11"/>
  <c r="AW31" i="11"/>
  <c r="AW32" i="11"/>
  <c r="AW33" i="11"/>
  <c r="AW34" i="11"/>
  <c r="AW9" i="11"/>
  <c r="AV9" i="11"/>
  <c r="AQ9" i="11"/>
  <c r="AM18" i="11"/>
  <c r="AM19" i="11" s="1"/>
  <c r="AM11" i="11"/>
  <c r="AM12" i="11" s="1"/>
  <c r="AM13" i="11" s="1"/>
  <c r="AM14" i="11" s="1"/>
  <c r="AM15" i="11" s="1"/>
  <c r="AM16" i="11" s="1"/>
  <c r="AM17" i="11" s="1"/>
  <c r="AM10" i="11"/>
  <c r="AL10" i="11"/>
  <c r="AQ10" i="11" s="1"/>
  <c r="AV10" i="11" s="1"/>
  <c r="AK10" i="11"/>
  <c r="AK11" i="11" s="1"/>
  <c r="AK12" i="11" s="1"/>
  <c r="AK13" i="11" s="1"/>
  <c r="AK14" i="11" s="1"/>
  <c r="AK15" i="11" s="1"/>
  <c r="AK16" i="11" s="1"/>
  <c r="AK17" i="11" s="1"/>
  <c r="AK18" i="11" s="1"/>
  <c r="AK19" i="11" s="1"/>
  <c r="AK20" i="11" s="1"/>
  <c r="AK21" i="11" s="1"/>
  <c r="AK22" i="11" s="1"/>
  <c r="AK23" i="11" s="1"/>
  <c r="AK24" i="11" s="1"/>
  <c r="AK25" i="11" s="1"/>
  <c r="AK26" i="11" s="1"/>
  <c r="AK27" i="11" s="1"/>
  <c r="AK28" i="11" s="1"/>
  <c r="AK29" i="11" s="1"/>
  <c r="AK30" i="11" s="1"/>
  <c r="AK31" i="11" s="1"/>
  <c r="AK32" i="11" s="1"/>
  <c r="AK33" i="11" s="1"/>
  <c r="AK34" i="11" s="1"/>
  <c r="AL11" i="11" l="1"/>
  <c r="C10" i="11"/>
  <c r="BC10" i="11" s="1"/>
  <c r="AQ11" i="11" l="1"/>
  <c r="AV11" i="11" s="1"/>
  <c r="AL12" i="11"/>
  <c r="T10" i="11"/>
  <c r="T11" i="11" s="1"/>
  <c r="T12" i="11" s="1"/>
  <c r="T13" i="11" s="1"/>
  <c r="AC11" i="11"/>
  <c r="AQ12" i="11" l="1"/>
  <c r="AV12" i="11" s="1"/>
  <c r="AL13" i="11"/>
  <c r="AC12" i="11"/>
  <c r="T14" i="11"/>
  <c r="AL14" i="11" l="1"/>
  <c r="AQ13" i="11"/>
  <c r="AV13" i="11" s="1"/>
  <c r="T15" i="11"/>
  <c r="AC13" i="11"/>
  <c r="V23" i="9"/>
  <c r="R23" i="9"/>
  <c r="T23" i="9" s="1"/>
  <c r="G23" i="9" s="1"/>
  <c r="B23" i="9"/>
  <c r="D10" i="11" s="1"/>
  <c r="A24" i="9"/>
  <c r="C11" i="11" s="1"/>
  <c r="BC11" i="11" s="1"/>
  <c r="AL15" i="11" l="1"/>
  <c r="AQ14" i="11"/>
  <c r="AV14" i="11" s="1"/>
  <c r="A25" i="9"/>
  <c r="B24" i="9"/>
  <c r="D11" i="11" s="1"/>
  <c r="AH11" i="11" s="1"/>
  <c r="AI11" i="11" s="1"/>
  <c r="M10" i="11"/>
  <c r="BD10" i="11"/>
  <c r="AX10" i="11"/>
  <c r="AY10" i="11" s="1"/>
  <c r="AN10" i="11"/>
  <c r="AO10" i="11" s="1"/>
  <c r="AS10" i="11"/>
  <c r="AT10" i="11" s="1"/>
  <c r="R10" i="11"/>
  <c r="N10" i="11"/>
  <c r="E10" i="11"/>
  <c r="AD10" i="11" s="1"/>
  <c r="AE10" i="11" s="1"/>
  <c r="L10" i="11"/>
  <c r="AH10" i="11"/>
  <c r="AI10" i="11" s="1"/>
  <c r="G15" i="12" s="1"/>
  <c r="F10" i="11"/>
  <c r="P10" i="11"/>
  <c r="I10" i="11"/>
  <c r="Q10" i="11"/>
  <c r="H10" i="11"/>
  <c r="J10" i="11"/>
  <c r="X10" i="11" s="1"/>
  <c r="AX11" i="11"/>
  <c r="AY11" i="11" s="1"/>
  <c r="AN11" i="11"/>
  <c r="AO11" i="11" s="1"/>
  <c r="R11" i="11"/>
  <c r="M11" i="11"/>
  <c r="H11" i="11"/>
  <c r="J11" i="11"/>
  <c r="X11" i="11" s="1"/>
  <c r="E11" i="11"/>
  <c r="AD11" i="11" s="1"/>
  <c r="AE11" i="11" s="1"/>
  <c r="I16" i="12" s="1"/>
  <c r="N11" i="11"/>
  <c r="I11" i="11"/>
  <c r="Q11" i="11"/>
  <c r="F11" i="11"/>
  <c r="AC14" i="11"/>
  <c r="T16" i="11"/>
  <c r="S23" i="9"/>
  <c r="A26" i="9"/>
  <c r="V25" i="9"/>
  <c r="R25" i="9"/>
  <c r="V24" i="9"/>
  <c r="B25" i="9"/>
  <c r="R24" i="9"/>
  <c r="W23" i="9"/>
  <c r="J23" i="9" s="1"/>
  <c r="AL16" i="11" l="1"/>
  <c r="AQ15" i="11"/>
  <c r="AV15" i="11" s="1"/>
  <c r="I15" i="12"/>
  <c r="G16" i="12"/>
  <c r="BD11" i="11"/>
  <c r="C13" i="11"/>
  <c r="BC13" i="11" s="1"/>
  <c r="L11" i="11"/>
  <c r="P11" i="11"/>
  <c r="AS11" i="11"/>
  <c r="AT11" i="11" s="1"/>
  <c r="BA11" i="11" s="1"/>
  <c r="E16" i="12" s="1"/>
  <c r="C12" i="11"/>
  <c r="BC12" i="11" s="1"/>
  <c r="BA10" i="11"/>
  <c r="D12" i="11"/>
  <c r="T17" i="11"/>
  <c r="AC15" i="11"/>
  <c r="S24" i="9"/>
  <c r="T24" i="9"/>
  <c r="G24" i="9" s="1"/>
  <c r="W25" i="9"/>
  <c r="J25" i="9" s="1"/>
  <c r="W24" i="9"/>
  <c r="J24" i="9" s="1"/>
  <c r="T25" i="9"/>
  <c r="G25" i="9" s="1"/>
  <c r="S25" i="9"/>
  <c r="A27" i="9"/>
  <c r="V26" i="9"/>
  <c r="R26" i="9"/>
  <c r="B26" i="9"/>
  <c r="AL17" i="11" l="1"/>
  <c r="AQ16" i="11"/>
  <c r="AV16" i="11" s="1"/>
  <c r="E15" i="12"/>
  <c r="C14" i="11"/>
  <c r="BC14" i="11" s="1"/>
  <c r="D13" i="11"/>
  <c r="AH12" i="11"/>
  <c r="AI12" i="11" s="1"/>
  <c r="BD12" i="11"/>
  <c r="AX12" i="11"/>
  <c r="AY12" i="11" s="1"/>
  <c r="AS12" i="11"/>
  <c r="AT12" i="11" s="1"/>
  <c r="AN12" i="11"/>
  <c r="AO12" i="11" s="1"/>
  <c r="N12" i="11"/>
  <c r="F12" i="11"/>
  <c r="R12" i="11"/>
  <c r="P12" i="11"/>
  <c r="Q12" i="11"/>
  <c r="I12" i="11"/>
  <c r="E12" i="11"/>
  <c r="AD12" i="11" s="1"/>
  <c r="AE12" i="11" s="1"/>
  <c r="L12" i="11"/>
  <c r="J12" i="11"/>
  <c r="X12" i="11" s="1"/>
  <c r="H12" i="11"/>
  <c r="M12" i="11"/>
  <c r="AC16" i="11"/>
  <c r="T18" i="11"/>
  <c r="T26" i="9"/>
  <c r="G26" i="9" s="1"/>
  <c r="S26" i="9"/>
  <c r="W26" i="9"/>
  <c r="J26" i="9" s="1"/>
  <c r="A28" i="9"/>
  <c r="V27" i="9"/>
  <c r="W27" i="9" s="1"/>
  <c r="J27" i="9" s="1"/>
  <c r="R27" i="9"/>
  <c r="B27" i="9"/>
  <c r="AL18" i="11" l="1"/>
  <c r="AQ17" i="11"/>
  <c r="AV17" i="11" s="1"/>
  <c r="G17" i="12"/>
  <c r="I17" i="12"/>
  <c r="C15" i="11"/>
  <c r="BC15" i="11" s="1"/>
  <c r="BA12" i="11"/>
  <c r="D14" i="11"/>
  <c r="AH13" i="11"/>
  <c r="AI13" i="11" s="1"/>
  <c r="G18" i="12" s="1"/>
  <c r="BD13" i="11"/>
  <c r="AX13" i="11"/>
  <c r="AY13" i="11" s="1"/>
  <c r="AN13" i="11"/>
  <c r="AO13" i="11" s="1"/>
  <c r="AS13" i="11"/>
  <c r="AT13" i="11" s="1"/>
  <c r="E13" i="11"/>
  <c r="AD13" i="11" s="1"/>
  <c r="AE13" i="11" s="1"/>
  <c r="I18" i="12" s="1"/>
  <c r="N13" i="11"/>
  <c r="I13" i="11"/>
  <c r="Q13" i="11"/>
  <c r="L13" i="11"/>
  <c r="F13" i="11"/>
  <c r="J13" i="11"/>
  <c r="X13" i="11" s="1"/>
  <c r="R13" i="11"/>
  <c r="H13" i="11"/>
  <c r="P13" i="11"/>
  <c r="M13" i="11"/>
  <c r="T19" i="11"/>
  <c r="AC17" i="11"/>
  <c r="T27" i="9"/>
  <c r="G27" i="9" s="1"/>
  <c r="S27" i="9"/>
  <c r="A29" i="9"/>
  <c r="V28" i="9"/>
  <c r="R28" i="9"/>
  <c r="B28" i="9"/>
  <c r="AL19" i="11" l="1"/>
  <c r="AQ18" i="11"/>
  <c r="AV18" i="11" s="1"/>
  <c r="E17" i="12"/>
  <c r="C16" i="11"/>
  <c r="BC16" i="11" s="1"/>
  <c r="BA13" i="11"/>
  <c r="E18" i="12" s="1"/>
  <c r="D15" i="11"/>
  <c r="AH14" i="11"/>
  <c r="AI14" i="11" s="1"/>
  <c r="G19" i="12" s="1"/>
  <c r="AS14" i="11"/>
  <c r="AT14" i="11" s="1"/>
  <c r="BD14" i="11"/>
  <c r="AX14" i="11"/>
  <c r="AY14" i="11" s="1"/>
  <c r="AN14" i="11"/>
  <c r="AO14" i="11" s="1"/>
  <c r="M14" i="11"/>
  <c r="F14" i="11"/>
  <c r="N14" i="11"/>
  <c r="Q14" i="11"/>
  <c r="I14" i="11"/>
  <c r="H14" i="11"/>
  <c r="L14" i="11"/>
  <c r="R14" i="11"/>
  <c r="P14" i="11"/>
  <c r="E14" i="11"/>
  <c r="AD14" i="11" s="1"/>
  <c r="AE14" i="11" s="1"/>
  <c r="I19" i="12" s="1"/>
  <c r="J14" i="11"/>
  <c r="X14" i="11" s="1"/>
  <c r="AC18" i="11"/>
  <c r="T20" i="11"/>
  <c r="T28" i="9"/>
  <c r="G28" i="9" s="1"/>
  <c r="S28" i="9"/>
  <c r="W28" i="9"/>
  <c r="J28" i="9" s="1"/>
  <c r="A30" i="9"/>
  <c r="V29" i="9"/>
  <c r="W29" i="9" s="1"/>
  <c r="J29" i="9" s="1"/>
  <c r="R29" i="9"/>
  <c r="B29" i="9"/>
  <c r="AL20" i="11" l="1"/>
  <c r="AQ19" i="11"/>
  <c r="AV19" i="11" s="1"/>
  <c r="C17" i="11"/>
  <c r="BC17" i="11" s="1"/>
  <c r="D16" i="11"/>
  <c r="BA14" i="11"/>
  <c r="AH15" i="11"/>
  <c r="AI15" i="11" s="1"/>
  <c r="G20" i="12" s="1"/>
  <c r="BD15" i="11"/>
  <c r="AX15" i="11"/>
  <c r="AY15" i="11" s="1"/>
  <c r="AN15" i="11"/>
  <c r="AO15" i="11" s="1"/>
  <c r="AS15" i="11"/>
  <c r="AT15" i="11" s="1"/>
  <c r="N15" i="11"/>
  <c r="I15" i="11"/>
  <c r="Q15" i="11"/>
  <c r="L15" i="11"/>
  <c r="F15" i="11"/>
  <c r="J15" i="11"/>
  <c r="X15" i="11" s="1"/>
  <c r="R15" i="11"/>
  <c r="P15" i="11"/>
  <c r="E15" i="11"/>
  <c r="AD15" i="11" s="1"/>
  <c r="AE15" i="11" s="1"/>
  <c r="M15" i="11"/>
  <c r="H15" i="11"/>
  <c r="T21" i="11"/>
  <c r="AC19" i="11"/>
  <c r="T29" i="9"/>
  <c r="G29" i="9" s="1"/>
  <c r="S29" i="9"/>
  <c r="A31" i="9"/>
  <c r="V30" i="9"/>
  <c r="R30" i="9"/>
  <c r="B30" i="9"/>
  <c r="AL21" i="11" l="1"/>
  <c r="AQ20" i="11"/>
  <c r="AV20" i="11" s="1"/>
  <c r="I20" i="12"/>
  <c r="E19" i="12"/>
  <c r="C18" i="11"/>
  <c r="BC18" i="11" s="1"/>
  <c r="BA15" i="11"/>
  <c r="E20" i="12" s="1"/>
  <c r="AH16" i="11"/>
  <c r="AI16" i="11" s="1"/>
  <c r="BD16" i="11"/>
  <c r="AX16" i="11"/>
  <c r="AY16" i="11" s="1"/>
  <c r="AS16" i="11"/>
  <c r="AT16" i="11" s="1"/>
  <c r="AN16" i="11"/>
  <c r="AO16" i="11" s="1"/>
  <c r="L16" i="11"/>
  <c r="P16" i="11"/>
  <c r="J16" i="11"/>
  <c r="X16" i="11" s="1"/>
  <c r="I16" i="11"/>
  <c r="H16" i="11"/>
  <c r="Q16" i="11"/>
  <c r="N16" i="11"/>
  <c r="M16" i="11"/>
  <c r="E16" i="11"/>
  <c r="AD16" i="11" s="1"/>
  <c r="AE16" i="11" s="1"/>
  <c r="I21" i="12" s="1"/>
  <c r="R16" i="11"/>
  <c r="F16" i="11"/>
  <c r="D17" i="11"/>
  <c r="AC20" i="11"/>
  <c r="T22" i="11"/>
  <c r="T30" i="9"/>
  <c r="G30" i="9" s="1"/>
  <c r="S30" i="9"/>
  <c r="W30" i="9"/>
  <c r="J30" i="9" s="1"/>
  <c r="A32" i="9"/>
  <c r="V31" i="9"/>
  <c r="W31" i="9" s="1"/>
  <c r="J31" i="9" s="1"/>
  <c r="R31" i="9"/>
  <c r="B31" i="9"/>
  <c r="AL22" i="11" l="1"/>
  <c r="AQ21" i="11"/>
  <c r="AV21" i="11" s="1"/>
  <c r="G21" i="12"/>
  <c r="C19" i="11"/>
  <c r="BC19" i="11" s="1"/>
  <c r="BA16" i="11"/>
  <c r="D18" i="11"/>
  <c r="AH17" i="11"/>
  <c r="AI17" i="11" s="1"/>
  <c r="G22" i="12" s="1"/>
  <c r="BD17" i="11"/>
  <c r="AX17" i="11"/>
  <c r="AY17" i="11" s="1"/>
  <c r="AN17" i="11"/>
  <c r="AO17" i="11" s="1"/>
  <c r="AS17" i="11"/>
  <c r="AT17" i="11" s="1"/>
  <c r="F17" i="11"/>
  <c r="P17" i="11"/>
  <c r="J17" i="11"/>
  <c r="X17" i="11" s="1"/>
  <c r="R17" i="11"/>
  <c r="M17" i="11"/>
  <c r="H17" i="11"/>
  <c r="Q17" i="11"/>
  <c r="N17" i="11"/>
  <c r="L17" i="11"/>
  <c r="E17" i="11"/>
  <c r="AD17" i="11" s="1"/>
  <c r="AE17" i="11" s="1"/>
  <c r="I22" i="12" s="1"/>
  <c r="I17" i="11"/>
  <c r="T23" i="11"/>
  <c r="AC21" i="11"/>
  <c r="T31" i="9"/>
  <c r="G31" i="9" s="1"/>
  <c r="S31" i="9"/>
  <c r="A33" i="9"/>
  <c r="V32" i="9"/>
  <c r="R32" i="9"/>
  <c r="B32" i="9"/>
  <c r="AL23" i="11" l="1"/>
  <c r="AQ22" i="11"/>
  <c r="AV22" i="11" s="1"/>
  <c r="E21" i="12"/>
  <c r="C20" i="11"/>
  <c r="BC20" i="11" s="1"/>
  <c r="BA17" i="11"/>
  <c r="E22" i="12" s="1"/>
  <c r="AH18" i="11"/>
  <c r="AI18" i="11" s="1"/>
  <c r="G23" i="12" s="1"/>
  <c r="AS18" i="11"/>
  <c r="AT18" i="11" s="1"/>
  <c r="BD18" i="11"/>
  <c r="AX18" i="11"/>
  <c r="AY18" i="11" s="1"/>
  <c r="AN18" i="11"/>
  <c r="AO18" i="11" s="1"/>
  <c r="E18" i="11"/>
  <c r="AD18" i="11" s="1"/>
  <c r="AE18" i="11" s="1"/>
  <c r="I23" i="12" s="1"/>
  <c r="I18" i="11"/>
  <c r="J18" i="11"/>
  <c r="X18" i="11" s="1"/>
  <c r="L18" i="11"/>
  <c r="N18" i="11"/>
  <c r="F18" i="11"/>
  <c r="Q18" i="11"/>
  <c r="M18" i="11"/>
  <c r="R18" i="11"/>
  <c r="P18" i="11"/>
  <c r="H18" i="11"/>
  <c r="D19" i="11"/>
  <c r="AC22" i="11"/>
  <c r="T24" i="11"/>
  <c r="T32" i="9"/>
  <c r="G32" i="9" s="1"/>
  <c r="S32" i="9"/>
  <c r="W32" i="9"/>
  <c r="J32" i="9" s="1"/>
  <c r="A34" i="9"/>
  <c r="V33" i="9"/>
  <c r="W33" i="9" s="1"/>
  <c r="J33" i="9" s="1"/>
  <c r="R33" i="9"/>
  <c r="B33" i="9"/>
  <c r="AL24" i="11" l="1"/>
  <c r="AQ23" i="11"/>
  <c r="AV23" i="11" s="1"/>
  <c r="C21" i="11"/>
  <c r="BC21" i="11" s="1"/>
  <c r="BA18" i="11"/>
  <c r="AH19" i="11"/>
  <c r="AI19" i="11" s="1"/>
  <c r="G24" i="12" s="1"/>
  <c r="BD19" i="11"/>
  <c r="AX19" i="11"/>
  <c r="AY19" i="11" s="1"/>
  <c r="AN19" i="11"/>
  <c r="AO19" i="11" s="1"/>
  <c r="AS19" i="11"/>
  <c r="AT19" i="11" s="1"/>
  <c r="P19" i="11"/>
  <c r="J19" i="11"/>
  <c r="X19" i="11" s="1"/>
  <c r="E19" i="11"/>
  <c r="AD19" i="11" s="1"/>
  <c r="AE19" i="11" s="1"/>
  <c r="I24" i="12" s="1"/>
  <c r="R19" i="11"/>
  <c r="M19" i="11"/>
  <c r="H19" i="11"/>
  <c r="Q19" i="11"/>
  <c r="F19" i="11"/>
  <c r="L19" i="11"/>
  <c r="I19" i="11"/>
  <c r="N19" i="11"/>
  <c r="D20" i="11"/>
  <c r="T25" i="11"/>
  <c r="AC23" i="11"/>
  <c r="T33" i="9"/>
  <c r="G33" i="9" s="1"/>
  <c r="S33" i="9"/>
  <c r="A35" i="9"/>
  <c r="V34" i="9"/>
  <c r="R34" i="9"/>
  <c r="B34" i="9"/>
  <c r="AL25" i="11" l="1"/>
  <c r="AQ24" i="11"/>
  <c r="AV24" i="11" s="1"/>
  <c r="E23" i="12"/>
  <c r="C22" i="11"/>
  <c r="BC22" i="11" s="1"/>
  <c r="D21" i="11"/>
  <c r="BD20" i="11"/>
  <c r="AX20" i="11"/>
  <c r="AY20" i="11" s="1"/>
  <c r="AS20" i="11"/>
  <c r="AT20" i="11" s="1"/>
  <c r="AN20" i="11"/>
  <c r="AO20" i="11" s="1"/>
  <c r="I20" i="11"/>
  <c r="AH20" i="11"/>
  <c r="AI20" i="11" s="1"/>
  <c r="Q20" i="11"/>
  <c r="L20" i="11"/>
  <c r="N20" i="11"/>
  <c r="J20" i="11"/>
  <c r="X20" i="11" s="1"/>
  <c r="P20" i="11"/>
  <c r="R20" i="11"/>
  <c r="H20" i="11"/>
  <c r="M20" i="11"/>
  <c r="E20" i="11"/>
  <c r="AD20" i="11" s="1"/>
  <c r="AE20" i="11" s="1"/>
  <c r="I25" i="12" s="1"/>
  <c r="F20" i="11"/>
  <c r="BA19" i="11"/>
  <c r="E24" i="12" s="1"/>
  <c r="T26" i="11"/>
  <c r="AC24" i="11"/>
  <c r="T34" i="9"/>
  <c r="G34" i="9" s="1"/>
  <c r="S34" i="9"/>
  <c r="W34" i="9"/>
  <c r="J34" i="9" s="1"/>
  <c r="A36" i="9"/>
  <c r="V35" i="9"/>
  <c r="W35" i="9" s="1"/>
  <c r="J35" i="9" s="1"/>
  <c r="R35" i="9"/>
  <c r="B35" i="9"/>
  <c r="AL26" i="11" l="1"/>
  <c r="AQ25" i="11"/>
  <c r="AV25" i="11" s="1"/>
  <c r="G25" i="12"/>
  <c r="BA20" i="11"/>
  <c r="E25" i="12" s="1"/>
  <c r="C23" i="11"/>
  <c r="BC23" i="11" s="1"/>
  <c r="D22" i="11"/>
  <c r="AH21" i="11"/>
  <c r="AI21" i="11" s="1"/>
  <c r="G26" i="12" s="1"/>
  <c r="BD21" i="11"/>
  <c r="AX21" i="11"/>
  <c r="AY21" i="11" s="1"/>
  <c r="AN21" i="11"/>
  <c r="AO21" i="11" s="1"/>
  <c r="AS21" i="11"/>
  <c r="AT21" i="11" s="1"/>
  <c r="Q21" i="11"/>
  <c r="L21" i="11"/>
  <c r="E21" i="11"/>
  <c r="AD21" i="11" s="1"/>
  <c r="AE21" i="11" s="1"/>
  <c r="I26" i="12" s="1"/>
  <c r="N21" i="11"/>
  <c r="I21" i="11"/>
  <c r="M21" i="11"/>
  <c r="F21" i="11"/>
  <c r="J21" i="11"/>
  <c r="X21" i="11" s="1"/>
  <c r="R21" i="11"/>
  <c r="H21" i="11"/>
  <c r="P21" i="11"/>
  <c r="T27" i="11"/>
  <c r="AC25" i="11"/>
  <c r="T35" i="9"/>
  <c r="G35" i="9" s="1"/>
  <c r="S35" i="9"/>
  <c r="A37" i="9"/>
  <c r="V36" i="9"/>
  <c r="R36" i="9"/>
  <c r="B36" i="9"/>
  <c r="AL27" i="11" l="1"/>
  <c r="AQ26" i="11"/>
  <c r="AV26" i="11" s="1"/>
  <c r="C24" i="11"/>
  <c r="BC24" i="11" s="1"/>
  <c r="BA21" i="11"/>
  <c r="E26" i="12" s="1"/>
  <c r="D23" i="11"/>
  <c r="AH22" i="11"/>
  <c r="AI22" i="11" s="1"/>
  <c r="G27" i="12" s="1"/>
  <c r="AS22" i="11"/>
  <c r="AT22" i="11" s="1"/>
  <c r="BD22" i="11"/>
  <c r="AX22" i="11"/>
  <c r="AY22" i="11" s="1"/>
  <c r="AN22" i="11"/>
  <c r="AO22" i="11" s="1"/>
  <c r="N22" i="11"/>
  <c r="Q22" i="11"/>
  <c r="R22" i="11"/>
  <c r="P22" i="11"/>
  <c r="L22" i="11"/>
  <c r="I22" i="11"/>
  <c r="E22" i="11"/>
  <c r="AD22" i="11" s="1"/>
  <c r="AE22" i="11" s="1"/>
  <c r="I27" i="12" s="1"/>
  <c r="J22" i="11"/>
  <c r="X22" i="11" s="1"/>
  <c r="M22" i="11"/>
  <c r="H22" i="11"/>
  <c r="F22" i="11"/>
  <c r="AC26" i="11"/>
  <c r="T28" i="11"/>
  <c r="T36" i="9"/>
  <c r="G36" i="9" s="1"/>
  <c r="S36" i="9"/>
  <c r="W36" i="9"/>
  <c r="J36" i="9" s="1"/>
  <c r="A38" i="9"/>
  <c r="V37" i="9"/>
  <c r="W37" i="9" s="1"/>
  <c r="J37" i="9" s="1"/>
  <c r="R37" i="9"/>
  <c r="B37" i="9"/>
  <c r="AL28" i="11" l="1"/>
  <c r="AQ27" i="11"/>
  <c r="AV27" i="11" s="1"/>
  <c r="C25" i="11"/>
  <c r="BC25" i="11" s="1"/>
  <c r="BA22" i="11"/>
  <c r="E27" i="12" s="1"/>
  <c r="D24" i="11"/>
  <c r="AH23" i="11"/>
  <c r="AI23" i="11" s="1"/>
  <c r="G28" i="12" s="1"/>
  <c r="BD23" i="11"/>
  <c r="AX23" i="11"/>
  <c r="AY23" i="11" s="1"/>
  <c r="AN23" i="11"/>
  <c r="AO23" i="11" s="1"/>
  <c r="AS23" i="11"/>
  <c r="AT23" i="11" s="1"/>
  <c r="Q23" i="11"/>
  <c r="L23" i="11"/>
  <c r="F23" i="11"/>
  <c r="N23" i="11"/>
  <c r="I23" i="11"/>
  <c r="M23" i="11"/>
  <c r="J23" i="11"/>
  <c r="X23" i="11" s="1"/>
  <c r="R23" i="11"/>
  <c r="H23" i="11"/>
  <c r="P23" i="11"/>
  <c r="E23" i="11"/>
  <c r="AD23" i="11" s="1"/>
  <c r="AE23" i="11" s="1"/>
  <c r="I28" i="12" s="1"/>
  <c r="T29" i="11"/>
  <c r="AC27" i="11"/>
  <c r="T37" i="9"/>
  <c r="G37" i="9" s="1"/>
  <c r="S37" i="9"/>
  <c r="A39" i="9"/>
  <c r="V38" i="9"/>
  <c r="R38" i="9"/>
  <c r="B38" i="9"/>
  <c r="AL29" i="11" l="1"/>
  <c r="AQ28" i="11"/>
  <c r="AV28" i="11" s="1"/>
  <c r="C26" i="11"/>
  <c r="BC26" i="11" s="1"/>
  <c r="BA23" i="11"/>
  <c r="E28" i="12" s="1"/>
  <c r="AH24" i="11"/>
  <c r="AI24" i="11" s="1"/>
  <c r="G29" i="12" s="1"/>
  <c r="BD24" i="11"/>
  <c r="AX24" i="11"/>
  <c r="AY24" i="11" s="1"/>
  <c r="AS24" i="11"/>
  <c r="AT24" i="11" s="1"/>
  <c r="AN24" i="11"/>
  <c r="AO24" i="11" s="1"/>
  <c r="L24" i="11"/>
  <c r="Q24" i="11"/>
  <c r="E24" i="11"/>
  <c r="AD24" i="11" s="1"/>
  <c r="AE24" i="11" s="1"/>
  <c r="I29" i="12" s="1"/>
  <c r="F24" i="11"/>
  <c r="J24" i="11"/>
  <c r="X24" i="11" s="1"/>
  <c r="H24" i="11"/>
  <c r="I24" i="11"/>
  <c r="P24" i="11"/>
  <c r="R24" i="11"/>
  <c r="M24" i="11"/>
  <c r="N24" i="11"/>
  <c r="D25" i="11"/>
  <c r="AC28" i="11"/>
  <c r="T30" i="11"/>
  <c r="T38" i="9"/>
  <c r="G38" i="9" s="1"/>
  <c r="S38" i="9"/>
  <c r="W38" i="9"/>
  <c r="J38" i="9" s="1"/>
  <c r="A40" i="9"/>
  <c r="V39" i="9"/>
  <c r="W39" i="9" s="1"/>
  <c r="J39" i="9" s="1"/>
  <c r="R39" i="9"/>
  <c r="B39" i="9"/>
  <c r="AL30" i="11" l="1"/>
  <c r="AQ29" i="11"/>
  <c r="AV29" i="11" s="1"/>
  <c r="BA24" i="11"/>
  <c r="E29" i="12" s="1"/>
  <c r="C27" i="11"/>
  <c r="BC27" i="11" s="1"/>
  <c r="AH25" i="11"/>
  <c r="AI25" i="11" s="1"/>
  <c r="BD25" i="11"/>
  <c r="AX25" i="11"/>
  <c r="AY25" i="11" s="1"/>
  <c r="AN25" i="11"/>
  <c r="AO25" i="11" s="1"/>
  <c r="AS25" i="11"/>
  <c r="AT25" i="11" s="1"/>
  <c r="R25" i="11"/>
  <c r="M25" i="11"/>
  <c r="H25" i="11"/>
  <c r="F25" i="11"/>
  <c r="P25" i="11"/>
  <c r="J25" i="11"/>
  <c r="X25" i="11" s="1"/>
  <c r="E25" i="11"/>
  <c r="AD25" i="11" s="1"/>
  <c r="AE25" i="11" s="1"/>
  <c r="I30" i="12" s="1"/>
  <c r="I25" i="11"/>
  <c r="Q25" i="11"/>
  <c r="N25" i="11"/>
  <c r="L25" i="11"/>
  <c r="D26" i="11"/>
  <c r="T31" i="11"/>
  <c r="AC29" i="11"/>
  <c r="T39" i="9"/>
  <c r="G39" i="9" s="1"/>
  <c r="S39" i="9"/>
  <c r="A41" i="9"/>
  <c r="V40" i="9"/>
  <c r="R40" i="9"/>
  <c r="B40" i="9"/>
  <c r="AL31" i="11" l="1"/>
  <c r="AQ30" i="11"/>
  <c r="AV30" i="11" s="1"/>
  <c r="G30" i="12"/>
  <c r="C28" i="11"/>
  <c r="BC28" i="11" s="1"/>
  <c r="BA25" i="11"/>
  <c r="E30" i="12" s="1"/>
  <c r="D27" i="11"/>
  <c r="AH26" i="11"/>
  <c r="AI26" i="11" s="1"/>
  <c r="G31" i="12" s="1"/>
  <c r="AS26" i="11"/>
  <c r="AT26" i="11" s="1"/>
  <c r="BD26" i="11"/>
  <c r="AX26" i="11"/>
  <c r="AY26" i="11" s="1"/>
  <c r="AN26" i="11"/>
  <c r="AO26" i="11" s="1"/>
  <c r="L26" i="11"/>
  <c r="N26" i="11"/>
  <c r="Q26" i="11"/>
  <c r="H26" i="11"/>
  <c r="J26" i="11"/>
  <c r="X26" i="11" s="1"/>
  <c r="F26" i="11"/>
  <c r="E26" i="11"/>
  <c r="AD26" i="11" s="1"/>
  <c r="AE26" i="11" s="1"/>
  <c r="I31" i="12" s="1"/>
  <c r="I26" i="11"/>
  <c r="M26" i="11"/>
  <c r="R26" i="11"/>
  <c r="P26" i="11"/>
  <c r="AC30" i="11"/>
  <c r="T32" i="11"/>
  <c r="T40" i="9"/>
  <c r="G40" i="9" s="1"/>
  <c r="S40" i="9"/>
  <c r="W40" i="9"/>
  <c r="J40" i="9" s="1"/>
  <c r="V41" i="9"/>
  <c r="W41" i="9" s="1"/>
  <c r="J41" i="9" s="1"/>
  <c r="R41" i="9"/>
  <c r="B41" i="9"/>
  <c r="A42" i="9"/>
  <c r="AL32" i="11" l="1"/>
  <c r="AQ31" i="11"/>
  <c r="AV31" i="11" s="1"/>
  <c r="C29" i="11"/>
  <c r="BC29" i="11" s="1"/>
  <c r="BA26" i="11"/>
  <c r="E31" i="12" s="1"/>
  <c r="AH27" i="11"/>
  <c r="AI27" i="11" s="1"/>
  <c r="G32" i="12" s="1"/>
  <c r="BD27" i="11"/>
  <c r="AX27" i="11"/>
  <c r="AY27" i="11" s="1"/>
  <c r="AN27" i="11"/>
  <c r="AO27" i="11" s="1"/>
  <c r="AS27" i="11"/>
  <c r="AT27" i="11" s="1"/>
  <c r="R27" i="11"/>
  <c r="M27" i="11"/>
  <c r="H27" i="11"/>
  <c r="P27" i="11"/>
  <c r="J27" i="11"/>
  <c r="X27" i="11" s="1"/>
  <c r="E27" i="11"/>
  <c r="AD27" i="11" s="1"/>
  <c r="AE27" i="11" s="1"/>
  <c r="I32" i="12" s="1"/>
  <c r="I27" i="11"/>
  <c r="Q27" i="11"/>
  <c r="N27" i="11"/>
  <c r="L27" i="11"/>
  <c r="F27" i="11"/>
  <c r="D28" i="11"/>
  <c r="T33" i="11"/>
  <c r="AC31" i="11"/>
  <c r="A43" i="9"/>
  <c r="V42" i="9"/>
  <c r="R42" i="9"/>
  <c r="B42" i="9"/>
  <c r="T41" i="9"/>
  <c r="G41" i="9" s="1"/>
  <c r="S41" i="9"/>
  <c r="AL33" i="11" l="1"/>
  <c r="AQ32" i="11"/>
  <c r="AV32" i="11" s="1"/>
  <c r="C30" i="11"/>
  <c r="BC30" i="11" s="1"/>
  <c r="AH28" i="11"/>
  <c r="AI28" i="11" s="1"/>
  <c r="G33" i="12" s="1"/>
  <c r="BD28" i="11"/>
  <c r="AX28" i="11"/>
  <c r="AY28" i="11" s="1"/>
  <c r="AS28" i="11"/>
  <c r="AT28" i="11" s="1"/>
  <c r="AN28" i="11"/>
  <c r="AO28" i="11" s="1"/>
  <c r="J28" i="11"/>
  <c r="X28" i="11" s="1"/>
  <c r="R28" i="11"/>
  <c r="M28" i="11"/>
  <c r="E28" i="11"/>
  <c r="AD28" i="11" s="1"/>
  <c r="AE28" i="11" s="1"/>
  <c r="I33" i="12" s="1"/>
  <c r="F28" i="11"/>
  <c r="N28" i="11"/>
  <c r="Q28" i="11"/>
  <c r="L28" i="11"/>
  <c r="I28" i="11"/>
  <c r="P28" i="11"/>
  <c r="H28" i="11"/>
  <c r="D29" i="11"/>
  <c r="BA27" i="11"/>
  <c r="E32" i="12" s="1"/>
  <c r="AC32" i="11"/>
  <c r="T34" i="11"/>
  <c r="T42" i="9"/>
  <c r="G42" i="9" s="1"/>
  <c r="S42" i="9"/>
  <c r="W42" i="9"/>
  <c r="J42" i="9" s="1"/>
  <c r="A44" i="9"/>
  <c r="V43" i="9"/>
  <c r="W43" i="9" s="1"/>
  <c r="J43" i="9" s="1"/>
  <c r="R43" i="9"/>
  <c r="B43" i="9"/>
  <c r="AL34" i="11" l="1"/>
  <c r="AQ34" i="11" s="1"/>
  <c r="AV34" i="11" s="1"/>
  <c r="AQ33" i="11"/>
  <c r="AV33" i="11" s="1"/>
  <c r="C31" i="11"/>
  <c r="BC31" i="11" s="1"/>
  <c r="D30" i="11"/>
  <c r="AH29" i="11"/>
  <c r="AI29" i="11" s="1"/>
  <c r="G34" i="12" s="1"/>
  <c r="BD29" i="11"/>
  <c r="AX29" i="11"/>
  <c r="AY29" i="11" s="1"/>
  <c r="AN29" i="11"/>
  <c r="AO29" i="11" s="1"/>
  <c r="AS29" i="11"/>
  <c r="AT29" i="11" s="1"/>
  <c r="E29" i="11"/>
  <c r="AD29" i="11" s="1"/>
  <c r="AE29" i="11" s="1"/>
  <c r="I34" i="12" s="1"/>
  <c r="N29" i="11"/>
  <c r="I29" i="11"/>
  <c r="Q29" i="11"/>
  <c r="L29" i="11"/>
  <c r="P29" i="11"/>
  <c r="M29" i="11"/>
  <c r="F29" i="11"/>
  <c r="J29" i="11"/>
  <c r="X29" i="11" s="1"/>
  <c r="R29" i="11"/>
  <c r="H29" i="11"/>
  <c r="BA28" i="11"/>
  <c r="E33" i="12" s="1"/>
  <c r="AC33" i="11"/>
  <c r="T43" i="9"/>
  <c r="G43" i="9" s="1"/>
  <c r="S43" i="9"/>
  <c r="A45" i="9"/>
  <c r="V44" i="9"/>
  <c r="R44" i="9"/>
  <c r="B44" i="9"/>
  <c r="C32" i="11" l="1"/>
  <c r="BC32" i="11" s="1"/>
  <c r="BA29" i="11"/>
  <c r="E34" i="12" s="1"/>
  <c r="AH30" i="11"/>
  <c r="AI30" i="11" s="1"/>
  <c r="G35" i="12" s="1"/>
  <c r="AS30" i="11"/>
  <c r="AT30" i="11" s="1"/>
  <c r="BD30" i="11"/>
  <c r="AX30" i="11"/>
  <c r="AY30" i="11" s="1"/>
  <c r="AN30" i="11"/>
  <c r="AO30" i="11" s="1"/>
  <c r="I30" i="11"/>
  <c r="L30" i="11"/>
  <c r="F30" i="11"/>
  <c r="E30" i="11"/>
  <c r="AD30" i="11" s="1"/>
  <c r="AE30" i="11" s="1"/>
  <c r="I35" i="12" s="1"/>
  <c r="H30" i="11"/>
  <c r="J30" i="11"/>
  <c r="X30" i="11" s="1"/>
  <c r="M30" i="11"/>
  <c r="R30" i="11"/>
  <c r="P30" i="11"/>
  <c r="N30" i="11"/>
  <c r="Q30" i="11"/>
  <c r="D31" i="11"/>
  <c r="AC34" i="11"/>
  <c r="W44" i="9"/>
  <c r="J44" i="9" s="1"/>
  <c r="A46" i="9"/>
  <c r="V45" i="9"/>
  <c r="W45" i="9" s="1"/>
  <c r="J45" i="9" s="1"/>
  <c r="B45" i="9"/>
  <c r="T44" i="9"/>
  <c r="G44" i="9" s="1"/>
  <c r="S44" i="9"/>
  <c r="C33" i="11" l="1"/>
  <c r="BC33" i="11" s="1"/>
  <c r="BA30" i="11"/>
  <c r="E35" i="12" s="1"/>
  <c r="AH31" i="11"/>
  <c r="AI31" i="11" s="1"/>
  <c r="G36" i="12" s="1"/>
  <c r="BD31" i="11"/>
  <c r="AX31" i="11"/>
  <c r="AY31" i="11" s="1"/>
  <c r="AN31" i="11"/>
  <c r="AO31" i="11" s="1"/>
  <c r="AS31" i="11"/>
  <c r="AT31" i="11" s="1"/>
  <c r="N31" i="11"/>
  <c r="I31" i="11"/>
  <c r="Q31" i="11"/>
  <c r="L31" i="11"/>
  <c r="F31" i="11"/>
  <c r="P31" i="11"/>
  <c r="E31" i="11"/>
  <c r="AD31" i="11" s="1"/>
  <c r="AE31" i="11" s="1"/>
  <c r="I36" i="12" s="1"/>
  <c r="J31" i="11"/>
  <c r="X31" i="11" s="1"/>
  <c r="R31" i="11"/>
  <c r="H31" i="11"/>
  <c r="M31" i="11"/>
  <c r="D32" i="11"/>
  <c r="T45" i="9"/>
  <c r="G45" i="9" s="1"/>
  <c r="S45" i="9"/>
  <c r="V46" i="9"/>
  <c r="R46" i="9"/>
  <c r="B46" i="9"/>
  <c r="A47" i="9"/>
  <c r="C34" i="11" l="1"/>
  <c r="BC34" i="11" s="1"/>
  <c r="BA31" i="11"/>
  <c r="E36" i="12" s="1"/>
  <c r="D33" i="11"/>
  <c r="AH32" i="11"/>
  <c r="AI32" i="11" s="1"/>
  <c r="G37" i="12" s="1"/>
  <c r="BD32" i="11"/>
  <c r="AX32" i="11"/>
  <c r="AY32" i="11" s="1"/>
  <c r="AS32" i="11"/>
  <c r="AT32" i="11" s="1"/>
  <c r="AN32" i="11"/>
  <c r="AO32" i="11" s="1"/>
  <c r="N32" i="11"/>
  <c r="L32" i="11"/>
  <c r="Q32" i="11"/>
  <c r="I32" i="11"/>
  <c r="P32" i="11"/>
  <c r="F32" i="11"/>
  <c r="R32" i="11"/>
  <c r="E32" i="11"/>
  <c r="AD32" i="11" s="1"/>
  <c r="AE32" i="11" s="1"/>
  <c r="I37" i="12" s="1"/>
  <c r="J32" i="11"/>
  <c r="X32" i="11" s="1"/>
  <c r="M32" i="11"/>
  <c r="H32" i="11"/>
  <c r="W46" i="9"/>
  <c r="J46" i="9" s="1"/>
  <c r="V47" i="9"/>
  <c r="W47" i="9" s="1"/>
  <c r="J47" i="9" s="1"/>
  <c r="R47" i="9"/>
  <c r="B47" i="9"/>
  <c r="T46" i="9"/>
  <c r="G46" i="9" s="1"/>
  <c r="S46" i="9"/>
  <c r="BA32" i="11" l="1"/>
  <c r="E37" i="12" s="1"/>
  <c r="D34" i="11"/>
  <c r="AH33" i="11"/>
  <c r="AI33" i="11" s="1"/>
  <c r="G38" i="12" s="1"/>
  <c r="BD33" i="11"/>
  <c r="AX33" i="11"/>
  <c r="AY33" i="11" s="1"/>
  <c r="AN33" i="11"/>
  <c r="AO33" i="11" s="1"/>
  <c r="AS33" i="11"/>
  <c r="AT33" i="11" s="1"/>
  <c r="F33" i="11"/>
  <c r="P33" i="11"/>
  <c r="J33" i="11"/>
  <c r="X33" i="11" s="1"/>
  <c r="R33" i="11"/>
  <c r="M33" i="11"/>
  <c r="H33" i="11"/>
  <c r="L33" i="11"/>
  <c r="E33" i="11"/>
  <c r="AD33" i="11" s="1"/>
  <c r="AE33" i="11" s="1"/>
  <c r="I38" i="12" s="1"/>
  <c r="I33" i="11"/>
  <c r="Q33" i="11"/>
  <c r="N33" i="11"/>
  <c r="T47" i="9"/>
  <c r="G47" i="9" s="1"/>
  <c r="S47" i="9"/>
  <c r="BA33" i="11" l="1"/>
  <c r="E38" i="12" s="1"/>
  <c r="AH34" i="11"/>
  <c r="AI34" i="11" s="1"/>
  <c r="AI36" i="11" s="1"/>
  <c r="AI37" i="11" s="1"/>
  <c r="AS34" i="11"/>
  <c r="AT34" i="11" s="1"/>
  <c r="BD34" i="11"/>
  <c r="AX34" i="11"/>
  <c r="AY34" i="11" s="1"/>
  <c r="AN34" i="11"/>
  <c r="AO34" i="11" s="1"/>
  <c r="E34" i="11"/>
  <c r="AD34" i="11" s="1"/>
  <c r="AE34" i="11" s="1"/>
  <c r="I34" i="11"/>
  <c r="M34" i="11"/>
  <c r="L34" i="11"/>
  <c r="N34" i="11"/>
  <c r="Q34" i="11"/>
  <c r="R34" i="11"/>
  <c r="P34" i="11"/>
  <c r="J34" i="11"/>
  <c r="X34" i="11" s="1"/>
  <c r="H34" i="11"/>
  <c r="F34" i="11"/>
  <c r="I39" i="12" l="1"/>
  <c r="G39" i="12"/>
  <c r="G42" i="12" s="1"/>
  <c r="C13" i="13" s="1"/>
  <c r="BA34" i="11"/>
  <c r="BA36" i="11" s="1"/>
  <c r="BA37" i="11" s="1"/>
  <c r="D12" i="10"/>
  <c r="D13" i="10" s="1"/>
  <c r="D14" i="10" s="1"/>
  <c r="D15" i="10" s="1"/>
  <c r="D16" i="10" s="1"/>
  <c r="D17" i="10" s="1"/>
  <c r="D18" i="10" s="1"/>
  <c r="D19" i="10" s="1"/>
  <c r="D20" i="10" s="1"/>
  <c r="D21" i="10" s="1"/>
  <c r="D22" i="10" s="1"/>
  <c r="D23" i="10" s="1"/>
  <c r="D24" i="10" s="1"/>
  <c r="D25" i="10" s="1"/>
  <c r="D26" i="10" s="1"/>
  <c r="D27" i="10" s="1"/>
  <c r="D28" i="10" s="1"/>
  <c r="D29" i="10" s="1"/>
  <c r="D30" i="10" s="1"/>
  <c r="D13" i="13" l="1"/>
  <c r="C14" i="13"/>
  <c r="I40" i="12"/>
  <c r="G40" i="12"/>
  <c r="E39" i="12"/>
  <c r="E42" i="12" s="1"/>
  <c r="E17" i="10"/>
  <c r="E18" i="10" s="1"/>
  <c r="E19" i="10" s="1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D14" i="13" l="1"/>
  <c r="E40" i="12"/>
  <c r="A7" i="10"/>
  <c r="A8" i="10" l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L26" i="9"/>
  <c r="M26" i="9" s="1"/>
  <c r="M18" i="12" s="1"/>
  <c r="L27" i="9"/>
  <c r="M27" i="9" s="1"/>
  <c r="M19" i="12" s="1"/>
  <c r="L25" i="9"/>
  <c r="M25" i="9" s="1"/>
  <c r="M17" i="12" s="1"/>
  <c r="L24" i="9"/>
  <c r="M24" i="9" s="1"/>
  <c r="M16" i="12" s="1"/>
  <c r="L23" i="9"/>
  <c r="M23" i="9" s="1"/>
  <c r="I23" i="9"/>
  <c r="K23" i="9" s="1"/>
  <c r="F23" i="9"/>
  <c r="H23" i="9" s="1"/>
  <c r="C23" i="9"/>
  <c r="D23" i="9" s="1"/>
  <c r="E23" i="9" s="1"/>
  <c r="F25" i="9"/>
  <c r="H25" i="9" s="1"/>
  <c r="I24" i="9"/>
  <c r="K24" i="9" s="1"/>
  <c r="C24" i="9"/>
  <c r="D24" i="9" s="1"/>
  <c r="E24" i="9" s="1"/>
  <c r="C25" i="9"/>
  <c r="D25" i="9" s="1"/>
  <c r="E25" i="9" s="1"/>
  <c r="F24" i="9"/>
  <c r="H24" i="9" s="1"/>
  <c r="I25" i="9"/>
  <c r="K25" i="9" s="1"/>
  <c r="I26" i="9"/>
  <c r="K26" i="9" s="1"/>
  <c r="C26" i="9"/>
  <c r="D26" i="9" s="1"/>
  <c r="E26" i="9" s="1"/>
  <c r="F26" i="9"/>
  <c r="H26" i="9" s="1"/>
  <c r="C27" i="9"/>
  <c r="D27" i="9" s="1"/>
  <c r="E27" i="9" s="1"/>
  <c r="I27" i="9"/>
  <c r="K27" i="9" s="1"/>
  <c r="F27" i="9"/>
  <c r="H27" i="9" s="1"/>
  <c r="I28" i="9"/>
  <c r="K28" i="9" s="1"/>
  <c r="L28" i="9"/>
  <c r="M28" i="9" s="1"/>
  <c r="M20" i="12" s="1"/>
  <c r="F28" i="9"/>
  <c r="H28" i="9" s="1"/>
  <c r="C28" i="9"/>
  <c r="D28" i="9" s="1"/>
  <c r="E28" i="9" s="1"/>
  <c r="L29" i="9"/>
  <c r="M29" i="9" s="1"/>
  <c r="M21" i="12" s="1"/>
  <c r="C29" i="9"/>
  <c r="D29" i="9" s="1"/>
  <c r="E29" i="9" s="1"/>
  <c r="I29" i="9"/>
  <c r="K29" i="9" s="1"/>
  <c r="F29" i="9"/>
  <c r="H29" i="9" s="1"/>
  <c r="I30" i="9"/>
  <c r="K30" i="9" s="1"/>
  <c r="L30" i="9"/>
  <c r="M30" i="9" s="1"/>
  <c r="M22" i="12" s="1"/>
  <c r="F30" i="9"/>
  <c r="H30" i="9" s="1"/>
  <c r="C30" i="9"/>
  <c r="D30" i="9" s="1"/>
  <c r="E30" i="9" s="1"/>
  <c r="F31" i="9"/>
  <c r="H31" i="9" s="1"/>
  <c r="L31" i="9"/>
  <c r="M31" i="9" s="1"/>
  <c r="M23" i="12" s="1"/>
  <c r="C31" i="9"/>
  <c r="D31" i="9" s="1"/>
  <c r="E31" i="9" s="1"/>
  <c r="I31" i="9"/>
  <c r="K31" i="9" s="1"/>
  <c r="I32" i="9"/>
  <c r="K32" i="9" s="1"/>
  <c r="L32" i="9"/>
  <c r="M32" i="9" s="1"/>
  <c r="M24" i="12" s="1"/>
  <c r="F32" i="9"/>
  <c r="H32" i="9" s="1"/>
  <c r="C32" i="9"/>
  <c r="D32" i="9" s="1"/>
  <c r="E32" i="9" s="1"/>
  <c r="L33" i="9"/>
  <c r="M33" i="9" s="1"/>
  <c r="M25" i="12" s="1"/>
  <c r="F33" i="9"/>
  <c r="H33" i="9" s="1"/>
  <c r="C33" i="9"/>
  <c r="D33" i="9" s="1"/>
  <c r="E33" i="9" s="1"/>
  <c r="I33" i="9"/>
  <c r="K33" i="9" s="1"/>
  <c r="I34" i="9"/>
  <c r="K34" i="9" s="1"/>
  <c r="L34" i="9"/>
  <c r="M34" i="9" s="1"/>
  <c r="M26" i="12" s="1"/>
  <c r="F34" i="9"/>
  <c r="H34" i="9" s="1"/>
  <c r="C34" i="9"/>
  <c r="D34" i="9" s="1"/>
  <c r="E34" i="9" s="1"/>
  <c r="F35" i="9"/>
  <c r="H35" i="9" s="1"/>
  <c r="C35" i="9"/>
  <c r="D35" i="9" s="1"/>
  <c r="E35" i="9" s="1"/>
  <c r="I35" i="9"/>
  <c r="K35" i="9" s="1"/>
  <c r="L35" i="9"/>
  <c r="M35" i="9" s="1"/>
  <c r="M27" i="12" s="1"/>
  <c r="L36" i="9"/>
  <c r="M36" i="9" s="1"/>
  <c r="M28" i="12" s="1"/>
  <c r="F36" i="9"/>
  <c r="H36" i="9" s="1"/>
  <c r="C36" i="9"/>
  <c r="D36" i="9" s="1"/>
  <c r="E36" i="9" s="1"/>
  <c r="I36" i="9"/>
  <c r="K36" i="9" s="1"/>
  <c r="C37" i="9"/>
  <c r="D37" i="9" s="1"/>
  <c r="E37" i="9" s="1"/>
  <c r="F37" i="9"/>
  <c r="H37" i="9" s="1"/>
  <c r="I37" i="9"/>
  <c r="K37" i="9" s="1"/>
  <c r="L37" i="9"/>
  <c r="M37" i="9" s="1"/>
  <c r="M29" i="12" s="1"/>
  <c r="L38" i="9"/>
  <c r="M38" i="9" s="1"/>
  <c r="M30" i="12" s="1"/>
  <c r="I38" i="9"/>
  <c r="K38" i="9" s="1"/>
  <c r="F38" i="9"/>
  <c r="H38" i="9" s="1"/>
  <c r="Q30" i="12" s="1"/>
  <c r="C38" i="9"/>
  <c r="D38" i="9" s="1"/>
  <c r="E38" i="9" s="1"/>
  <c r="F39" i="9"/>
  <c r="H39" i="9" s="1"/>
  <c r="L39" i="9"/>
  <c r="M39" i="9" s="1"/>
  <c r="M31" i="12" s="1"/>
  <c r="C39" i="9"/>
  <c r="D39" i="9" s="1"/>
  <c r="E39" i="9" s="1"/>
  <c r="I39" i="9"/>
  <c r="K39" i="9" s="1"/>
  <c r="L40" i="9"/>
  <c r="M40" i="9" s="1"/>
  <c r="M32" i="12" s="1"/>
  <c r="I40" i="9"/>
  <c r="K40" i="9" s="1"/>
  <c r="F40" i="9"/>
  <c r="H40" i="9" s="1"/>
  <c r="Q32" i="12" s="1"/>
  <c r="C40" i="9"/>
  <c r="D40" i="9" s="1"/>
  <c r="E40" i="9" s="1"/>
  <c r="I41" i="9"/>
  <c r="K41" i="9" s="1"/>
  <c r="F41" i="9"/>
  <c r="H41" i="9" s="1"/>
  <c r="L41" i="9"/>
  <c r="M41" i="9" s="1"/>
  <c r="M33" i="12" s="1"/>
  <c r="C41" i="9"/>
  <c r="D41" i="9" s="1"/>
  <c r="E41" i="9" s="1"/>
  <c r="L42" i="9"/>
  <c r="M42" i="9" s="1"/>
  <c r="M34" i="12" s="1"/>
  <c r="I42" i="9"/>
  <c r="K42" i="9" s="1"/>
  <c r="C42" i="9"/>
  <c r="D42" i="9" s="1"/>
  <c r="E42" i="9" s="1"/>
  <c r="F42" i="9"/>
  <c r="H42" i="9" s="1"/>
  <c r="L43" i="9"/>
  <c r="M43" i="9" s="1"/>
  <c r="M35" i="12" s="1"/>
  <c r="F43" i="9"/>
  <c r="H43" i="9" s="1"/>
  <c r="C43" i="9"/>
  <c r="D43" i="9" s="1"/>
  <c r="E43" i="9" s="1"/>
  <c r="I43" i="9"/>
  <c r="K43" i="9" s="1"/>
  <c r="I44" i="9"/>
  <c r="K44" i="9" s="1"/>
  <c r="C44" i="9"/>
  <c r="D44" i="9" s="1"/>
  <c r="E44" i="9" s="1"/>
  <c r="L44" i="9"/>
  <c r="M44" i="9" s="1"/>
  <c r="M36" i="12" s="1"/>
  <c r="F44" i="9"/>
  <c r="H44" i="9" s="1"/>
  <c r="I45" i="9"/>
  <c r="K45" i="9" s="1"/>
  <c r="F45" i="9"/>
  <c r="H45" i="9" s="1"/>
  <c r="L45" i="9"/>
  <c r="M45" i="9" s="1"/>
  <c r="M37" i="12" s="1"/>
  <c r="C45" i="9"/>
  <c r="D45" i="9" s="1"/>
  <c r="E45" i="9" s="1"/>
  <c r="F46" i="9"/>
  <c r="H46" i="9" s="1"/>
  <c r="L46" i="9"/>
  <c r="M46" i="9" s="1"/>
  <c r="M38" i="12" s="1"/>
  <c r="I46" i="9"/>
  <c r="K46" i="9" s="1"/>
  <c r="C46" i="9"/>
  <c r="D46" i="9" s="1"/>
  <c r="E46" i="9" s="1"/>
  <c r="F47" i="9"/>
  <c r="L47" i="9"/>
  <c r="C47" i="9"/>
  <c r="I47" i="9"/>
  <c r="V10" i="11"/>
  <c r="U10" i="11"/>
  <c r="H49" i="9" l="1"/>
  <c r="Q15" i="12"/>
  <c r="Q38" i="12"/>
  <c r="Q31" i="12"/>
  <c r="Q27" i="12"/>
  <c r="Q23" i="12"/>
  <c r="Q18" i="12"/>
  <c r="Q16" i="12"/>
  <c r="Q17" i="12"/>
  <c r="Q34" i="12"/>
  <c r="D47" i="9"/>
  <c r="O35" i="12"/>
  <c r="N43" i="9"/>
  <c r="O43" i="9" s="1"/>
  <c r="P43" i="9" s="1"/>
  <c r="O34" i="12"/>
  <c r="N42" i="9"/>
  <c r="O42" i="9" s="1"/>
  <c r="P42" i="9" s="1"/>
  <c r="O31" i="12"/>
  <c r="N39" i="9"/>
  <c r="O39" i="9" s="1"/>
  <c r="P39" i="9" s="1"/>
  <c r="O28" i="12"/>
  <c r="N36" i="9"/>
  <c r="O36" i="9" s="1"/>
  <c r="P36" i="9" s="1"/>
  <c r="Q26" i="12"/>
  <c r="O25" i="12"/>
  <c r="N33" i="9"/>
  <c r="O33" i="9" s="1"/>
  <c r="P33" i="9" s="1"/>
  <c r="Q24" i="12"/>
  <c r="O23" i="12"/>
  <c r="N31" i="9"/>
  <c r="O31" i="9" s="1"/>
  <c r="P31" i="9" s="1"/>
  <c r="Q22" i="12"/>
  <c r="Q20" i="12"/>
  <c r="O16" i="12"/>
  <c r="N24" i="9"/>
  <c r="O24" i="9" s="1"/>
  <c r="P24" i="9" s="1"/>
  <c r="M47" i="9"/>
  <c r="M39" i="12" s="1"/>
  <c r="Q37" i="12"/>
  <c r="O36" i="12"/>
  <c r="N44" i="9"/>
  <c r="O44" i="9" s="1"/>
  <c r="P44" i="9" s="1"/>
  <c r="Q35" i="12"/>
  <c r="Q33" i="12"/>
  <c r="Q29" i="12"/>
  <c r="Q28" i="12"/>
  <c r="O27" i="12"/>
  <c r="N35" i="9"/>
  <c r="O35" i="9" s="1"/>
  <c r="P35" i="9" s="1"/>
  <c r="Q25" i="12"/>
  <c r="O21" i="12"/>
  <c r="N29" i="9"/>
  <c r="O29" i="9" s="1"/>
  <c r="P29" i="9" s="1"/>
  <c r="O19" i="12"/>
  <c r="N27" i="9"/>
  <c r="O27" i="9" s="1"/>
  <c r="P27" i="9" s="1"/>
  <c r="H47" i="9"/>
  <c r="O29" i="12"/>
  <c r="N37" i="9"/>
  <c r="O37" i="9" s="1"/>
  <c r="P37" i="9" s="1"/>
  <c r="M15" i="12"/>
  <c r="M42" i="12" s="1"/>
  <c r="C18" i="13" s="1"/>
  <c r="K47" i="9"/>
  <c r="K49" i="9" s="1"/>
  <c r="O38" i="12"/>
  <c r="S38" i="12" s="1"/>
  <c r="N46" i="9"/>
  <c r="O46" i="9" s="1"/>
  <c r="P46" i="9" s="1"/>
  <c r="O37" i="12"/>
  <c r="N45" i="9"/>
  <c r="O45" i="9" s="1"/>
  <c r="P45" i="9" s="1"/>
  <c r="Q36" i="12"/>
  <c r="O33" i="12"/>
  <c r="N41" i="9"/>
  <c r="O41" i="9" s="1"/>
  <c r="P41" i="9" s="1"/>
  <c r="O32" i="12"/>
  <c r="S32" i="12" s="1"/>
  <c r="N40" i="9"/>
  <c r="O40" i="9" s="1"/>
  <c r="P40" i="9" s="1"/>
  <c r="O30" i="12"/>
  <c r="S30" i="12" s="1"/>
  <c r="N38" i="9"/>
  <c r="O38" i="9" s="1"/>
  <c r="P38" i="9" s="1"/>
  <c r="O26" i="12"/>
  <c r="N34" i="9"/>
  <c r="O34" i="9" s="1"/>
  <c r="P34" i="9" s="1"/>
  <c r="O24" i="12"/>
  <c r="N32" i="9"/>
  <c r="O32" i="9" s="1"/>
  <c r="P32" i="9" s="1"/>
  <c r="O22" i="12"/>
  <c r="N30" i="9"/>
  <c r="O30" i="9" s="1"/>
  <c r="P30" i="9" s="1"/>
  <c r="Q21" i="12"/>
  <c r="N28" i="9"/>
  <c r="O28" i="9" s="1"/>
  <c r="P28" i="9" s="1"/>
  <c r="O20" i="12"/>
  <c r="Q19" i="12"/>
  <c r="O18" i="12"/>
  <c r="N26" i="9"/>
  <c r="O26" i="9" s="1"/>
  <c r="P26" i="9" s="1"/>
  <c r="O17" i="12"/>
  <c r="S17" i="12" s="1"/>
  <c r="N25" i="9"/>
  <c r="O25" i="9" s="1"/>
  <c r="P25" i="9" s="1"/>
  <c r="O15" i="12"/>
  <c r="N23" i="9"/>
  <c r="V11" i="11"/>
  <c r="Z10" i="11"/>
  <c r="U11" i="11"/>
  <c r="Y10" i="11"/>
  <c r="D18" i="13" l="1"/>
  <c r="C20" i="13"/>
  <c r="S23" i="12"/>
  <c r="S22" i="12"/>
  <c r="M49" i="9"/>
  <c r="M51" i="9" s="1"/>
  <c r="S28" i="12"/>
  <c r="O23" i="9"/>
  <c r="P23" i="9" s="1"/>
  <c r="S25" i="12"/>
  <c r="S20" i="12"/>
  <c r="S18" i="12"/>
  <c r="S33" i="12"/>
  <c r="S27" i="12"/>
  <c r="S35" i="12"/>
  <c r="S31" i="12"/>
  <c r="S34" i="12"/>
  <c r="S19" i="12"/>
  <c r="S15" i="12"/>
  <c r="S16" i="12"/>
  <c r="S36" i="12"/>
  <c r="S21" i="12"/>
  <c r="Q39" i="12"/>
  <c r="Q40" i="12" s="1"/>
  <c r="M40" i="12"/>
  <c r="S26" i="12"/>
  <c r="S37" i="12"/>
  <c r="E47" i="9"/>
  <c r="E49" i="9" s="1"/>
  <c r="S29" i="12"/>
  <c r="S24" i="12"/>
  <c r="AA10" i="11"/>
  <c r="V12" i="11"/>
  <c r="Z11" i="11"/>
  <c r="U12" i="11"/>
  <c r="Y11" i="11"/>
  <c r="D20" i="13" l="1"/>
  <c r="C22" i="13"/>
  <c r="D22" i="13" s="1"/>
  <c r="O39" i="12"/>
  <c r="O42" i="12" s="1"/>
  <c r="N47" i="9"/>
  <c r="N49" i="9" s="1"/>
  <c r="AA11" i="11"/>
  <c r="BE11" i="11" s="1"/>
  <c r="Z12" i="11"/>
  <c r="V13" i="11"/>
  <c r="C15" i="12"/>
  <c r="BE10" i="11"/>
  <c r="U13" i="11"/>
  <c r="Y12" i="11"/>
  <c r="O40" i="12" l="1"/>
  <c r="S40" i="12" s="1"/>
  <c r="S39" i="12"/>
  <c r="S42" i="12" s="1"/>
  <c r="O47" i="9"/>
  <c r="AA12" i="11"/>
  <c r="C17" i="12" s="1"/>
  <c r="K17" i="12" s="1"/>
  <c r="U17" i="12" s="1"/>
  <c r="C16" i="12"/>
  <c r="K16" i="12" s="1"/>
  <c r="U16" i="12" s="1"/>
  <c r="V14" i="11"/>
  <c r="Z13" i="11"/>
  <c r="Y13" i="11"/>
  <c r="U14" i="11"/>
  <c r="K15" i="12"/>
  <c r="U15" i="12" l="1"/>
  <c r="P47" i="9"/>
  <c r="BE12" i="11"/>
  <c r="AA13" i="11"/>
  <c r="C18" i="12" s="1"/>
  <c r="K18" i="12" s="1"/>
  <c r="U18" i="12" s="1"/>
  <c r="Y14" i="11"/>
  <c r="U15" i="11"/>
  <c r="Z14" i="11"/>
  <c r="V15" i="11"/>
  <c r="BE13" i="11" l="1"/>
  <c r="Y15" i="11"/>
  <c r="U16" i="11"/>
  <c r="AA14" i="11"/>
  <c r="Z15" i="11"/>
  <c r="V16" i="11"/>
  <c r="AA15" i="11" l="1"/>
  <c r="C20" i="12" s="1"/>
  <c r="K20" i="12" s="1"/>
  <c r="U20" i="12" s="1"/>
  <c r="U17" i="11"/>
  <c r="Y16" i="11"/>
  <c r="V17" i="11"/>
  <c r="Z16" i="11"/>
  <c r="C19" i="12"/>
  <c r="BE14" i="11"/>
  <c r="AA16" i="11" l="1"/>
  <c r="C21" i="12" s="1"/>
  <c r="K21" i="12" s="1"/>
  <c r="U21" i="12" s="1"/>
  <c r="BE15" i="11"/>
  <c r="U18" i="11"/>
  <c r="Y17" i="11"/>
  <c r="K19" i="12"/>
  <c r="V18" i="11"/>
  <c r="Z17" i="11"/>
  <c r="U19" i="12" l="1"/>
  <c r="BE16" i="11"/>
  <c r="AA17" i="11"/>
  <c r="Z18" i="11"/>
  <c r="V19" i="11"/>
  <c r="Y18" i="11"/>
  <c r="U19" i="11"/>
  <c r="U20" i="11" l="1"/>
  <c r="Y19" i="11"/>
  <c r="C22" i="12"/>
  <c r="BE17" i="11"/>
  <c r="AA18" i="11"/>
  <c r="V20" i="11"/>
  <c r="Z19" i="11"/>
  <c r="AA19" i="11" l="1"/>
  <c r="C24" i="12" s="1"/>
  <c r="K24" i="12" s="1"/>
  <c r="U24" i="12" s="1"/>
  <c r="Z20" i="11"/>
  <c r="V21" i="11"/>
  <c r="C23" i="12"/>
  <c r="K23" i="12" s="1"/>
  <c r="U23" i="12" s="1"/>
  <c r="BE18" i="11"/>
  <c r="U21" i="11"/>
  <c r="Y20" i="11"/>
  <c r="K22" i="12"/>
  <c r="U22" i="12" l="1"/>
  <c r="BE19" i="11"/>
  <c r="V22" i="11"/>
  <c r="Z21" i="11"/>
  <c r="AA20" i="11"/>
  <c r="U22" i="11"/>
  <c r="Y21" i="11"/>
  <c r="AA21" i="11" l="1"/>
  <c r="V23" i="11"/>
  <c r="Z22" i="11"/>
  <c r="U23" i="11"/>
  <c r="Y22" i="11"/>
  <c r="C25" i="12"/>
  <c r="BE20" i="11"/>
  <c r="AA22" i="11" l="1"/>
  <c r="BE22" i="11" s="1"/>
  <c r="K25" i="12"/>
  <c r="V24" i="11"/>
  <c r="Z23" i="11"/>
  <c r="C26" i="12"/>
  <c r="K26" i="12" s="1"/>
  <c r="U26" i="12" s="1"/>
  <c r="BE21" i="11"/>
  <c r="U24" i="11"/>
  <c r="Y23" i="11"/>
  <c r="C27" i="12" l="1"/>
  <c r="K27" i="12" s="1"/>
  <c r="U27" i="12" s="1"/>
  <c r="U25" i="12"/>
  <c r="AA23" i="11"/>
  <c r="BE23" i="11" s="1"/>
  <c r="Y24" i="11"/>
  <c r="U25" i="11"/>
  <c r="Z24" i="11"/>
  <c r="V25" i="11"/>
  <c r="C28" i="12" l="1"/>
  <c r="K28" i="12" s="1"/>
  <c r="V26" i="11"/>
  <c r="Z25" i="11"/>
  <c r="Y25" i="11"/>
  <c r="U26" i="11"/>
  <c r="AA24" i="11"/>
  <c r="U28" i="12" l="1"/>
  <c r="C29" i="12"/>
  <c r="K29" i="12" s="1"/>
  <c r="BE24" i="11"/>
  <c r="V27" i="11"/>
  <c r="Z26" i="11"/>
  <c r="U27" i="11"/>
  <c r="Y26" i="11"/>
  <c r="AA25" i="11"/>
  <c r="U29" i="12" l="1"/>
  <c r="AA26" i="11"/>
  <c r="BE26" i="11" s="1"/>
  <c r="U28" i="11"/>
  <c r="Y27" i="11"/>
  <c r="C30" i="12"/>
  <c r="K30" i="12" s="1"/>
  <c r="U30" i="12" s="1"/>
  <c r="BE25" i="11"/>
  <c r="V28" i="11"/>
  <c r="Z27" i="11"/>
  <c r="C31" i="12" l="1"/>
  <c r="K31" i="12" s="1"/>
  <c r="U31" i="12" s="1"/>
  <c r="AA27" i="11"/>
  <c r="V29" i="11"/>
  <c r="Z28" i="11"/>
  <c r="U29" i="11"/>
  <c r="Y28" i="11"/>
  <c r="AA28" i="11" l="1"/>
  <c r="C33" i="12" s="1"/>
  <c r="K33" i="12" s="1"/>
  <c r="U33" i="12" s="1"/>
  <c r="V30" i="11"/>
  <c r="Z29" i="11"/>
  <c r="C32" i="12"/>
  <c r="K32" i="12" s="1"/>
  <c r="U32" i="12" s="1"/>
  <c r="BE27" i="11"/>
  <c r="U30" i="11"/>
  <c r="Y29" i="11"/>
  <c r="BE28" i="11" l="1"/>
  <c r="V31" i="11"/>
  <c r="Z30" i="11"/>
  <c r="AA29" i="11"/>
  <c r="U31" i="11"/>
  <c r="Y30" i="11"/>
  <c r="AA30" i="11" l="1"/>
  <c r="V32" i="11"/>
  <c r="Z31" i="11"/>
  <c r="U32" i="11"/>
  <c r="Y31" i="11"/>
  <c r="C34" i="12"/>
  <c r="K34" i="12" s="1"/>
  <c r="U34" i="12" s="1"/>
  <c r="BE29" i="11"/>
  <c r="AA31" i="11" l="1"/>
  <c r="BE31" i="11" s="1"/>
  <c r="V33" i="11"/>
  <c r="Z32" i="11"/>
  <c r="C35" i="12"/>
  <c r="K35" i="12" s="1"/>
  <c r="U35" i="12" s="1"/>
  <c r="BE30" i="11"/>
  <c r="U33" i="11"/>
  <c r="Y32" i="11"/>
  <c r="C36" i="12" l="1"/>
  <c r="K36" i="12" s="1"/>
  <c r="U36" i="12" s="1"/>
  <c r="V34" i="11"/>
  <c r="Z34" i="11" s="1"/>
  <c r="Z33" i="11"/>
  <c r="AA32" i="11"/>
  <c r="U34" i="11"/>
  <c r="Y34" i="11" s="1"/>
  <c r="Y33" i="11"/>
  <c r="AA33" i="11" l="1"/>
  <c r="AA34" i="11"/>
  <c r="C37" i="12"/>
  <c r="K37" i="12" s="1"/>
  <c r="U37" i="12" s="1"/>
  <c r="BE32" i="11"/>
  <c r="C39" i="12" l="1"/>
  <c r="BE34" i="11"/>
  <c r="C38" i="12"/>
  <c r="K38" i="12" s="1"/>
  <c r="U38" i="12" s="1"/>
  <c r="BE33" i="11"/>
  <c r="BE36" i="11" l="1"/>
  <c r="K39" i="12"/>
  <c r="K42" i="12" s="1"/>
  <c r="C40" i="12"/>
  <c r="K40" i="12" s="1"/>
  <c r="U40" i="12" s="1"/>
  <c r="U39" i="12" l="1"/>
  <c r="U42" i="12" s="1"/>
</calcChain>
</file>

<file path=xl/comments1.xml><?xml version="1.0" encoding="utf-8"?>
<comments xmlns="http://schemas.openxmlformats.org/spreadsheetml/2006/main">
  <authors>
    <author>Watts, Charles</author>
  </authors>
  <commentList>
    <comment ref="AR9" authorId="0">
      <text>
        <r>
          <rPr>
            <b/>
            <sz val="9"/>
            <color indexed="81"/>
            <rFont val="Tahoma"/>
            <family val="2"/>
          </rPr>
          <t>Watts, Charles:</t>
        </r>
        <r>
          <rPr>
            <sz val="9"/>
            <color indexed="81"/>
            <rFont val="Tahoma"/>
            <family val="2"/>
          </rPr>
          <t xml:space="preserve">
Assumes 75% are are preferred site</t>
        </r>
      </text>
    </comment>
    <comment ref="AW9" authorId="0">
      <text>
        <r>
          <rPr>
            <b/>
            <sz val="9"/>
            <color indexed="81"/>
            <rFont val="Tahoma"/>
            <family val="2"/>
          </rPr>
          <t>Watts, Charles:</t>
        </r>
        <r>
          <rPr>
            <sz val="9"/>
            <color indexed="81"/>
            <rFont val="Tahoma"/>
            <family val="2"/>
          </rPr>
          <t xml:space="preserve">
Includes second year additional $10/MWh decrease in siting adjustor</t>
        </r>
      </text>
    </comment>
    <comment ref="AG20" authorId="0">
      <text>
        <r>
          <rPr>
            <b/>
            <sz val="9"/>
            <color indexed="81"/>
            <rFont val="Tahoma"/>
            <family val="2"/>
          </rPr>
          <t>Watts, Charles:</t>
        </r>
        <r>
          <rPr>
            <sz val="9"/>
            <color indexed="81"/>
            <rFont val="Tahoma"/>
            <family val="2"/>
          </rPr>
          <t xml:space="preserve">
Still get RECs but no cost after 10 years</t>
        </r>
      </text>
    </comment>
    <comment ref="AW20" authorId="0">
      <text>
        <r>
          <rPr>
            <b/>
            <sz val="9"/>
            <color indexed="81"/>
            <rFont val="Tahoma"/>
            <family val="2"/>
          </rPr>
          <t>Watts, Charles:</t>
        </r>
        <r>
          <rPr>
            <sz val="9"/>
            <color indexed="81"/>
            <rFont val="Tahoma"/>
            <family val="2"/>
          </rPr>
          <t xml:space="preserve">
Negative adjustors continue</t>
        </r>
      </text>
    </comment>
  </commentList>
</comments>
</file>

<file path=xl/comments2.xml><?xml version="1.0" encoding="utf-8"?>
<comments xmlns="http://schemas.openxmlformats.org/spreadsheetml/2006/main">
  <authors>
    <author>Watts, Charles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Watts, Charles:</t>
        </r>
        <r>
          <rPr>
            <sz val="9"/>
            <color indexed="81"/>
            <rFont val="Tahoma"/>
            <family val="2"/>
          </rPr>
          <t xml:space="preserve">
Includes site adjustor(s)
and REC costs transferred out</t>
        </r>
      </text>
    </comment>
  </commentList>
</comments>
</file>

<file path=xl/sharedStrings.xml><?xml version="1.0" encoding="utf-8"?>
<sst xmlns="http://schemas.openxmlformats.org/spreadsheetml/2006/main" count="215" uniqueCount="146">
  <si>
    <t>Total</t>
  </si>
  <si>
    <t>Residential</t>
  </si>
  <si>
    <t>Commercial</t>
  </si>
  <si>
    <t>Industrial</t>
  </si>
  <si>
    <t>Year</t>
  </si>
  <si>
    <t>MWh Total</t>
  </si>
  <si>
    <t>MWh Excess</t>
  </si>
  <si>
    <t>MWh Own Use</t>
  </si>
  <si>
    <t>Small</t>
  </si>
  <si>
    <t>Large</t>
  </si>
  <si>
    <t>Medium</t>
  </si>
  <si>
    <t>Excess</t>
  </si>
  <si>
    <t>REC</t>
  </si>
  <si>
    <t>Excess Cost</t>
  </si>
  <si>
    <t>Net</t>
  </si>
  <si>
    <t>Res</t>
  </si>
  <si>
    <t>Com</t>
  </si>
  <si>
    <t>Ind</t>
  </si>
  <si>
    <t>MWh</t>
  </si>
  <si>
    <t>Total Solar Benefits:</t>
  </si>
  <si>
    <t>Avoided Power</t>
  </si>
  <si>
    <t>Purchases</t>
  </si>
  <si>
    <t>Reductions</t>
  </si>
  <si>
    <t>Costs</t>
  </si>
  <si>
    <t>Benefits</t>
  </si>
  <si>
    <t>Cost</t>
  </si>
  <si>
    <t>Assumptions:</t>
  </si>
  <si>
    <t>1.)  Assume there is no lag in terms of either costs or benefits.</t>
  </si>
  <si>
    <t>REC Sales</t>
  </si>
  <si>
    <t>Lost Revenue</t>
  </si>
  <si>
    <t>RES</t>
  </si>
  <si>
    <t>Avoided Power Purchases</t>
  </si>
  <si>
    <t>FCM / TBO</t>
  </si>
  <si>
    <t>FCM/TBO Reductions</t>
  </si>
  <si>
    <t>Costs incurred by retiring RECs to meet RES requirements</t>
  </si>
  <si>
    <t>Value paid for every MWh produced but not consumed onsite.</t>
  </si>
  <si>
    <t>REC sales from other sources that occur because solar net metering RECs are used to meet RES Tier 2 requirements</t>
  </si>
  <si>
    <t>Solar Net Metering generation displaces power supply purchases that GMP would otherwise have to make.</t>
  </si>
  <si>
    <t>Savings because Solar Net Metering reduces capacity demand obligations and transmission costs.</t>
  </si>
  <si>
    <t>$/MWh</t>
  </si>
  <si>
    <t>RECs</t>
  </si>
  <si>
    <t>Total Cost</t>
  </si>
  <si>
    <t>Energy</t>
  </si>
  <si>
    <t>Capacity</t>
  </si>
  <si>
    <t>RNS</t>
  </si>
  <si>
    <t>$kW-month</t>
  </si>
  <si>
    <t>$/kW year</t>
  </si>
  <si>
    <t>GMP 2018 IRP</t>
  </si>
  <si>
    <t>FCA 13 Result</t>
  </si>
  <si>
    <t>Green Mountain Power</t>
  </si>
  <si>
    <t>Annual Avoided Cost Detail</t>
  </si>
  <si>
    <t>Source</t>
  </si>
  <si>
    <t>Nameplate</t>
  </si>
  <si>
    <t>MW</t>
  </si>
  <si>
    <t>Expected NCF</t>
  </si>
  <si>
    <t>Annual Panel Degradation</t>
  </si>
  <si>
    <t>Losses for RNS</t>
  </si>
  <si>
    <t>Losses for Capacity</t>
  </si>
  <si>
    <t>Reserve Margin</t>
  </si>
  <si>
    <t>Annual Output</t>
  </si>
  <si>
    <t>RNS Peak Scalar</t>
  </si>
  <si>
    <t>FCM Peak Scalar</t>
  </si>
  <si>
    <t>2018 Average RNS Peak coincidence</t>
  </si>
  <si>
    <t>2018 FCM Peak coincidence</t>
  </si>
  <si>
    <t>Output at</t>
  </si>
  <si>
    <t>FCM Peak</t>
  </si>
  <si>
    <t>% of</t>
  </si>
  <si>
    <t>Solar shape as percentage of ATC (e.g., 7 x 24) shape</t>
  </si>
  <si>
    <t>LMP Adjustment Factor</t>
  </si>
  <si>
    <t>Annual</t>
  </si>
  <si>
    <t>Adjusted</t>
  </si>
  <si>
    <t>Beginning year for scalar</t>
  </si>
  <si>
    <t>LMP Shape Scalar</t>
  </si>
  <si>
    <t>Peak/Margin</t>
  </si>
  <si>
    <t>Adj FCM</t>
  </si>
  <si>
    <t>Value</t>
  </si>
  <si>
    <t>$/kW-Month</t>
  </si>
  <si>
    <t>Delivered</t>
  </si>
  <si>
    <t>RNS Peaks</t>
  </si>
  <si>
    <t>Adj RNS</t>
  </si>
  <si>
    <t>Price $/MWh</t>
  </si>
  <si>
    <t>Cents/kWh</t>
  </si>
  <si>
    <t>Net Metering Multiyear Value Analysis</t>
  </si>
  <si>
    <t>Assumptions</t>
  </si>
  <si>
    <t>Assumes that peak coincidence slowly deteriorates</t>
  </si>
  <si>
    <t>Observed actual</t>
  </si>
  <si>
    <t>Based on recent history</t>
  </si>
  <si>
    <t>Avoided losses - energy</t>
  </si>
  <si>
    <t>Average line losses</t>
  </si>
  <si>
    <t>Average marginal line losses</t>
  </si>
  <si>
    <t xml:space="preserve">Marginal </t>
  </si>
  <si>
    <t>Year FCM Value Starts</t>
  </si>
  <si>
    <t>Use either 1 or 2 (e.g., start receiving capacity on day one or receive capacity starting June of year 2)</t>
  </si>
  <si>
    <t>Energy $/MWh</t>
  </si>
  <si>
    <t>=  Assumed Annual Base Rate increase (same as FY20 - FY22)</t>
  </si>
  <si>
    <t>Lost Revenue Due to Solar Net Metering</t>
  </si>
  <si>
    <t>Cost per MWh</t>
  </si>
  <si>
    <t xml:space="preserve">Total </t>
  </si>
  <si>
    <t>Excess MWh</t>
  </si>
  <si>
    <t>% Small</t>
  </si>
  <si>
    <t>% Medium</t>
  </si>
  <si>
    <t>% Large</t>
  </si>
  <si>
    <t>Site Adjustor</t>
  </si>
  <si>
    <t xml:space="preserve"> </t>
  </si>
  <si>
    <t>25-Year Total</t>
  </si>
  <si>
    <t>Assumes that solar shaped output slowly becomes less valuable</t>
  </si>
  <si>
    <t>Assumes all NM 2.1 "B"</t>
  </si>
  <si>
    <t>Revenue lost due to solar net metering production</t>
  </si>
  <si>
    <t>25-Year Impact, by Year, of Incremental 20 MW Solar Net Metering Being Added</t>
  </si>
  <si>
    <t>=  Blended rate per Excess MWh for NM2.0.  Assume cost increases by 2.72%.</t>
  </si>
  <si>
    <t>Assumed breakout of projects:  33% small, 25% medium, 42% large.</t>
  </si>
  <si>
    <t xml:space="preserve">Assume solar net metering percentages by "own use" and "excess", as well as by customer class, are same as Itron forecast.  </t>
  </si>
  <si>
    <t xml:space="preserve">  and 2023 capacity price is actual FCA 13 auction result</t>
  </si>
  <si>
    <t>Note: All prices are based on 2018 IRP - energy includes carbon adder</t>
  </si>
  <si>
    <t>REC Adjustor</t>
  </si>
  <si>
    <t>Adjustors</t>
  </si>
  <si>
    <t>Total Net Adjustor</t>
  </si>
  <si>
    <t>Average Incremental $/kWh</t>
  </si>
  <si>
    <t>Total Adj.</t>
  </si>
  <si>
    <t>Adjustors include cost of RECs transferred to RES, and Siting Adjustments</t>
  </si>
  <si>
    <t>2.)  Assume incremental 20 MW is NM 2.1, second year pricing.</t>
  </si>
  <si>
    <t>NPV</t>
  </si>
  <si>
    <t>$ 000s</t>
  </si>
  <si>
    <t>Levelized $/MWh</t>
  </si>
  <si>
    <t>NPV of Net Metering Output in MWh</t>
  </si>
  <si>
    <t>Own Use</t>
  </si>
  <si>
    <t>Excess Generation</t>
  </si>
  <si>
    <t>Total Output</t>
  </si>
  <si>
    <t>NPV of Costs $000s</t>
  </si>
  <si>
    <t>Avoided Power Cost</t>
  </si>
  <si>
    <t>Transferred RECs</t>
  </si>
  <si>
    <t>Avoided Capacity/RNS</t>
  </si>
  <si>
    <t>NPV of Net Cost/(Benefit) $000s</t>
  </si>
  <si>
    <t>Table 1.2 - Twenty-five Year Impact of Incremental 20 MW of Net Metering</t>
  </si>
  <si>
    <t>Sales Offset by Own Use</t>
  </si>
  <si>
    <t>NPV of Power Supply Benefits $000s</t>
  </si>
  <si>
    <t>Total Power Supply Benefits</t>
  </si>
  <si>
    <t>Adders/Adjustors (includes RECs)</t>
  </si>
  <si>
    <t>Total Solar Costs:</t>
  </si>
  <si>
    <t>Sales Offset</t>
  </si>
  <si>
    <t xml:space="preserve"> by Own Use</t>
  </si>
  <si>
    <t>Levelized cents/kWh</t>
  </si>
  <si>
    <t>NPV of Cost</t>
  </si>
  <si>
    <t>NPV of Generation in MWh</t>
  </si>
  <si>
    <t>Levelized Cost - cents/kWh</t>
  </si>
  <si>
    <t>Detail in cents/kWh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</si>
</sst>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000_);_(* \(#,##0.0000\);_(* &quot;-&quot;??_);_(@_)"/>
    <numFmt numFmtId="168" formatCode="&quot;$&quot;#,##0"/>
    <numFmt numFmtId="169" formatCode="&quot;$&quot;#,##0.00"/>
    <numFmt numFmtId="170" formatCode="#,##0.000_);\(#,##0.000\)"/>
    <numFmt numFmtId="171" formatCode="_(&quot;$&quot;* #,##0_);_(&quot;$&quot;* \(#,##0\);_(&quot;$&quot;* &quot;-&quot;??_);_(@_)"/>
    <numFmt numFmtId="172" formatCode="#,##0,_);\(#,##0,\)"/>
    <numFmt numFmtId="173" formatCode="#,##0.0_);\(#,##0.0\)"/>
  </numFmts>
  <fonts count="22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FF"/>
      <name val="Calibri"/>
      <family val="2"/>
    </font>
    <font>
      <sz val="14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4"/>
      <color theme="1"/>
      <name val="Calibri"/>
      <family val="2"/>
    </font>
    <font>
      <b/>
      <i/>
      <sz val="11"/>
      <color rgb="FF0070C0"/>
      <name val="Calibri"/>
      <family val="2"/>
    </font>
    <font>
      <b/>
      <sz val="20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3333FF"/>
      <name val="Calibri"/>
      <family val="2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176">
    <xf numFmtId="0" fontId="0" fillId="0" borderId="0" xfId="0"/>
    <xf numFmtId="0" fontId="3" fillId="0" borderId="0" xfId="0" applyFont="1"/>
    <xf numFmtId="164" fontId="0" fillId="0" borderId="0" xfId="1" applyNumberFormat="1" applyFont="1"/>
    <xf numFmtId="0" fontId="0" fillId="0" borderId="0" xfId="0" quotePrefix="1"/>
    <xf numFmtId="166" fontId="5" fillId="0" borderId="0" xfId="1" applyNumberFormat="1" applyFont="1" applyAlignment="1">
      <alignment horizontal="left"/>
    </xf>
    <xf numFmtId="166" fontId="4" fillId="0" borderId="0" xfId="1" applyNumberFormat="1" applyFont="1" applyAlignment="1">
      <alignment horizontal="left" wrapText="1"/>
    </xf>
    <xf numFmtId="166" fontId="5" fillId="0" borderId="0" xfId="1" applyNumberFormat="1" applyFont="1"/>
    <xf numFmtId="166" fontId="4" fillId="0" borderId="0" xfId="1" applyNumberFormat="1" applyFont="1" applyAlignment="1">
      <alignment wrapText="1"/>
    </xf>
    <xf numFmtId="0" fontId="0" fillId="0" borderId="0" xfId="0" applyBorder="1"/>
    <xf numFmtId="3" fontId="0" fillId="0" borderId="0" xfId="0" applyNumberFormat="1"/>
    <xf numFmtId="0" fontId="0" fillId="0" borderId="0" xfId="0" applyFill="1"/>
    <xf numFmtId="37" fontId="0" fillId="0" borderId="0" xfId="0" applyNumberFormat="1"/>
    <xf numFmtId="0" fontId="0" fillId="3" borderId="0" xfId="0" applyFill="1"/>
    <xf numFmtId="0" fontId="0" fillId="0" borderId="0" xfId="0" applyFill="1" applyBorder="1"/>
    <xf numFmtId="0" fontId="9" fillId="4" borderId="12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168" fontId="0" fillId="4" borderId="13" xfId="0" applyNumberFormat="1" applyFill="1" applyBorder="1"/>
    <xf numFmtId="168" fontId="0" fillId="0" borderId="0" xfId="0" applyNumberFormat="1" applyFill="1" applyBorder="1"/>
    <xf numFmtId="168" fontId="0" fillId="2" borderId="13" xfId="0" applyNumberFormat="1" applyFill="1" applyBorder="1"/>
    <xf numFmtId="0" fontId="12" fillId="0" borderId="0" xfId="0" applyFont="1"/>
    <xf numFmtId="0" fontId="3" fillId="2" borderId="0" xfId="0" applyFont="1" applyFill="1"/>
    <xf numFmtId="39" fontId="0" fillId="0" borderId="0" xfId="0" applyNumberFormat="1"/>
    <xf numFmtId="0" fontId="3" fillId="5" borderId="0" xfId="0" applyFont="1" applyFill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4" fillId="0" borderId="0" xfId="0" applyFont="1" applyAlignment="1">
      <alignment horizontal="centerContinuous"/>
    </xf>
    <xf numFmtId="0" fontId="3" fillId="0" borderId="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5" fontId="0" fillId="0" borderId="0" xfId="2" applyNumberFormat="1" applyFont="1"/>
    <xf numFmtId="0" fontId="3" fillId="0" borderId="0" xfId="0" applyFont="1" applyAlignment="1">
      <alignment horizontal="center"/>
    </xf>
    <xf numFmtId="170" fontId="0" fillId="0" borderId="0" xfId="0" applyNumberFormat="1"/>
    <xf numFmtId="0" fontId="3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37" fontId="0" fillId="2" borderId="0" xfId="0" applyNumberFormat="1" applyFill="1"/>
    <xf numFmtId="0" fontId="12" fillId="0" borderId="5" xfId="0" applyFont="1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165" fontId="15" fillId="0" borderId="10" xfId="0" applyNumberFormat="1" applyFont="1" applyBorder="1"/>
    <xf numFmtId="9" fontId="15" fillId="0" borderId="10" xfId="0" applyNumberFormat="1" applyFont="1" applyBorder="1"/>
    <xf numFmtId="1" fontId="15" fillId="2" borderId="10" xfId="0" applyNumberFormat="1" applyFont="1" applyFill="1" applyBorder="1"/>
    <xf numFmtId="1" fontId="15" fillId="0" borderId="8" xfId="0" applyNumberFormat="1" applyFont="1" applyBorder="1"/>
    <xf numFmtId="9" fontId="0" fillId="0" borderId="0" xfId="0" applyNumberFormat="1"/>
    <xf numFmtId="10" fontId="15" fillId="3" borderId="10" xfId="0" applyNumberFormat="1" applyFont="1" applyFill="1" applyBorder="1"/>
    <xf numFmtId="165" fontId="15" fillId="6" borderId="10" xfId="0" applyNumberFormat="1" applyFont="1" applyFill="1" applyBorder="1"/>
    <xf numFmtId="170" fontId="0" fillId="0" borderId="0" xfId="0" applyNumberFormat="1" applyFill="1"/>
    <xf numFmtId="39" fontId="6" fillId="2" borderId="0" xfId="0" applyNumberFormat="1" applyFont="1" applyFill="1"/>
    <xf numFmtId="39" fontId="6" fillId="5" borderId="0" xfId="0" applyNumberFormat="1" applyFont="1" applyFill="1"/>
    <xf numFmtId="0" fontId="15" fillId="7" borderId="10" xfId="0" applyFont="1" applyFill="1" applyBorder="1"/>
    <xf numFmtId="10" fontId="15" fillId="7" borderId="10" xfId="0" applyNumberFormat="1" applyFont="1" applyFill="1" applyBorder="1"/>
    <xf numFmtId="39" fontId="0" fillId="0" borderId="0" xfId="0" applyNumberFormat="1" applyFill="1"/>
    <xf numFmtId="170" fontId="3" fillId="0" borderId="0" xfId="0" applyNumberFormat="1" applyFont="1" applyFill="1" applyBorder="1"/>
    <xf numFmtId="37" fontId="0" fillId="0" borderId="0" xfId="0" applyNumberFormat="1" applyFill="1"/>
    <xf numFmtId="167" fontId="2" fillId="0" borderId="0" xfId="1" applyNumberFormat="1" applyFont="1"/>
    <xf numFmtId="168" fontId="0" fillId="0" borderId="0" xfId="0" applyNumberFormat="1" applyFill="1"/>
    <xf numFmtId="6" fontId="0" fillId="3" borderId="0" xfId="0" applyNumberFormat="1" applyFill="1"/>
    <xf numFmtId="9" fontId="0" fillId="0" borderId="0" xfId="0" applyNumberFormat="1" applyFill="1"/>
    <xf numFmtId="0" fontId="16" fillId="0" borderId="0" xfId="0" applyFont="1"/>
    <xf numFmtId="6" fontId="0" fillId="0" borderId="0" xfId="0" applyNumberFormat="1" applyFill="1"/>
    <xf numFmtId="0" fontId="3" fillId="0" borderId="1" xfId="0" applyFont="1" applyFill="1" applyBorder="1"/>
    <xf numFmtId="0" fontId="3" fillId="0" borderId="2" xfId="0" applyFont="1" applyFill="1" applyBorder="1"/>
    <xf numFmtId="3" fontId="0" fillId="0" borderId="0" xfId="0" applyNumberFormat="1" applyFill="1"/>
    <xf numFmtId="0" fontId="13" fillId="0" borderId="0" xfId="0" applyFont="1" applyFill="1"/>
    <xf numFmtId="38" fontId="0" fillId="0" borderId="0" xfId="0" applyNumberFormat="1" applyFill="1"/>
    <xf numFmtId="164" fontId="0" fillId="0" borderId="0" xfId="1" applyNumberFormat="1" applyFont="1" applyFill="1" applyBorder="1"/>
    <xf numFmtId="0" fontId="6" fillId="0" borderId="0" xfId="0" applyFont="1" applyFill="1"/>
    <xf numFmtId="0" fontId="3" fillId="0" borderId="0" xfId="0" applyFont="1" applyFill="1"/>
    <xf numFmtId="9" fontId="0" fillId="0" borderId="0" xfId="2" applyFont="1" applyFill="1"/>
    <xf numFmtId="164" fontId="0" fillId="0" borderId="0" xfId="1" applyNumberFormat="1" applyFont="1" applyFill="1"/>
    <xf numFmtId="0" fontId="0" fillId="0" borderId="0" xfId="0" applyAlignment="1">
      <alignment wrapText="1"/>
    </xf>
    <xf numFmtId="0" fontId="3" fillId="0" borderId="4" xfId="0" applyFont="1" applyBorder="1" applyAlignment="1">
      <alignment horizontal="center" wrapText="1"/>
    </xf>
    <xf numFmtId="164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0" xfId="0" applyFill="1" applyAlignment="1">
      <alignment horizontal="right"/>
    </xf>
    <xf numFmtId="6" fontId="0" fillId="0" borderId="0" xfId="0" applyNumberFormat="1" applyFill="1" applyAlignment="1">
      <alignment horizontal="right"/>
    </xf>
    <xf numFmtId="0" fontId="3" fillId="0" borderId="4" xfId="0" applyFont="1" applyFill="1" applyBorder="1" applyAlignment="1">
      <alignment horizontal="right" wrapText="1"/>
    </xf>
    <xf numFmtId="44" fontId="0" fillId="0" borderId="0" xfId="4" applyFont="1" applyFill="1"/>
    <xf numFmtId="44" fontId="6" fillId="0" borderId="0" xfId="4" applyFont="1" applyFill="1"/>
    <xf numFmtId="168" fontId="6" fillId="0" borderId="0" xfId="0" applyNumberFormat="1" applyFont="1" applyFill="1"/>
    <xf numFmtId="9" fontId="6" fillId="0" borderId="0" xfId="0" applyNumberFormat="1" applyFont="1" applyFill="1"/>
    <xf numFmtId="6" fontId="6" fillId="0" borderId="0" xfId="0" applyNumberFormat="1" applyFont="1" applyFill="1"/>
    <xf numFmtId="0" fontId="17" fillId="0" borderId="0" xfId="0" applyFont="1"/>
    <xf numFmtId="0" fontId="0" fillId="0" borderId="0" xfId="0" applyFont="1"/>
    <xf numFmtId="0" fontId="0" fillId="0" borderId="4" xfId="0" applyFont="1" applyBorder="1" applyAlignment="1">
      <alignment horizontal="center"/>
    </xf>
    <xf numFmtId="0" fontId="4" fillId="0" borderId="4" xfId="0" applyFont="1" applyBorder="1" applyAlignment="1">
      <alignment horizontal="right" wrapText="1"/>
    </xf>
    <xf numFmtId="0" fontId="0" fillId="0" borderId="4" xfId="0" applyFont="1" applyBorder="1" applyAlignment="1">
      <alignment horizontal="right" wrapText="1"/>
    </xf>
    <xf numFmtId="0" fontId="0" fillId="0" borderId="16" xfId="0" applyFill="1" applyBorder="1" applyAlignment="1">
      <alignment horizontal="right" wrapText="1"/>
    </xf>
    <xf numFmtId="0" fontId="0" fillId="0" borderId="4" xfId="0" applyFill="1" applyBorder="1" applyAlignment="1">
      <alignment horizontal="right" wrapText="1"/>
    </xf>
    <xf numFmtId="0" fontId="0" fillId="0" borderId="0" xfId="0" applyFill="1" applyBorder="1" applyAlignment="1">
      <alignment wrapText="1"/>
    </xf>
    <xf numFmtId="3" fontId="0" fillId="0" borderId="0" xfId="0" applyNumberFormat="1" applyFill="1" applyBorder="1"/>
    <xf numFmtId="169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/>
    <xf numFmtId="0" fontId="3" fillId="0" borderId="4" xfId="0" applyFont="1" applyBorder="1" applyAlignment="1">
      <alignment horizontal="right"/>
    </xf>
    <xf numFmtId="165" fontId="15" fillId="7" borderId="10" xfId="0" applyNumberFormat="1" applyFont="1" applyFill="1" applyBorder="1"/>
    <xf numFmtId="8" fontId="0" fillId="0" borderId="0" xfId="0" applyNumberFormat="1"/>
    <xf numFmtId="168" fontId="0" fillId="0" borderId="0" xfId="0" applyNumberFormat="1"/>
    <xf numFmtId="9" fontId="6" fillId="2" borderId="0" xfId="0" applyNumberFormat="1" applyFont="1" applyFill="1"/>
    <xf numFmtId="171" fontId="0" fillId="0" borderId="0" xfId="4" applyNumberFormat="1" applyFont="1" applyFill="1"/>
    <xf numFmtId="171" fontId="0" fillId="3" borderId="15" xfId="4" applyNumberFormat="1" applyFont="1" applyFill="1" applyBorder="1"/>
    <xf numFmtId="9" fontId="6" fillId="0" borderId="0" xfId="0" applyNumberFormat="1" applyFont="1"/>
    <xf numFmtId="9" fontId="6" fillId="0" borderId="0" xfId="2" applyNumberFormat="1" applyFont="1"/>
    <xf numFmtId="9" fontId="18" fillId="0" borderId="0" xfId="0" applyNumberFormat="1" applyFont="1" applyFill="1"/>
    <xf numFmtId="0" fontId="7" fillId="0" borderId="0" xfId="0" applyFont="1" applyFill="1"/>
    <xf numFmtId="0" fontId="0" fillId="0" borderId="0" xfId="0" applyFill="1" applyAlignment="1">
      <alignment wrapText="1"/>
    </xf>
    <xf numFmtId="0" fontId="0" fillId="0" borderId="0" xfId="0" applyFont="1" applyFill="1" applyBorder="1" applyAlignment="1">
      <alignment horizontal="left"/>
    </xf>
    <xf numFmtId="6" fontId="0" fillId="3" borderId="1" xfId="0" applyNumberFormat="1" applyFill="1" applyBorder="1"/>
    <xf numFmtId="43" fontId="0" fillId="0" borderId="0" xfId="1" applyFont="1" applyFill="1" applyBorder="1" applyAlignment="1">
      <alignment wrapText="1"/>
    </xf>
    <xf numFmtId="43" fontId="0" fillId="0" borderId="0" xfId="1" applyFont="1" applyFill="1" applyBorder="1"/>
    <xf numFmtId="10" fontId="19" fillId="0" borderId="0" xfId="0" applyNumberFormat="1" applyFont="1"/>
    <xf numFmtId="0" fontId="19" fillId="0" borderId="0" xfId="0" applyFont="1"/>
    <xf numFmtId="43" fontId="0" fillId="0" borderId="0" xfId="1" applyFont="1"/>
    <xf numFmtId="43" fontId="0" fillId="0" borderId="0" xfId="0" applyNumberFormat="1"/>
    <xf numFmtId="0" fontId="20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9" fillId="0" borderId="4" xfId="0" applyFont="1" applyBorder="1" applyAlignment="1">
      <alignment horizontal="center"/>
    </xf>
    <xf numFmtId="0" fontId="21" fillId="0" borderId="0" xfId="0" applyFont="1"/>
    <xf numFmtId="3" fontId="0" fillId="0" borderId="4" xfId="0" applyNumberFormat="1" applyBorder="1"/>
    <xf numFmtId="0" fontId="9" fillId="0" borderId="0" xfId="0" applyFont="1"/>
    <xf numFmtId="172" fontId="0" fillId="0" borderId="0" xfId="0" applyNumberFormat="1"/>
    <xf numFmtId="7" fontId="0" fillId="0" borderId="0" xfId="0" applyNumberFormat="1"/>
    <xf numFmtId="172" fontId="0" fillId="0" borderId="4" xfId="0" applyNumberFormat="1" applyBorder="1"/>
    <xf numFmtId="7" fontId="0" fillId="0" borderId="4" xfId="0" applyNumberFormat="1" applyBorder="1"/>
    <xf numFmtId="172" fontId="0" fillId="0" borderId="17" xfId="0" applyNumberFormat="1" applyBorder="1"/>
    <xf numFmtId="7" fontId="0" fillId="0" borderId="17" xfId="0" applyNumberFormat="1" applyBorder="1"/>
    <xf numFmtId="172" fontId="0" fillId="0" borderId="18" xfId="0" applyNumberFormat="1" applyBorder="1"/>
    <xf numFmtId="7" fontId="0" fillId="0" borderId="18" xfId="0" applyNumberFormat="1" applyBorder="1"/>
    <xf numFmtId="5" fontId="0" fillId="4" borderId="13" xfId="0" applyNumberFormat="1" applyFill="1" applyBorder="1"/>
    <xf numFmtId="5" fontId="0" fillId="0" borderId="0" xfId="1" applyNumberFormat="1" applyFont="1" applyFill="1" applyBorder="1"/>
    <xf numFmtId="5" fontId="0" fillId="2" borderId="13" xfId="0" applyNumberFormat="1" applyFill="1" applyBorder="1"/>
    <xf numFmtId="5" fontId="0" fillId="0" borderId="0" xfId="0" applyNumberFormat="1" applyFill="1" applyBorder="1"/>
    <xf numFmtId="5" fontId="0" fillId="0" borderId="0" xfId="0" applyNumberFormat="1" applyBorder="1"/>
    <xf numFmtId="5" fontId="0" fillId="0" borderId="0" xfId="0" applyNumberFormat="1" applyFill="1"/>
    <xf numFmtId="5" fontId="0" fillId="0" borderId="0" xfId="0" applyNumberFormat="1"/>
    <xf numFmtId="5" fontId="0" fillId="0" borderId="0" xfId="0" applyNumberFormat="1" applyBorder="1" applyAlignment="1">
      <alignment horizontal="left"/>
    </xf>
    <xf numFmtId="5" fontId="0" fillId="4" borderId="14" xfId="0" applyNumberFormat="1" applyFill="1" applyBorder="1"/>
    <xf numFmtId="5" fontId="0" fillId="2" borderId="14" xfId="0" applyNumberFormat="1" applyFill="1" applyBorder="1"/>
    <xf numFmtId="5" fontId="0" fillId="4" borderId="15" xfId="0" applyNumberFormat="1" applyFill="1" applyBorder="1"/>
    <xf numFmtId="5" fontId="0" fillId="2" borderId="15" xfId="0" applyNumberFormat="1" applyFill="1" applyBorder="1"/>
    <xf numFmtId="0" fontId="9" fillId="5" borderId="12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168" fontId="0" fillId="5" borderId="13" xfId="0" applyNumberFormat="1" applyFill="1" applyBorder="1"/>
    <xf numFmtId="5" fontId="0" fillId="5" borderId="13" xfId="0" applyNumberFormat="1" applyFill="1" applyBorder="1"/>
    <xf numFmtId="5" fontId="0" fillId="5" borderId="14" xfId="0" applyNumberFormat="1" applyFill="1" applyBorder="1"/>
    <xf numFmtId="5" fontId="0" fillId="5" borderId="15" xfId="0" applyNumberFormat="1" applyFill="1" applyBorder="1"/>
    <xf numFmtId="0" fontId="3" fillId="4" borderId="12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3" borderId="0" xfId="0" applyFont="1" applyFill="1"/>
    <xf numFmtId="38" fontId="0" fillId="0" borderId="0" xfId="0" applyNumberFormat="1"/>
    <xf numFmtId="40" fontId="3" fillId="3" borderId="15" xfId="1" applyNumberFormat="1" applyFont="1" applyFill="1" applyBorder="1"/>
    <xf numFmtId="39" fontId="0" fillId="0" borderId="4" xfId="0" applyNumberFormat="1" applyBorder="1"/>
    <xf numFmtId="39" fontId="0" fillId="0" borderId="17" xfId="0" applyNumberFormat="1" applyBorder="1"/>
    <xf numFmtId="39" fontId="0" fillId="0" borderId="18" xfId="0" applyNumberFormat="1" applyBorder="1"/>
    <xf numFmtId="0" fontId="0" fillId="0" borderId="0" xfId="0" applyAlignment="1"/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173" fontId="0" fillId="0" borderId="0" xfId="0" applyNumberFormat="1"/>
  </cellXfs>
  <cellStyles count="5">
    <cellStyle name="Comma" xfId="1" builtinId="3"/>
    <cellStyle name="Currency" xfId="4" builtinId="4"/>
    <cellStyle name="Normal" xfId="0" builtinId="0"/>
    <cellStyle name="Normal 3" xfId="3"/>
    <cellStyle name="Percent" xfId="2" builtinId="5"/>
  </cellStyles>
  <dxfs count="0"/>
  <tableStyles count="0" defaultTableStyle="TableStyleMedium2" defaultPivotStyle="PivotStyleLight16"/>
  <colors>
    <mruColors>
      <color rgb="FF0000FF"/>
      <color rgb="FF00FF00"/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DRIVES\aquint$\My%20Documents\20%20MW%20Net%20Meter%20for%20FY%2020%20Comparison_10_1_19%20ar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ultiyear Summary"/>
      <sheetName val="Multiyear Analysis Benefits"/>
      <sheetName val="Multiyear Analysis Cost"/>
      <sheetName val="Avoided Costs"/>
    </sheetNames>
    <sheetDataSet>
      <sheetData sheetId="0" refreshError="1"/>
      <sheetData sheetId="1"/>
      <sheetData sheetId="2">
        <row r="8">
          <cell r="B8">
            <v>4.4999999999999998E-2</v>
          </cell>
        </row>
        <row r="17">
          <cell r="B17">
            <v>0.95</v>
          </cell>
        </row>
        <row r="18">
          <cell r="B18">
            <v>3.0000000000000001E-3</v>
          </cell>
        </row>
        <row r="19">
          <cell r="B19">
            <v>2019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workbookViewId="0">
      <selection activeCell="C26" sqref="C26"/>
    </sheetView>
  </sheetViews>
  <sheetFormatPr defaultRowHeight="14.4" x14ac:dyDescent="0.3"/>
  <cols>
    <col min="1" max="1" width="44.33203125" customWidth="1"/>
    <col min="2" max="2" width="7.6640625" customWidth="1"/>
    <col min="3" max="3" width="14" customWidth="1"/>
    <col min="4" max="4" width="18.5546875" customWidth="1"/>
    <col min="5" max="5" width="18.5546875" bestFit="1" customWidth="1"/>
  </cols>
  <sheetData>
    <row r="1" spans="1:5" ht="18" x14ac:dyDescent="0.35">
      <c r="A1" s="117" t="s">
        <v>133</v>
      </c>
      <c r="B1" s="117"/>
      <c r="C1" s="117"/>
      <c r="D1" s="117"/>
      <c r="E1" s="161"/>
    </row>
    <row r="3" spans="1:5" x14ac:dyDescent="0.3">
      <c r="C3" s="118"/>
      <c r="D3" s="119"/>
    </row>
    <row r="5" spans="1:5" x14ac:dyDescent="0.3">
      <c r="A5" s="121" t="s">
        <v>124</v>
      </c>
      <c r="C5" s="120" t="s">
        <v>18</v>
      </c>
    </row>
    <row r="6" spans="1:5" x14ac:dyDescent="0.3">
      <c r="A6" t="s">
        <v>125</v>
      </c>
      <c r="C6" s="9">
        <f>'Multiyear Analysis Cost'!F36</f>
        <v>75987.783723959365</v>
      </c>
    </row>
    <row r="7" spans="1:5" x14ac:dyDescent="0.3">
      <c r="A7" t="s">
        <v>126</v>
      </c>
      <c r="C7" s="122">
        <f>'Multiyear Analysis Cost'!E36</f>
        <v>292227.39640694077</v>
      </c>
    </row>
    <row r="8" spans="1:5" x14ac:dyDescent="0.3">
      <c r="A8" s="123" t="s">
        <v>127</v>
      </c>
      <c r="C8" s="9">
        <f>'Multiyear Analysis Cost'!D36</f>
        <v>368215.18013090017</v>
      </c>
    </row>
    <row r="10" spans="1:5" x14ac:dyDescent="0.3">
      <c r="A10" s="121" t="s">
        <v>128</v>
      </c>
      <c r="C10" s="120" t="s">
        <v>122</v>
      </c>
      <c r="D10" s="120" t="s">
        <v>123</v>
      </c>
      <c r="E10" s="120" t="s">
        <v>141</v>
      </c>
    </row>
    <row r="11" spans="1:5" x14ac:dyDescent="0.3">
      <c r="A11" t="s">
        <v>134</v>
      </c>
      <c r="C11" s="124">
        <f>'Multiyear Summary'!C42</f>
        <v>16722693.162508555</v>
      </c>
      <c r="D11" s="125">
        <f>C11/C6</f>
        <v>220.07081063526002</v>
      </c>
      <c r="E11" s="23">
        <f>D11/10</f>
        <v>22.007081063526002</v>
      </c>
    </row>
    <row r="12" spans="1:5" x14ac:dyDescent="0.3">
      <c r="A12" t="s">
        <v>126</v>
      </c>
      <c r="C12" s="124">
        <f>'Multiyear Summary'!I42</f>
        <v>59541585.658352412</v>
      </c>
      <c r="D12" s="125">
        <f>C12/C7</f>
        <v>203.75086795571309</v>
      </c>
      <c r="E12" s="23">
        <f t="shared" ref="E12:E14" si="0">D12/10</f>
        <v>20.37508679557131</v>
      </c>
    </row>
    <row r="13" spans="1:5" x14ac:dyDescent="0.3">
      <c r="A13" t="s">
        <v>137</v>
      </c>
      <c r="C13" s="126">
        <f>'Multiyear Summary'!E42+'Multiyear Summary'!G42</f>
        <v>1825687.7139518186</v>
      </c>
      <c r="D13" s="127">
        <f>C13/C8</f>
        <v>4.9582087118265692</v>
      </c>
      <c r="E13" s="158">
        <f t="shared" si="0"/>
        <v>0.49582087118265694</v>
      </c>
    </row>
    <row r="14" spans="1:5" x14ac:dyDescent="0.3">
      <c r="A14" s="123" t="s">
        <v>41</v>
      </c>
      <c r="C14" s="124">
        <f>SUM(C11:C13)</f>
        <v>78089966.534812778</v>
      </c>
      <c r="D14" s="125">
        <f>C14/C8</f>
        <v>212.07698853439953</v>
      </c>
      <c r="E14" s="23">
        <f t="shared" si="0"/>
        <v>21.207698853439954</v>
      </c>
    </row>
    <row r="15" spans="1:5" x14ac:dyDescent="0.3">
      <c r="C15" s="124"/>
      <c r="D15" s="125"/>
      <c r="E15" s="23"/>
    </row>
    <row r="16" spans="1:5" x14ac:dyDescent="0.3">
      <c r="A16" s="121" t="s">
        <v>135</v>
      </c>
      <c r="C16" s="124"/>
      <c r="D16" s="125"/>
      <c r="E16" s="23"/>
    </row>
    <row r="17" spans="1:5" x14ac:dyDescent="0.3">
      <c r="A17" t="s">
        <v>129</v>
      </c>
      <c r="C17" s="124">
        <f>'Multiyear Summary'!O42</f>
        <v>-17375428.506456189</v>
      </c>
      <c r="D17" s="125">
        <f>C17/C8</f>
        <v>-47.188246014950387</v>
      </c>
      <c r="E17" s="23">
        <f t="shared" ref="E17:E20" si="1">D17/10</f>
        <v>-4.7188246014950384</v>
      </c>
    </row>
    <row r="18" spans="1:5" x14ac:dyDescent="0.3">
      <c r="A18" t="s">
        <v>130</v>
      </c>
      <c r="C18" s="124">
        <f>'Multiyear Summary'!M42</f>
        <v>-7131332.1608528551</v>
      </c>
      <c r="D18" s="125">
        <f>C18/C8</f>
        <v>-19.367295390477036</v>
      </c>
      <c r="E18" s="23">
        <f t="shared" si="1"/>
        <v>-1.9367295390477035</v>
      </c>
    </row>
    <row r="19" spans="1:5" x14ac:dyDescent="0.3">
      <c r="A19" t="s">
        <v>131</v>
      </c>
      <c r="C19" s="126">
        <f>'Multiyear Summary'!Q42</f>
        <v>-6180412.5809045443</v>
      </c>
      <c r="D19" s="127">
        <f>C19/C8</f>
        <v>-16.784784860600841</v>
      </c>
      <c r="E19" s="158">
        <f t="shared" si="1"/>
        <v>-1.6784784860600841</v>
      </c>
    </row>
    <row r="20" spans="1:5" x14ac:dyDescent="0.3">
      <c r="A20" s="123" t="s">
        <v>136</v>
      </c>
      <c r="C20" s="128">
        <f>SUM(C17:C19)</f>
        <v>-30687173.248213589</v>
      </c>
      <c r="D20" s="129">
        <f>C20/C8</f>
        <v>-83.340326266028271</v>
      </c>
      <c r="E20" s="159">
        <f t="shared" si="1"/>
        <v>-8.3340326266028271</v>
      </c>
    </row>
    <row r="21" spans="1:5" x14ac:dyDescent="0.3">
      <c r="C21" s="124"/>
      <c r="D21" s="125"/>
      <c r="E21" s="23"/>
    </row>
    <row r="22" spans="1:5" ht="15" thickBot="1" x14ac:dyDescent="0.35">
      <c r="A22" s="123" t="s">
        <v>132</v>
      </c>
      <c r="C22" s="130">
        <f>C14+C20</f>
        <v>47402793.286599189</v>
      </c>
      <c r="D22" s="131">
        <f>C22/C8</f>
        <v>128.73666226837128</v>
      </c>
      <c r="E22" s="160">
        <f>D22/10</f>
        <v>12.873666226837127</v>
      </c>
    </row>
    <row r="23" spans="1:5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tabSelected="1" workbookViewId="0">
      <pane xSplit="1" ySplit="22" topLeftCell="Q23" activePane="bottomRight" state="frozen"/>
      <selection pane="topRight" activeCell="B1" sqref="B1"/>
      <selection pane="bottomLeft" activeCell="A23" sqref="A23"/>
      <selection pane="bottomRight" activeCell="A23" sqref="A23:A27"/>
    </sheetView>
  </sheetViews>
  <sheetFormatPr defaultRowHeight="14.4" x14ac:dyDescent="0.3"/>
  <cols>
    <col min="1" max="1" width="31" customWidth="1"/>
    <col min="2" max="2" width="12.5546875" customWidth="1"/>
    <col min="3" max="3" width="13.109375" customWidth="1"/>
    <col min="4" max="4" width="11.21875" customWidth="1"/>
    <col min="5" max="5" width="13.21875" customWidth="1"/>
    <col min="6" max="6" width="12.109375" bestFit="1" customWidth="1"/>
    <col min="7" max="7" width="11.21875" customWidth="1"/>
    <col min="8" max="8" width="12.21875" customWidth="1"/>
    <col min="9" max="9" width="10.21875" customWidth="1"/>
    <col min="11" max="11" width="11.5546875" bestFit="1" customWidth="1"/>
    <col min="12" max="12" width="11" customWidth="1"/>
    <col min="13" max="13" width="11.5546875" bestFit="1" customWidth="1"/>
    <col min="14" max="14" width="14.6640625" bestFit="1" customWidth="1"/>
    <col min="16" max="16" width="11.33203125" customWidth="1"/>
    <col min="20" max="20" width="12" bestFit="1" customWidth="1"/>
  </cols>
  <sheetData>
    <row r="1" spans="1:16" ht="18" x14ac:dyDescent="0.35">
      <c r="A1" s="27" t="s">
        <v>49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8" x14ac:dyDescent="0.35">
      <c r="A2" s="27" t="s">
        <v>82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4" spans="1:16" x14ac:dyDescent="0.3">
      <c r="A4" s="36" t="s">
        <v>83</v>
      </c>
      <c r="B4" s="37"/>
    </row>
    <row r="5" spans="1:16" x14ac:dyDescent="0.3">
      <c r="A5" s="38" t="s">
        <v>52</v>
      </c>
      <c r="B5" s="50">
        <v>20</v>
      </c>
      <c r="C5" t="s">
        <v>53</v>
      </c>
    </row>
    <row r="6" spans="1:16" x14ac:dyDescent="0.3">
      <c r="A6" s="38" t="s">
        <v>54</v>
      </c>
      <c r="B6" s="40">
        <v>0.17499999999999999</v>
      </c>
    </row>
    <row r="7" spans="1:16" x14ac:dyDescent="0.3">
      <c r="A7" s="38" t="s">
        <v>55</v>
      </c>
      <c r="B7" s="40">
        <v>5.0000000000000001E-3</v>
      </c>
    </row>
    <row r="8" spans="1:16" x14ac:dyDescent="0.3">
      <c r="A8" s="38" t="s">
        <v>87</v>
      </c>
      <c r="B8" s="40">
        <v>4.4999999999999998E-2</v>
      </c>
      <c r="C8" t="s">
        <v>88</v>
      </c>
    </row>
    <row r="9" spans="1:16" x14ac:dyDescent="0.3">
      <c r="A9" s="38" t="s">
        <v>56</v>
      </c>
      <c r="B9" s="46">
        <v>8.8999999999999996E-2</v>
      </c>
      <c r="C9" t="s">
        <v>89</v>
      </c>
    </row>
    <row r="10" spans="1:16" x14ac:dyDescent="0.3">
      <c r="A10" s="38" t="s">
        <v>57</v>
      </c>
      <c r="B10" s="46">
        <v>0.15</v>
      </c>
      <c r="C10" t="s">
        <v>90</v>
      </c>
    </row>
    <row r="11" spans="1:16" x14ac:dyDescent="0.3">
      <c r="A11" s="38" t="s">
        <v>58</v>
      </c>
      <c r="B11" s="41">
        <v>0.3</v>
      </c>
      <c r="C11" t="s">
        <v>86</v>
      </c>
    </row>
    <row r="12" spans="1:16" x14ac:dyDescent="0.3">
      <c r="A12" s="38" t="s">
        <v>62</v>
      </c>
      <c r="B12" s="51">
        <v>1.0209867553232485E-2</v>
      </c>
      <c r="C12" t="s">
        <v>85</v>
      </c>
      <c r="D12" s="10"/>
      <c r="E12" s="67"/>
      <c r="F12" s="10"/>
      <c r="G12" s="10"/>
      <c r="H12" s="10"/>
      <c r="I12" s="10"/>
      <c r="J12" s="10"/>
      <c r="K12" s="10"/>
      <c r="L12" s="10"/>
      <c r="M12" s="10"/>
    </row>
    <row r="13" spans="1:16" x14ac:dyDescent="0.3">
      <c r="A13" s="38" t="s">
        <v>60</v>
      </c>
      <c r="B13" s="98">
        <v>3.5000000000000003E-2</v>
      </c>
      <c r="C13" s="8" t="s">
        <v>84</v>
      </c>
      <c r="D13" s="8"/>
      <c r="E13" s="8"/>
      <c r="F13" s="8"/>
    </row>
    <row r="14" spans="1:16" x14ac:dyDescent="0.3">
      <c r="A14" s="38" t="s">
        <v>63</v>
      </c>
      <c r="B14" s="45">
        <v>0.29555524369469027</v>
      </c>
      <c r="C14" t="s">
        <v>85</v>
      </c>
    </row>
    <row r="15" spans="1:16" x14ac:dyDescent="0.3">
      <c r="A15" s="38" t="s">
        <v>91</v>
      </c>
      <c r="B15" s="42">
        <v>1</v>
      </c>
      <c r="C15" t="s">
        <v>92</v>
      </c>
    </row>
    <row r="16" spans="1:16" x14ac:dyDescent="0.3">
      <c r="A16" s="38" t="s">
        <v>61</v>
      </c>
      <c r="B16" s="40">
        <v>3.5000000000000003E-2</v>
      </c>
      <c r="C16" s="8" t="s">
        <v>84</v>
      </c>
      <c r="D16" s="8"/>
      <c r="E16" s="8"/>
      <c r="F16" s="8"/>
    </row>
    <row r="17" spans="1:29" x14ac:dyDescent="0.3">
      <c r="A17" s="38" t="s">
        <v>68</v>
      </c>
      <c r="B17" s="40">
        <v>0.95</v>
      </c>
      <c r="C17" t="s">
        <v>67</v>
      </c>
    </row>
    <row r="18" spans="1:29" x14ac:dyDescent="0.3">
      <c r="A18" s="38" t="s">
        <v>72</v>
      </c>
      <c r="B18" s="40">
        <v>3.0000000000000001E-3</v>
      </c>
      <c r="C18" t="s">
        <v>105</v>
      </c>
    </row>
    <row r="19" spans="1:29" ht="15" thickBot="1" x14ac:dyDescent="0.35">
      <c r="A19" s="39" t="s">
        <v>71</v>
      </c>
      <c r="B19" s="43">
        <v>2019</v>
      </c>
      <c r="I19" s="10"/>
      <c r="J19" s="10"/>
    </row>
    <row r="20" spans="1:29" x14ac:dyDescent="0.3">
      <c r="B20" s="2"/>
      <c r="E20" s="2"/>
      <c r="I20" s="10"/>
      <c r="J20" s="47"/>
    </row>
    <row r="21" spans="1:29" x14ac:dyDescent="0.3">
      <c r="C21" s="25" t="s">
        <v>69</v>
      </c>
      <c r="D21" s="25" t="s">
        <v>70</v>
      </c>
      <c r="E21" s="33" t="s">
        <v>42</v>
      </c>
      <c r="F21" s="28" t="s">
        <v>43</v>
      </c>
      <c r="G21" s="28" t="s">
        <v>43</v>
      </c>
      <c r="H21" s="33" t="s">
        <v>43</v>
      </c>
      <c r="I21" s="28" t="s">
        <v>44</v>
      </c>
      <c r="J21" s="28" t="s">
        <v>44</v>
      </c>
      <c r="K21" s="33" t="s">
        <v>44</v>
      </c>
      <c r="L21" s="28" t="s">
        <v>12</v>
      </c>
      <c r="M21" s="33" t="s">
        <v>12</v>
      </c>
      <c r="N21" s="28" t="s">
        <v>0</v>
      </c>
      <c r="O21" s="28"/>
      <c r="P21" s="28"/>
      <c r="R21" s="31" t="s">
        <v>64</v>
      </c>
      <c r="S21" s="31" t="s">
        <v>66</v>
      </c>
      <c r="T21" s="31" t="s">
        <v>73</v>
      </c>
      <c r="V21" s="31" t="s">
        <v>64</v>
      </c>
      <c r="W21" s="31" t="s">
        <v>73</v>
      </c>
      <c r="Y21" s="173" t="s">
        <v>145</v>
      </c>
      <c r="Z21" s="174"/>
      <c r="AA21" s="174"/>
      <c r="AB21" s="174"/>
      <c r="AC21" s="174"/>
    </row>
    <row r="22" spans="1:29" x14ac:dyDescent="0.3">
      <c r="A22" s="26" t="s">
        <v>4</v>
      </c>
      <c r="B22" s="26" t="s">
        <v>59</v>
      </c>
      <c r="C22" s="26" t="s">
        <v>93</v>
      </c>
      <c r="D22" s="26" t="s">
        <v>42</v>
      </c>
      <c r="E22" s="34" t="s">
        <v>75</v>
      </c>
      <c r="F22" s="26" t="s">
        <v>76</v>
      </c>
      <c r="G22" s="26" t="s">
        <v>77</v>
      </c>
      <c r="H22" s="34" t="s">
        <v>75</v>
      </c>
      <c r="I22" s="26" t="s">
        <v>46</v>
      </c>
      <c r="J22" s="25" t="s">
        <v>77</v>
      </c>
      <c r="K22" s="34" t="s">
        <v>75</v>
      </c>
      <c r="L22" s="26" t="s">
        <v>80</v>
      </c>
      <c r="M22" s="34" t="s">
        <v>75</v>
      </c>
      <c r="N22" s="26" t="s">
        <v>75</v>
      </c>
      <c r="O22" s="26" t="s">
        <v>39</v>
      </c>
      <c r="P22" s="26" t="s">
        <v>81</v>
      </c>
      <c r="R22" s="26" t="s">
        <v>65</v>
      </c>
      <c r="S22" s="26" t="s">
        <v>52</v>
      </c>
      <c r="T22" s="26" t="s">
        <v>74</v>
      </c>
      <c r="V22" s="26" t="s">
        <v>78</v>
      </c>
      <c r="W22" s="26" t="s">
        <v>79</v>
      </c>
      <c r="Y22" s="28" t="s">
        <v>42</v>
      </c>
      <c r="Z22" s="28" t="s">
        <v>43</v>
      </c>
      <c r="AA22" s="28" t="s">
        <v>44</v>
      </c>
      <c r="AB22" s="28" t="s">
        <v>40</v>
      </c>
      <c r="AC22" s="28" t="s">
        <v>0</v>
      </c>
    </row>
    <row r="23" spans="1:29" x14ac:dyDescent="0.3">
      <c r="A23">
        <v>2020</v>
      </c>
      <c r="B23" s="11">
        <f>B$5*B$6*8760</f>
        <v>30660</v>
      </c>
      <c r="C23" s="23">
        <f>SUMIF('Avoided Costs'!A:A,'Multiyear Analysis Benefits'!A23,'Avoided Costs'!B:B)</f>
        <v>42.075351775956278</v>
      </c>
      <c r="D23" s="52">
        <f t="shared" ref="D23:D47" si="0">ROUND(LMPShapeAdj*(1-LMPScalar)^(A23-StartScalar)*C23,2)*(1+EnergyLosses)</f>
        <v>41.643250000000002</v>
      </c>
      <c r="E23" s="35">
        <f>D23*B23</f>
        <v>1276782.0450000002</v>
      </c>
      <c r="F23" s="23">
        <f>SUMIF('Avoided Costs'!A:A,'Multiyear Analysis Benefits'!A23,'Avoided Costs'!C:C)</f>
        <v>6.309166666666667</v>
      </c>
      <c r="G23" s="23">
        <f>T23</f>
        <v>8.4851642078250205</v>
      </c>
      <c r="H23" s="35">
        <f>F23*12*G23*1000*IF(B15=2,0,1)</f>
        <v>642411.7821744323</v>
      </c>
      <c r="I23" s="23">
        <f>SUMIF('Avoided Costs'!A:A,'Multiyear Analysis Benefits'!A23,'Avoided Costs'!D:D)</f>
        <v>118.37787500000002</v>
      </c>
      <c r="J23" s="53">
        <f>W23</f>
        <v>0.22547497029227501</v>
      </c>
      <c r="K23" s="35">
        <f>I23*J23*1000</f>
        <v>26691.247848887648</v>
      </c>
      <c r="L23" s="23">
        <f>SUMIF('Avoided Costs'!A:A,'Multiyear Analysis Benefits'!A23,'Avoided Costs'!E:E)</f>
        <v>30</v>
      </c>
      <c r="M23" s="35">
        <f t="shared" ref="M23:M47" si="1">L23*B23</f>
        <v>919800</v>
      </c>
      <c r="N23" s="54">
        <f t="shared" ref="N23:N47" si="2">E23+H23+K23+M23</f>
        <v>2865685.0750233205</v>
      </c>
      <c r="O23" s="23">
        <f t="shared" ref="O23:O47" si="3">N23/B23</f>
        <v>93.466571266253112</v>
      </c>
      <c r="P23" s="23">
        <f>O23/10</f>
        <v>9.3466571266253116</v>
      </c>
      <c r="R23" s="32">
        <f>$B$14*$B$5*(1-$B$16)^($A23-$B$19)*(1-$B$7)^($A23-$B$19)</f>
        <v>5.6756951222909837</v>
      </c>
      <c r="S23" s="30">
        <f t="shared" ref="S23:S47" si="4">R23/B$5</f>
        <v>0.28378475611454917</v>
      </c>
      <c r="T23" s="32">
        <f t="shared" ref="T23:T47" si="5">R23*(1+B$10)*(1+B$11)</f>
        <v>8.4851642078250205</v>
      </c>
      <c r="V23" s="23">
        <f t="shared" ref="V23:V47" si="6">$B$12*$B$5*(1-$B$13)^($A23-$B$19)*(1-$B$7)^($A23-$B$19)</f>
        <v>0.19606519155850002</v>
      </c>
      <c r="W23" s="47">
        <f t="shared" ref="W23:W47" si="7">V23*(1+$B$10)</f>
        <v>0.22547497029227501</v>
      </c>
      <c r="X23" s="10"/>
      <c r="Y23" s="175">
        <f>E23/B23/10</f>
        <v>4.1643249999999998</v>
      </c>
      <c r="Z23" s="175">
        <f>H23/B23/10</f>
        <v>2.0952765237261328</v>
      </c>
      <c r="AA23" s="175">
        <f>K23/B23/10</f>
        <v>8.7055602899176937E-2</v>
      </c>
      <c r="AB23" s="175">
        <f>M23/B23/10</f>
        <v>3</v>
      </c>
      <c r="AC23" s="175">
        <f>SUM(Y23:AB23)</f>
        <v>9.3466571266253098</v>
      </c>
    </row>
    <row r="24" spans="1:29" x14ac:dyDescent="0.3">
      <c r="A24">
        <f>A23+1</f>
        <v>2021</v>
      </c>
      <c r="B24" s="11">
        <f t="shared" ref="B24:B47" si="8">ROUND(B$5*B$6*8760*(1-B$7)^(A24-A$23),0)</f>
        <v>30507</v>
      </c>
      <c r="C24" s="23">
        <f>SUMIF('Avoided Costs'!A:A,'Multiyear Analysis Benefits'!A24,'Avoided Costs'!B:B)</f>
        <v>41.757447488584475</v>
      </c>
      <c r="D24" s="23">
        <f t="shared" si="0"/>
        <v>41.204349999999998</v>
      </c>
      <c r="E24" s="35">
        <f t="shared" ref="E24:E47" si="9">D24*B24</f>
        <v>1257021.1054499999</v>
      </c>
      <c r="F24" s="23">
        <f>SUMIF('Avoided Costs'!A:A,'Multiyear Analysis Benefits'!A24,'Avoided Costs'!C:C)</f>
        <v>5.020833333333333</v>
      </c>
      <c r="G24" s="23">
        <f t="shared" ref="G24:G47" si="10">T24</f>
        <v>8.1472425432483906</v>
      </c>
      <c r="H24" s="35">
        <f>F24*12*G24*1000*IF(B15=2,7/12,1)</f>
        <v>490871.36323071551</v>
      </c>
      <c r="I24" s="23">
        <f>SUMIF('Avoided Costs'!A:A,'Multiyear Analysis Benefits'!A24,'Avoided Costs'!D:D)</f>
        <v>123.789435</v>
      </c>
      <c r="J24" s="53">
        <f t="shared" ref="J24:J47" si="11">W24</f>
        <v>0.21649542960038518</v>
      </c>
      <c r="K24" s="35">
        <f t="shared" ref="K24:K47" si="12">I24*J24*1000</f>
        <v>26799.846910313958</v>
      </c>
      <c r="L24" s="23">
        <f>SUMIF('Avoided Costs'!A:A,'Multiyear Analysis Benefits'!A24,'Avoided Costs'!E:E)</f>
        <v>30</v>
      </c>
      <c r="M24" s="35">
        <f t="shared" si="1"/>
        <v>915210</v>
      </c>
      <c r="N24" s="11">
        <f t="shared" si="2"/>
        <v>2689902.3155910294</v>
      </c>
      <c r="O24" s="23">
        <f t="shared" si="3"/>
        <v>88.173282053005195</v>
      </c>
      <c r="P24" s="23">
        <f t="shared" ref="P24:P47" si="13">O24/10</f>
        <v>8.8173282053005195</v>
      </c>
      <c r="R24" s="32">
        <f t="shared" ref="R24:R47" si="14">B$14*B$5*(1-B$16)^(A24-B$19)*(1-B$7)^(A24-B$19)</f>
        <v>5.4496605640457458</v>
      </c>
      <c r="S24" s="30">
        <f t="shared" si="4"/>
        <v>0.27248302820228731</v>
      </c>
      <c r="T24" s="32">
        <f t="shared" si="5"/>
        <v>8.1472425432483906</v>
      </c>
      <c r="V24" s="23">
        <f t="shared" si="6"/>
        <v>0.18825689530468279</v>
      </c>
      <c r="W24" s="32">
        <f t="shared" si="7"/>
        <v>0.21649542960038518</v>
      </c>
      <c r="Y24" s="175">
        <f t="shared" ref="Y24:Y47" si="15">E24/B24/10</f>
        <v>4.1204349999999996</v>
      </c>
      <c r="Z24" s="175">
        <f t="shared" ref="Z24:Z47" si="16">H24/B24/10</f>
        <v>1.6090450166542614</v>
      </c>
      <c r="AA24" s="175">
        <f t="shared" ref="AA24:AA47" si="17">K24/B24/10</f>
        <v>8.7848188646258096E-2</v>
      </c>
      <c r="AB24" s="175">
        <f t="shared" ref="AB24:AB47" si="18">M24/B24/10</f>
        <v>3</v>
      </c>
      <c r="AC24" s="175">
        <f t="shared" ref="AC24:AC47" si="19">SUM(Y24:AB24)</f>
        <v>8.8173282053005195</v>
      </c>
    </row>
    <row r="25" spans="1:29" x14ac:dyDescent="0.3">
      <c r="A25">
        <f t="shared" ref="A25:A47" si="20">A24+1</f>
        <v>2022</v>
      </c>
      <c r="B25" s="11">
        <f t="shared" si="8"/>
        <v>30354</v>
      </c>
      <c r="C25" s="23">
        <f>SUMIF('Avoided Costs'!A:A,'Multiyear Analysis Benefits'!A25,'Avoided Costs'!B:B)</f>
        <v>39.962146118721456</v>
      </c>
      <c r="D25" s="23">
        <f t="shared" si="0"/>
        <v>39.312899999999992</v>
      </c>
      <c r="E25" s="35">
        <f t="shared" si="9"/>
        <v>1193303.7665999997</v>
      </c>
      <c r="F25" s="23">
        <f>SUMIF('Avoided Costs'!A:A,'Multiyear Analysis Benefits'!A25,'Avoided Costs'!C:C)</f>
        <v>4.2841666666666667</v>
      </c>
      <c r="G25" s="23">
        <f t="shared" si="10"/>
        <v>7.8227786089635227</v>
      </c>
      <c r="H25" s="35">
        <f t="shared" ref="H25:H47" si="21">F25*12*G25*1000</f>
        <v>402169.04828681471</v>
      </c>
      <c r="I25" s="23">
        <f>SUMIF('Avoided Costs'!A:A,'Multiyear Analysis Benefits'!A25,'Avoided Costs'!D:D)</f>
        <v>128.60910562500001</v>
      </c>
      <c r="J25" s="53">
        <f t="shared" si="11"/>
        <v>0.20787349911654981</v>
      </c>
      <c r="K25" s="35">
        <f t="shared" si="12"/>
        <v>26734.424804518701</v>
      </c>
      <c r="L25" s="23">
        <f>SUMIF('Avoided Costs'!A:A,'Multiyear Analysis Benefits'!A25,'Avoided Costs'!E:E)</f>
        <v>30</v>
      </c>
      <c r="M25" s="35">
        <f t="shared" si="1"/>
        <v>910620</v>
      </c>
      <c r="N25" s="11">
        <f t="shared" si="2"/>
        <v>2532827.2396913329</v>
      </c>
      <c r="O25" s="23">
        <f t="shared" si="3"/>
        <v>83.442947871494127</v>
      </c>
      <c r="P25" s="23">
        <f t="shared" si="13"/>
        <v>8.344294787149412</v>
      </c>
      <c r="R25" s="32">
        <f t="shared" si="14"/>
        <v>5.2326278320826241</v>
      </c>
      <c r="S25" s="30">
        <f t="shared" si="4"/>
        <v>0.26163139160413118</v>
      </c>
      <c r="T25" s="32">
        <f t="shared" si="5"/>
        <v>7.8227786089635227</v>
      </c>
      <c r="V25" s="23">
        <f t="shared" si="6"/>
        <v>0.18075956444917377</v>
      </c>
      <c r="W25" s="32">
        <f t="shared" si="7"/>
        <v>0.20787349911654981</v>
      </c>
      <c r="Y25" s="175">
        <f t="shared" si="15"/>
        <v>3.9312899999999993</v>
      </c>
      <c r="Z25" s="175">
        <f t="shared" si="16"/>
        <v>1.3249293282164285</v>
      </c>
      <c r="AA25" s="175">
        <f t="shared" si="17"/>
        <v>8.8075458932986433E-2</v>
      </c>
      <c r="AB25" s="175">
        <f t="shared" si="18"/>
        <v>3</v>
      </c>
      <c r="AC25" s="175">
        <f t="shared" si="19"/>
        <v>8.3442947871494155</v>
      </c>
    </row>
    <row r="26" spans="1:29" x14ac:dyDescent="0.3">
      <c r="A26">
        <f t="shared" si="20"/>
        <v>2023</v>
      </c>
      <c r="B26" s="11">
        <f t="shared" si="8"/>
        <v>30202</v>
      </c>
      <c r="C26" s="23">
        <f>SUMIF('Avoided Costs'!A:A,'Multiyear Analysis Benefits'!A26,'Avoided Costs'!B:B)</f>
        <v>38.567272149683888</v>
      </c>
      <c r="D26" s="23">
        <f t="shared" si="0"/>
        <v>37.829000000000001</v>
      </c>
      <c r="E26" s="35">
        <f t="shared" si="9"/>
        <v>1142511.4580000001</v>
      </c>
      <c r="F26" s="23">
        <f>SUMIF('Avoided Costs'!A:A,'Multiyear Analysis Benefits'!A26,'Avoided Costs'!C:C)</f>
        <v>4.1551897916666656</v>
      </c>
      <c r="G26" s="23">
        <f t="shared" si="10"/>
        <v>7.5112364508615492</v>
      </c>
      <c r="H26" s="35">
        <f t="shared" si="21"/>
        <v>374527.35628097359</v>
      </c>
      <c r="I26" s="23">
        <f>SUMIF('Avoided Costs'!A:A,'Multiyear Analysis Benefits'!A26,'Avoided Costs'!D:D)</f>
        <v>133.29509380687503</v>
      </c>
      <c r="J26" s="53">
        <f t="shared" si="11"/>
        <v>0.19959493701423323</v>
      </c>
      <c r="K26" s="35">
        <f t="shared" si="12"/>
        <v>26605.025852689534</v>
      </c>
      <c r="L26" s="23">
        <f>SUMIF('Avoided Costs'!A:A,'Multiyear Analysis Benefits'!A26,'Avoided Costs'!E:E)</f>
        <v>30</v>
      </c>
      <c r="M26" s="35">
        <f t="shared" si="1"/>
        <v>906060</v>
      </c>
      <c r="N26" s="11">
        <f t="shared" si="2"/>
        <v>2449703.8401336633</v>
      </c>
      <c r="O26" s="23">
        <f t="shared" si="3"/>
        <v>81.110649630278232</v>
      </c>
      <c r="P26" s="23">
        <f t="shared" si="13"/>
        <v>8.1110649630278235</v>
      </c>
      <c r="R26" s="32">
        <f t="shared" si="14"/>
        <v>5.0242384286699329</v>
      </c>
      <c r="S26" s="30">
        <f t="shared" si="4"/>
        <v>0.25121192143349663</v>
      </c>
      <c r="T26" s="32">
        <f t="shared" si="5"/>
        <v>7.5112364508615492</v>
      </c>
      <c r="V26" s="23">
        <f t="shared" si="6"/>
        <v>0.17356081479498542</v>
      </c>
      <c r="W26" s="32">
        <f t="shared" si="7"/>
        <v>0.19959493701423323</v>
      </c>
      <c r="Y26" s="175">
        <f t="shared" si="15"/>
        <v>3.7829000000000002</v>
      </c>
      <c r="Z26" s="175">
        <f t="shared" si="16"/>
        <v>1.2400746847260895</v>
      </c>
      <c r="AA26" s="175">
        <f t="shared" si="17"/>
        <v>8.8090278301733438E-2</v>
      </c>
      <c r="AB26" s="175">
        <f t="shared" si="18"/>
        <v>3</v>
      </c>
      <c r="AC26" s="175">
        <f t="shared" si="19"/>
        <v>8.1110649630278235</v>
      </c>
    </row>
    <row r="27" spans="1:29" x14ac:dyDescent="0.3">
      <c r="A27">
        <f t="shared" si="20"/>
        <v>2024</v>
      </c>
      <c r="B27" s="11">
        <f t="shared" si="8"/>
        <v>30051</v>
      </c>
      <c r="C27" s="23">
        <f>SUMIF('Avoided Costs'!A:A,'Multiyear Analysis Benefits'!A27,'Avoided Costs'!B:B)</f>
        <v>38.87892521046696</v>
      </c>
      <c r="D27" s="23">
        <f t="shared" si="0"/>
        <v>38.017099999999999</v>
      </c>
      <c r="E27" s="35">
        <f t="shared" si="9"/>
        <v>1142451.8721</v>
      </c>
      <c r="F27" s="23">
        <f>SUMIF('Avoided Costs'!A:A,'Multiyear Analysis Benefits'!A27,'Avoided Costs'!C:C)</f>
        <v>4.7299964249999995</v>
      </c>
      <c r="G27" s="23">
        <f t="shared" si="10"/>
        <v>7.2121014592059893</v>
      </c>
      <c r="H27" s="35">
        <f t="shared" si="21"/>
        <v>409358.56942537928</v>
      </c>
      <c r="I27" s="23">
        <f>SUMIF('Avoided Costs'!A:A,'Multiyear Analysis Benefits'!A27,'Avoided Costs'!D:D)</f>
        <v>137.81877894628596</v>
      </c>
      <c r="J27" s="53">
        <f t="shared" si="11"/>
        <v>0.19164606864764139</v>
      </c>
      <c r="K27" s="35">
        <f t="shared" si="12"/>
        <v>26412.427170874031</v>
      </c>
      <c r="L27" s="23">
        <f>SUMIF('Avoided Costs'!A:A,'Multiyear Analysis Benefits'!A27,'Avoided Costs'!E:E)</f>
        <v>16</v>
      </c>
      <c r="M27" s="35">
        <f t="shared" si="1"/>
        <v>480816</v>
      </c>
      <c r="N27" s="11">
        <f t="shared" si="2"/>
        <v>2059038.8686962533</v>
      </c>
      <c r="O27" s="23">
        <f t="shared" si="3"/>
        <v>68.518148104763682</v>
      </c>
      <c r="P27" s="23">
        <f t="shared" si="13"/>
        <v>6.8518148104763679</v>
      </c>
      <c r="R27" s="32">
        <f t="shared" si="14"/>
        <v>4.8241481332481531</v>
      </c>
      <c r="S27" s="30">
        <f t="shared" si="4"/>
        <v>0.24120740666240764</v>
      </c>
      <c r="T27" s="32">
        <f t="shared" si="5"/>
        <v>7.2121014592059893</v>
      </c>
      <c r="V27" s="23">
        <f t="shared" si="6"/>
        <v>0.16664875534577514</v>
      </c>
      <c r="W27" s="32">
        <f t="shared" si="7"/>
        <v>0.19164606864764139</v>
      </c>
      <c r="Y27" s="175">
        <f t="shared" si="15"/>
        <v>3.8017099999999999</v>
      </c>
      <c r="Z27" s="175">
        <f t="shared" si="16"/>
        <v>1.3622128029861877</v>
      </c>
      <c r="AA27" s="175">
        <f t="shared" si="17"/>
        <v>8.7892007490180127E-2</v>
      </c>
      <c r="AB27" s="175">
        <f t="shared" si="18"/>
        <v>1.6</v>
      </c>
      <c r="AC27" s="175">
        <f t="shared" si="19"/>
        <v>6.8518148104763679</v>
      </c>
    </row>
    <row r="28" spans="1:29" x14ac:dyDescent="0.3">
      <c r="A28">
        <f t="shared" si="20"/>
        <v>2025</v>
      </c>
      <c r="B28" s="11">
        <f t="shared" si="8"/>
        <v>29901</v>
      </c>
      <c r="C28" s="23">
        <f>SUMIF('Avoided Costs'!A:A,'Multiyear Analysis Benefits'!A28,'Avoided Costs'!B:B)</f>
        <v>40.172678174006599</v>
      </c>
      <c r="D28" s="23">
        <f t="shared" si="0"/>
        <v>39.166599999999995</v>
      </c>
      <c r="E28" s="35">
        <f t="shared" si="9"/>
        <v>1171120.5066</v>
      </c>
      <c r="F28" s="23">
        <f>SUMIF('Avoided Costs'!A:A,'Multiyear Analysis Benefits'!A28,'Avoided Costs'!C:C)</f>
        <v>4.8889553212499992</v>
      </c>
      <c r="G28" s="23">
        <f t="shared" si="10"/>
        <v>6.9248795185931105</v>
      </c>
      <c r="H28" s="35">
        <f t="shared" si="21"/>
        <v>406265.11885729106</v>
      </c>
      <c r="I28" s="23">
        <f>SUMIF('Avoided Costs'!A:A,'Multiyear Analysis Benefits'!A28,'Avoided Costs'!D:D)</f>
        <v>142.29788926204026</v>
      </c>
      <c r="J28" s="53">
        <f t="shared" si="11"/>
        <v>0.18401376396374908</v>
      </c>
      <c r="K28" s="35">
        <f t="shared" si="12"/>
        <v>26184.770207204783</v>
      </c>
      <c r="L28" s="23">
        <f>SUMIF('Avoided Costs'!A:A,'Multiyear Analysis Benefits'!A28,'Avoided Costs'!E:E)</f>
        <v>15.5</v>
      </c>
      <c r="M28" s="35">
        <f t="shared" si="1"/>
        <v>463465.5</v>
      </c>
      <c r="N28" s="11">
        <f t="shared" si="2"/>
        <v>2067035.8956644959</v>
      </c>
      <c r="O28" s="23">
        <f t="shared" si="3"/>
        <v>69.12932328900358</v>
      </c>
      <c r="P28" s="23">
        <f t="shared" si="13"/>
        <v>6.9129323289003581</v>
      </c>
      <c r="R28" s="32">
        <f t="shared" si="14"/>
        <v>4.6320264338415456</v>
      </c>
      <c r="S28" s="30">
        <f t="shared" si="4"/>
        <v>0.23160132169207728</v>
      </c>
      <c r="T28" s="32">
        <f t="shared" si="5"/>
        <v>6.9248795185931105</v>
      </c>
      <c r="V28" s="23">
        <f t="shared" si="6"/>
        <v>0.16001196866412964</v>
      </c>
      <c r="W28" s="32">
        <f t="shared" si="7"/>
        <v>0.18401376396374908</v>
      </c>
      <c r="Y28" s="175">
        <f t="shared" si="15"/>
        <v>3.9166599999999994</v>
      </c>
      <c r="Z28" s="175">
        <f t="shared" si="16"/>
        <v>1.3587007754165115</v>
      </c>
      <c r="AA28" s="175">
        <f t="shared" si="17"/>
        <v>8.757155348384596E-2</v>
      </c>
      <c r="AB28" s="175">
        <f t="shared" si="18"/>
        <v>1.55</v>
      </c>
      <c r="AC28" s="175">
        <f t="shared" si="19"/>
        <v>6.9129323289003564</v>
      </c>
    </row>
    <row r="29" spans="1:29" x14ac:dyDescent="0.3">
      <c r="A29">
        <f t="shared" si="20"/>
        <v>2026</v>
      </c>
      <c r="B29" s="11">
        <f t="shared" si="8"/>
        <v>29752</v>
      </c>
      <c r="C29" s="23">
        <f>SUMIF('Avoided Costs'!A:A,'Multiyear Analysis Benefits'!A29,'Avoided Costs'!B:B)</f>
        <v>41.615462246460339</v>
      </c>
      <c r="D29" s="23">
        <f t="shared" si="0"/>
        <v>40.451949999999997</v>
      </c>
      <c r="E29" s="35">
        <f t="shared" si="9"/>
        <v>1203526.4164</v>
      </c>
      <c r="F29" s="23">
        <f>SUMIF('Avoided Costs'!A:A,'Multiyear Analysis Benefits'!A29,'Avoided Costs'!C:C)</f>
        <v>5.1661641281249988</v>
      </c>
      <c r="G29" s="23">
        <f t="shared" si="10"/>
        <v>6.6490961917651381</v>
      </c>
      <c r="H29" s="35">
        <f t="shared" si="21"/>
        <v>412203.86676419515</v>
      </c>
      <c r="I29" s="23">
        <f>SUMIF('Avoided Costs'!A:A,'Multiyear Analysis Benefits'!A29,'Avoided Costs'!D:D)</f>
        <v>146.92257066305658</v>
      </c>
      <c r="J29" s="53">
        <f t="shared" si="11"/>
        <v>0.17668541581389272</v>
      </c>
      <c r="K29" s="35">
        <f t="shared" si="12"/>
        <v>25959.075490048184</v>
      </c>
      <c r="L29" s="23">
        <f>SUMIF('Avoided Costs'!A:A,'Multiyear Analysis Benefits'!A29,'Avoided Costs'!E:E)</f>
        <v>15</v>
      </c>
      <c r="M29" s="35">
        <f t="shared" si="1"/>
        <v>446280</v>
      </c>
      <c r="N29" s="11">
        <f t="shared" si="2"/>
        <v>2087969.3586542434</v>
      </c>
      <c r="O29" s="23">
        <f t="shared" si="3"/>
        <v>70.17912606393665</v>
      </c>
      <c r="P29" s="23">
        <f t="shared" si="13"/>
        <v>7.017912606393665</v>
      </c>
      <c r="R29" s="32">
        <f t="shared" si="14"/>
        <v>4.4475559811138048</v>
      </c>
      <c r="S29" s="30">
        <f t="shared" si="4"/>
        <v>0.22237779905569025</v>
      </c>
      <c r="T29" s="32">
        <f t="shared" si="5"/>
        <v>6.6490961917651381</v>
      </c>
      <c r="V29" s="23">
        <f t="shared" si="6"/>
        <v>0.15363949201208063</v>
      </c>
      <c r="W29" s="32">
        <f t="shared" si="7"/>
        <v>0.17668541581389272</v>
      </c>
      <c r="Y29" s="175">
        <f t="shared" si="15"/>
        <v>4.0451949999999997</v>
      </c>
      <c r="Z29" s="175">
        <f t="shared" si="16"/>
        <v>1.3854660754376014</v>
      </c>
      <c r="AA29" s="175">
        <f t="shared" si="17"/>
        <v>8.7251530956064083E-2</v>
      </c>
      <c r="AB29" s="175">
        <f t="shared" si="18"/>
        <v>1.5</v>
      </c>
      <c r="AC29" s="175">
        <f t="shared" si="19"/>
        <v>7.017912606393665</v>
      </c>
    </row>
    <row r="30" spans="1:29" x14ac:dyDescent="0.3">
      <c r="A30">
        <f t="shared" si="20"/>
        <v>2027</v>
      </c>
      <c r="B30" s="11">
        <f t="shared" si="8"/>
        <v>29603</v>
      </c>
      <c r="C30" s="23">
        <f>SUMIF('Avoided Costs'!A:A,'Multiyear Analysis Benefits'!A30,'Avoided Costs'!B:B)</f>
        <v>42.976139917657903</v>
      </c>
      <c r="D30" s="23">
        <f t="shared" si="0"/>
        <v>41.653699999999994</v>
      </c>
      <c r="E30" s="35">
        <f t="shared" si="9"/>
        <v>1233074.4810999997</v>
      </c>
      <c r="F30" s="23">
        <f>SUMIF('Avoided Costs'!A:A,'Multiyear Analysis Benefits'!A30,'Avoided Costs'!C:C)</f>
        <v>5.7282427852649986</v>
      </c>
      <c r="G30" s="23">
        <f t="shared" si="10"/>
        <v>6.3842959359280931</v>
      </c>
      <c r="H30" s="35">
        <f t="shared" si="21"/>
        <v>438849.56560772099</v>
      </c>
      <c r="I30" s="23">
        <f>SUMIF('Avoided Costs'!A:A,'Multiyear Analysis Benefits'!A30,'Avoided Costs'!D:D)</f>
        <v>151.6975542096059</v>
      </c>
      <c r="J30" s="53">
        <f t="shared" si="11"/>
        <v>0.16964891912910446</v>
      </c>
      <c r="K30" s="35">
        <f t="shared" si="12"/>
        <v>25735.326106188371</v>
      </c>
      <c r="L30" s="23">
        <f>SUMIF('Avoided Costs'!A:A,'Multiyear Analysis Benefits'!A30,'Avoided Costs'!E:E)</f>
        <v>15</v>
      </c>
      <c r="M30" s="35">
        <f t="shared" si="1"/>
        <v>444045</v>
      </c>
      <c r="N30" s="11">
        <f t="shared" si="2"/>
        <v>2141704.3728139093</v>
      </c>
      <c r="O30" s="23">
        <f t="shared" si="3"/>
        <v>72.347544938482898</v>
      </c>
      <c r="P30" s="23">
        <f t="shared" si="13"/>
        <v>7.2347544938482899</v>
      </c>
      <c r="R30" s="32">
        <f t="shared" si="14"/>
        <v>4.2704320641659486</v>
      </c>
      <c r="S30" s="30">
        <f t="shared" si="4"/>
        <v>0.21352160320829744</v>
      </c>
      <c r="T30" s="32">
        <f t="shared" si="5"/>
        <v>6.3842959359280931</v>
      </c>
      <c r="V30" s="23">
        <f t="shared" si="6"/>
        <v>0.14752079924269954</v>
      </c>
      <c r="W30" s="32">
        <f t="shared" si="7"/>
        <v>0.16964891912910446</v>
      </c>
      <c r="Y30" s="175">
        <f t="shared" si="15"/>
        <v>4.1653699999999994</v>
      </c>
      <c r="Z30" s="175">
        <f t="shared" si="16"/>
        <v>1.4824496355359964</v>
      </c>
      <c r="AA30" s="175">
        <f t="shared" si="17"/>
        <v>8.6934858312293931E-2</v>
      </c>
      <c r="AB30" s="175">
        <f t="shared" si="18"/>
        <v>1.5</v>
      </c>
      <c r="AC30" s="175">
        <f t="shared" si="19"/>
        <v>7.2347544938482891</v>
      </c>
    </row>
    <row r="31" spans="1:29" x14ac:dyDescent="0.3">
      <c r="A31">
        <f t="shared" si="20"/>
        <v>2028</v>
      </c>
      <c r="B31" s="11">
        <f t="shared" si="8"/>
        <v>29455</v>
      </c>
      <c r="C31" s="23">
        <f>SUMIF('Avoided Costs'!A:A,'Multiyear Analysis Benefits'!A31,'Avoided Costs'!B:B)</f>
        <v>44.404332112103852</v>
      </c>
      <c r="D31" s="23">
        <f t="shared" si="0"/>
        <v>42.907699999999998</v>
      </c>
      <c r="E31" s="35">
        <f t="shared" si="9"/>
        <v>1263846.3034999999</v>
      </c>
      <c r="F31" s="23">
        <f>SUMIF('Avoided Costs'!A:A,'Multiyear Analysis Benefits'!A31,'Avoided Costs'!C:C)</f>
        <v>6.415631919496799</v>
      </c>
      <c r="G31" s="23">
        <f t="shared" si="10"/>
        <v>6.1300413502797548</v>
      </c>
      <c r="H31" s="35">
        <f t="shared" si="21"/>
        <v>471937.06745628058</v>
      </c>
      <c r="I31" s="23">
        <f>SUMIF('Avoided Costs'!A:A,'Multiyear Analysis Benefits'!A31,'Avoided Costs'!D:D)</f>
        <v>156.62772472141808</v>
      </c>
      <c r="J31" s="53">
        <f t="shared" si="11"/>
        <v>0.16289265092478783</v>
      </c>
      <c r="K31" s="35">
        <f t="shared" si="12"/>
        <v>25513.505288189717</v>
      </c>
      <c r="L31" s="23">
        <f>SUMIF('Avoided Costs'!A:A,'Multiyear Analysis Benefits'!A31,'Avoided Costs'!E:E)</f>
        <v>15</v>
      </c>
      <c r="M31" s="35">
        <f t="shared" si="1"/>
        <v>441825</v>
      </c>
      <c r="N31" s="11">
        <f t="shared" si="2"/>
        <v>2203121.8762444705</v>
      </c>
      <c r="O31" s="23">
        <f t="shared" si="3"/>
        <v>74.796193388031597</v>
      </c>
      <c r="P31" s="23">
        <f t="shared" si="13"/>
        <v>7.4796193388031593</v>
      </c>
      <c r="R31" s="32">
        <f t="shared" si="14"/>
        <v>4.1003621072105387</v>
      </c>
      <c r="S31" s="30">
        <f t="shared" si="4"/>
        <v>0.20501810536052695</v>
      </c>
      <c r="T31" s="32">
        <f t="shared" si="5"/>
        <v>6.1300413502797548</v>
      </c>
      <c r="V31" s="23">
        <f t="shared" si="6"/>
        <v>0.14164578341285899</v>
      </c>
      <c r="W31" s="32">
        <f t="shared" si="7"/>
        <v>0.16289265092478783</v>
      </c>
      <c r="Y31" s="175">
        <f t="shared" si="15"/>
        <v>4.2907700000000002</v>
      </c>
      <c r="Z31" s="175">
        <f t="shared" si="16"/>
        <v>1.6022307501486357</v>
      </c>
      <c r="AA31" s="175">
        <f t="shared" si="17"/>
        <v>8.6618588654522891E-2</v>
      </c>
      <c r="AB31" s="175">
        <f t="shared" si="18"/>
        <v>1.5</v>
      </c>
      <c r="AC31" s="175">
        <f t="shared" si="19"/>
        <v>7.4796193388031584</v>
      </c>
    </row>
    <row r="32" spans="1:29" x14ac:dyDescent="0.3">
      <c r="A32">
        <f t="shared" si="20"/>
        <v>2029</v>
      </c>
      <c r="B32" s="11">
        <f t="shared" si="8"/>
        <v>29308</v>
      </c>
      <c r="C32" s="23">
        <f>SUMIF('Avoided Costs'!A:A,'Multiyear Analysis Benefits'!A32,'Avoided Costs'!B:B)</f>
        <v>46.012312849037947</v>
      </c>
      <c r="D32" s="23">
        <f t="shared" si="0"/>
        <v>44.328899999999997</v>
      </c>
      <c r="E32" s="35">
        <f t="shared" si="9"/>
        <v>1299191.4012</v>
      </c>
      <c r="F32" s="23">
        <f>SUMIF('Avoided Costs'!A:A,'Multiyear Analysis Benefits'!A32,'Avoided Costs'!C:C)</f>
        <v>7.0999659909097916</v>
      </c>
      <c r="G32" s="23">
        <f t="shared" si="10"/>
        <v>5.8859124535048633</v>
      </c>
      <c r="H32" s="35">
        <f t="shared" si="21"/>
        <v>501477.33894428331</v>
      </c>
      <c r="I32" s="23">
        <f>SUMIF('Avoided Costs'!A:A,'Multiyear Analysis Benefits'!A32,'Avoided Costs'!D:D)</f>
        <v>161.71812577486415</v>
      </c>
      <c r="J32" s="53">
        <f t="shared" si="11"/>
        <v>0.15640545110170817</v>
      </c>
      <c r="K32" s="35">
        <f t="shared" si="12"/>
        <v>25293.596413140407</v>
      </c>
      <c r="L32" s="23">
        <f>SUMIF('Avoided Costs'!A:A,'Multiyear Analysis Benefits'!A32,'Avoided Costs'!E:E)</f>
        <v>15</v>
      </c>
      <c r="M32" s="35">
        <f t="shared" si="1"/>
        <v>439620</v>
      </c>
      <c r="N32" s="11">
        <f t="shared" si="2"/>
        <v>2265582.3365574237</v>
      </c>
      <c r="O32" s="23">
        <f t="shared" si="3"/>
        <v>77.30252274319038</v>
      </c>
      <c r="P32" s="23">
        <f t="shared" si="13"/>
        <v>7.7302522743190378</v>
      </c>
      <c r="R32" s="32">
        <f t="shared" si="14"/>
        <v>3.9370651862908792</v>
      </c>
      <c r="S32" s="30">
        <f t="shared" si="4"/>
        <v>0.19685325931454395</v>
      </c>
      <c r="T32" s="32">
        <f t="shared" si="5"/>
        <v>5.8859124535048633</v>
      </c>
      <c r="V32" s="23">
        <f t="shared" si="6"/>
        <v>0.13600474008844191</v>
      </c>
      <c r="W32" s="32">
        <f t="shared" si="7"/>
        <v>0.15640545110170817</v>
      </c>
      <c r="Y32" s="175">
        <f t="shared" si="15"/>
        <v>4.4328899999999996</v>
      </c>
      <c r="Z32" s="175">
        <f t="shared" si="16"/>
        <v>1.711059570575554</v>
      </c>
      <c r="AA32" s="175">
        <f t="shared" si="17"/>
        <v>8.6302703743484394E-2</v>
      </c>
      <c r="AB32" s="175">
        <f t="shared" si="18"/>
        <v>1.5</v>
      </c>
      <c r="AC32" s="175">
        <f t="shared" si="19"/>
        <v>7.7302522743190387</v>
      </c>
    </row>
    <row r="33" spans="1:29" x14ac:dyDescent="0.3">
      <c r="A33">
        <f t="shared" si="20"/>
        <v>2030</v>
      </c>
      <c r="B33" s="11">
        <f t="shared" si="8"/>
        <v>29161</v>
      </c>
      <c r="C33" s="23">
        <f>SUMIF('Avoided Costs'!A:A,'Multiyear Analysis Benefits'!A33,'Avoided Costs'!B:B)</f>
        <v>47.659724319729449</v>
      </c>
      <c r="D33" s="23">
        <f t="shared" si="0"/>
        <v>45.770999999999994</v>
      </c>
      <c r="E33" s="35">
        <f t="shared" si="9"/>
        <v>1334728.1309999998</v>
      </c>
      <c r="F33" s="23">
        <f>SUMIF('Avoided Costs'!A:A,'Multiyear Analysis Benefits'!A33,'Avoided Costs'!C:C)</f>
        <v>7.7078827576816673</v>
      </c>
      <c r="G33" s="23">
        <f t="shared" si="10"/>
        <v>5.6515059900440319</v>
      </c>
      <c r="H33" s="35">
        <f t="shared" si="21"/>
        <v>522733.74690714071</v>
      </c>
      <c r="I33" s="23">
        <f>SUMIF('Avoided Costs'!A:A,'Multiyear Analysis Benefits'!A33,'Avoided Costs'!D:D)</f>
        <v>166.97396486254723</v>
      </c>
      <c r="J33" s="53">
        <f t="shared" si="11"/>
        <v>0.15017660401158262</v>
      </c>
      <c r="K33" s="35">
        <f t="shared" si="12"/>
        <v>25075.583001406667</v>
      </c>
      <c r="L33" s="23">
        <f>SUMIF('Avoided Costs'!A:A,'Multiyear Analysis Benefits'!A33,'Avoided Costs'!E:E)</f>
        <v>15</v>
      </c>
      <c r="M33" s="35">
        <f t="shared" si="1"/>
        <v>437415</v>
      </c>
      <c r="N33" s="11">
        <f t="shared" si="2"/>
        <v>2319952.460908547</v>
      </c>
      <c r="O33" s="23">
        <f t="shared" si="3"/>
        <v>79.556683958319226</v>
      </c>
      <c r="P33" s="23">
        <f t="shared" si="13"/>
        <v>7.955668395831923</v>
      </c>
      <c r="R33" s="32">
        <f t="shared" si="14"/>
        <v>3.7802715652468444</v>
      </c>
      <c r="S33" s="30">
        <f t="shared" si="4"/>
        <v>0.18901357826234222</v>
      </c>
      <c r="T33" s="32">
        <f t="shared" si="5"/>
        <v>5.6515059900440319</v>
      </c>
      <c r="V33" s="23">
        <f t="shared" si="6"/>
        <v>0.13058835131441968</v>
      </c>
      <c r="W33" s="32">
        <f t="shared" si="7"/>
        <v>0.15017660401158262</v>
      </c>
      <c r="Y33" s="175">
        <f t="shared" si="15"/>
        <v>4.5770999999999997</v>
      </c>
      <c r="Z33" s="175">
        <f t="shared" si="16"/>
        <v>1.7925782617439068</v>
      </c>
      <c r="AA33" s="175">
        <f t="shared" si="17"/>
        <v>8.5990134088017103E-2</v>
      </c>
      <c r="AB33" s="175">
        <f t="shared" si="18"/>
        <v>1.5</v>
      </c>
      <c r="AC33" s="175">
        <f t="shared" si="19"/>
        <v>7.9556683958319239</v>
      </c>
    </row>
    <row r="34" spans="1:29" x14ac:dyDescent="0.3">
      <c r="A34">
        <f t="shared" si="20"/>
        <v>2031</v>
      </c>
      <c r="B34" s="11">
        <f t="shared" si="8"/>
        <v>29015</v>
      </c>
      <c r="C34" s="23">
        <f>SUMIF('Avoided Costs'!A:A,'Multiyear Analysis Benefits'!A34,'Avoided Costs'!B:B)</f>
        <v>49.402044200602454</v>
      </c>
      <c r="D34" s="23">
        <f t="shared" si="0"/>
        <v>47.30715</v>
      </c>
      <c r="E34" s="35">
        <f t="shared" si="9"/>
        <v>1372616.95725</v>
      </c>
      <c r="F34" s="23">
        <f>SUMIF('Avoided Costs'!A:A,'Multiyear Analysis Benefits'!A34,'Avoided Costs'!C:C)</f>
        <v>8.123113861079359</v>
      </c>
      <c r="G34" s="23">
        <f t="shared" si="10"/>
        <v>5.426434763990529</v>
      </c>
      <c r="H34" s="35">
        <f t="shared" si="21"/>
        <v>528954.56937137234</v>
      </c>
      <c r="I34" s="23">
        <f>SUMIF('Avoided Costs'!A:A,'Multiyear Analysis Benefits'!A34,'Avoided Costs'!D:D)</f>
        <v>172.40061872058001</v>
      </c>
      <c r="J34" s="53">
        <f t="shared" si="11"/>
        <v>0.14419582075682139</v>
      </c>
      <c r="K34" s="35">
        <f t="shared" si="12"/>
        <v>24859.448715397859</v>
      </c>
      <c r="L34" s="23">
        <f>SUMIF('Avoided Costs'!A:A,'Multiyear Analysis Benefits'!A34,'Avoided Costs'!E:E)</f>
        <v>15</v>
      </c>
      <c r="M34" s="35">
        <f t="shared" si="1"/>
        <v>435225</v>
      </c>
      <c r="N34" s="11">
        <f t="shared" si="2"/>
        <v>2361655.9753367705</v>
      </c>
      <c r="O34" s="23">
        <f t="shared" si="3"/>
        <v>81.394312436214733</v>
      </c>
      <c r="P34" s="23">
        <f t="shared" si="13"/>
        <v>8.1394312436214733</v>
      </c>
      <c r="R34" s="32">
        <f t="shared" si="14"/>
        <v>3.6297222501608895</v>
      </c>
      <c r="S34" s="30">
        <f t="shared" si="4"/>
        <v>0.18148611250804447</v>
      </c>
      <c r="T34" s="32">
        <f t="shared" si="5"/>
        <v>5.426434763990529</v>
      </c>
      <c r="V34" s="23">
        <f t="shared" si="6"/>
        <v>0.12538767022332295</v>
      </c>
      <c r="W34" s="32">
        <f t="shared" si="7"/>
        <v>0.14419582075682139</v>
      </c>
      <c r="Y34" s="175">
        <f t="shared" si="15"/>
        <v>4.730715</v>
      </c>
      <c r="Z34" s="175">
        <f t="shared" si="16"/>
        <v>1.8230383228377474</v>
      </c>
      <c r="AA34" s="175">
        <f t="shared" si="17"/>
        <v>8.5677920783725173E-2</v>
      </c>
      <c r="AB34" s="175">
        <f t="shared" si="18"/>
        <v>1.5</v>
      </c>
      <c r="AC34" s="175">
        <f t="shared" si="19"/>
        <v>8.1394312436214733</v>
      </c>
    </row>
    <row r="35" spans="1:29" x14ac:dyDescent="0.3">
      <c r="A35">
        <f t="shared" si="20"/>
        <v>2032</v>
      </c>
      <c r="B35" s="11">
        <f t="shared" si="8"/>
        <v>28870</v>
      </c>
      <c r="C35" s="23">
        <f>SUMIF('Avoided Costs'!A:A,'Multiyear Analysis Benefits'!A35,'Avoided Costs'!B:B)</f>
        <v>51.280887627626377</v>
      </c>
      <c r="D35" s="23">
        <f t="shared" si="0"/>
        <v>48.95825</v>
      </c>
      <c r="E35" s="35">
        <f t="shared" si="9"/>
        <v>1413424.6775</v>
      </c>
      <c r="F35" s="23">
        <f>SUMIF('Avoided Costs'!A:A,'Multiyear Analysis Benefits'!A35,'Avoided Costs'!C:C)</f>
        <v>8.2855761383009465</v>
      </c>
      <c r="G35" s="23">
        <f t="shared" si="10"/>
        <v>5.2103269995146073</v>
      </c>
      <c r="H35" s="35">
        <f t="shared" si="21"/>
        <v>518046.73271908076</v>
      </c>
      <c r="I35" s="23">
        <f>SUMIF('Avoided Costs'!A:A,'Multiyear Analysis Benefits'!A35,'Avoided Costs'!D:D)</f>
        <v>178.00363882899885</v>
      </c>
      <c r="J35" s="53">
        <f t="shared" si="11"/>
        <v>0.13845322219518097</v>
      </c>
      <c r="K35" s="35">
        <f t="shared" si="12"/>
        <v>24645.17735834212</v>
      </c>
      <c r="L35" s="23">
        <f>SUMIF('Avoided Costs'!A:A,'Multiyear Analysis Benefits'!A35,'Avoided Costs'!E:E)</f>
        <v>15</v>
      </c>
      <c r="M35" s="35">
        <f t="shared" si="1"/>
        <v>433050</v>
      </c>
      <c r="N35" s="11">
        <f t="shared" si="2"/>
        <v>2389166.5875774231</v>
      </c>
      <c r="O35" s="23">
        <f t="shared" si="3"/>
        <v>82.756030051175031</v>
      </c>
      <c r="P35" s="23">
        <f t="shared" si="13"/>
        <v>8.2756030051175031</v>
      </c>
      <c r="R35" s="32">
        <f t="shared" si="14"/>
        <v>3.4851685615482322</v>
      </c>
      <c r="S35" s="30">
        <f t="shared" si="4"/>
        <v>0.1742584280774116</v>
      </c>
      <c r="T35" s="32">
        <f t="shared" si="5"/>
        <v>5.2103269995146073</v>
      </c>
      <c r="V35" s="23">
        <f t="shared" si="6"/>
        <v>0.12039410625667911</v>
      </c>
      <c r="W35" s="32">
        <f t="shared" si="7"/>
        <v>0.13845322219518097</v>
      </c>
      <c r="Y35" s="175">
        <f t="shared" si="15"/>
        <v>4.8958250000000003</v>
      </c>
      <c r="Z35" s="175">
        <f t="shared" si="16"/>
        <v>1.794411959539594</v>
      </c>
      <c r="AA35" s="175">
        <f t="shared" si="17"/>
        <v>8.5366045577908278E-2</v>
      </c>
      <c r="AB35" s="175">
        <f t="shared" si="18"/>
        <v>1.5</v>
      </c>
      <c r="AC35" s="175">
        <f t="shared" si="19"/>
        <v>8.2756030051175031</v>
      </c>
    </row>
    <row r="36" spans="1:29" x14ac:dyDescent="0.3">
      <c r="A36">
        <f t="shared" si="20"/>
        <v>2033</v>
      </c>
      <c r="B36" s="11">
        <f t="shared" si="8"/>
        <v>28726</v>
      </c>
      <c r="C36" s="23">
        <f>SUMIF('Avoided Costs'!A:A,'Multiyear Analysis Benefits'!A36,'Avoided Costs'!B:B)</f>
        <v>53.120968024056992</v>
      </c>
      <c r="D36" s="23">
        <f t="shared" si="0"/>
        <v>50.567549999999997</v>
      </c>
      <c r="E36" s="35">
        <f t="shared" si="9"/>
        <v>1452603.4412999998</v>
      </c>
      <c r="F36" s="23">
        <f>SUMIF('Avoided Costs'!A:A,'Multiyear Analysis Benefits'!A36,'Avoided Costs'!C:C)</f>
        <v>8.4512876610669654</v>
      </c>
      <c r="G36" s="23">
        <f t="shared" si="10"/>
        <v>5.0028257267589371</v>
      </c>
      <c r="H36" s="35">
        <f t="shared" si="21"/>
        <v>507363.83202031418</v>
      </c>
      <c r="I36" s="23">
        <f>SUMIF('Avoided Costs'!A:A,'Multiyear Analysis Benefits'!A36,'Avoided Costs'!D:D)</f>
        <v>183.78875709094132</v>
      </c>
      <c r="J36" s="53">
        <f t="shared" si="11"/>
        <v>0.13293932262125788</v>
      </c>
      <c r="K36" s="35">
        <f t="shared" si="12"/>
        <v>24432.752873072644</v>
      </c>
      <c r="L36" s="23">
        <f>SUMIF('Avoided Costs'!A:A,'Multiyear Analysis Benefits'!A36,'Avoided Costs'!E:E)</f>
        <v>15</v>
      </c>
      <c r="M36" s="35">
        <f t="shared" si="1"/>
        <v>430890</v>
      </c>
      <c r="N36" s="11">
        <f t="shared" si="2"/>
        <v>2415290.0261933869</v>
      </c>
      <c r="O36" s="23">
        <f t="shared" si="3"/>
        <v>84.080276620252974</v>
      </c>
      <c r="P36" s="23">
        <f t="shared" si="13"/>
        <v>8.4080276620252974</v>
      </c>
      <c r="R36" s="32">
        <f t="shared" si="14"/>
        <v>3.3463717235845736</v>
      </c>
      <c r="S36" s="30">
        <f t="shared" si="4"/>
        <v>0.16731858617922868</v>
      </c>
      <c r="T36" s="32">
        <f t="shared" si="5"/>
        <v>5.0028257267589371</v>
      </c>
      <c r="V36" s="23">
        <f t="shared" si="6"/>
        <v>0.11559941097500685</v>
      </c>
      <c r="W36" s="32">
        <f t="shared" si="7"/>
        <v>0.13293932262125788</v>
      </c>
      <c r="Y36" s="175">
        <f t="shared" si="15"/>
        <v>5.0567549999999999</v>
      </c>
      <c r="Z36" s="175">
        <f t="shared" si="16"/>
        <v>1.7662181717618679</v>
      </c>
      <c r="AA36" s="175">
        <f t="shared" si="17"/>
        <v>8.5054490263429108E-2</v>
      </c>
      <c r="AB36" s="175">
        <f t="shared" si="18"/>
        <v>1.5</v>
      </c>
      <c r="AC36" s="175">
        <f t="shared" si="19"/>
        <v>8.4080276620252974</v>
      </c>
    </row>
    <row r="37" spans="1:29" x14ac:dyDescent="0.3">
      <c r="A37">
        <f t="shared" si="20"/>
        <v>2034</v>
      </c>
      <c r="B37" s="11">
        <f t="shared" si="8"/>
        <v>28582</v>
      </c>
      <c r="C37" s="23">
        <f>SUMIF('Avoided Costs'!A:A,'Multiyear Analysis Benefits'!A37,'Avoided Costs'!B:B)</f>
        <v>55.20062842067837</v>
      </c>
      <c r="D37" s="23">
        <f t="shared" si="0"/>
        <v>52.385849999999998</v>
      </c>
      <c r="E37" s="35">
        <f t="shared" si="9"/>
        <v>1497292.3647</v>
      </c>
      <c r="F37" s="23">
        <f>SUMIF('Avoided Costs'!A:A,'Multiyear Analysis Benefits'!A37,'Avoided Costs'!C:C)</f>
        <v>8.6203134142883044</v>
      </c>
      <c r="G37" s="23">
        <f t="shared" si="10"/>
        <v>4.8035881921907615</v>
      </c>
      <c r="H37" s="35">
        <f t="shared" si="21"/>
        <v>496901.22875830712</v>
      </c>
      <c r="I37" s="23">
        <f>SUMIF('Avoided Costs'!A:A,'Multiyear Analysis Benefits'!A37,'Avoided Costs'!D:D)</f>
        <v>189.7618916963969</v>
      </c>
      <c r="J37" s="53">
        <f t="shared" si="11"/>
        <v>0.12764501409786624</v>
      </c>
      <c r="K37" s="35">
        <f t="shared" si="12"/>
        <v>24222.15934082435</v>
      </c>
      <c r="L37" s="23">
        <f>SUMIF('Avoided Costs'!A:A,'Multiyear Analysis Benefits'!A37,'Avoided Costs'!E:E)</f>
        <v>15</v>
      </c>
      <c r="M37" s="35">
        <f t="shared" si="1"/>
        <v>428730</v>
      </c>
      <c r="N37" s="11">
        <f t="shared" si="2"/>
        <v>2447145.7527991314</v>
      </c>
      <c r="O37" s="23">
        <f t="shared" si="3"/>
        <v>85.618422531632902</v>
      </c>
      <c r="P37" s="23">
        <f t="shared" si="13"/>
        <v>8.5618422531632898</v>
      </c>
      <c r="R37" s="32">
        <f t="shared" si="14"/>
        <v>3.2131024696928172</v>
      </c>
      <c r="S37" s="30">
        <f t="shared" si="4"/>
        <v>0.16065512348464087</v>
      </c>
      <c r="T37" s="32">
        <f t="shared" si="5"/>
        <v>4.8035881921907615</v>
      </c>
      <c r="V37" s="23">
        <f t="shared" si="6"/>
        <v>0.11099566443292719</v>
      </c>
      <c r="W37" s="32">
        <f t="shared" si="7"/>
        <v>0.12764501409786624</v>
      </c>
      <c r="Y37" s="175">
        <f t="shared" si="15"/>
        <v>5.2385849999999996</v>
      </c>
      <c r="Z37" s="175">
        <f t="shared" si="16"/>
        <v>1.738511051564996</v>
      </c>
      <c r="AA37" s="175">
        <f t="shared" si="17"/>
        <v>8.4746201598293852E-2</v>
      </c>
      <c r="AB37" s="175">
        <f t="shared" si="18"/>
        <v>1.5</v>
      </c>
      <c r="AC37" s="175">
        <f t="shared" si="19"/>
        <v>8.5618422531632881</v>
      </c>
    </row>
    <row r="38" spans="1:29" x14ac:dyDescent="0.3">
      <c r="A38">
        <f t="shared" si="20"/>
        <v>2035</v>
      </c>
      <c r="B38" s="11">
        <f t="shared" si="8"/>
        <v>28439</v>
      </c>
      <c r="C38" s="23">
        <f>SUMIF('Avoided Costs'!A:A,'Multiyear Analysis Benefits'!A38,'Avoided Costs'!B:B)</f>
        <v>57.457522261942074</v>
      </c>
      <c r="D38" s="23">
        <f t="shared" si="0"/>
        <v>54.360900000000001</v>
      </c>
      <c r="E38" s="35">
        <f t="shared" si="9"/>
        <v>1545969.6351000001</v>
      </c>
      <c r="F38" s="23">
        <f>SUMIF('Avoided Costs'!A:A,'Multiyear Analysis Benefits'!A38,'Avoided Costs'!C:C)</f>
        <v>8.7927196825740719</v>
      </c>
      <c r="G38" s="23">
        <f t="shared" si="10"/>
        <v>4.6122852924367645</v>
      </c>
      <c r="H38" s="35">
        <f t="shared" si="21"/>
        <v>486654.38006946776</v>
      </c>
      <c r="I38" s="23">
        <f>SUMIF('Avoided Costs'!A:A,'Multiyear Analysis Benefits'!A38,'Avoided Costs'!D:D)</f>
        <v>195.92915317652981</v>
      </c>
      <c r="J38" s="53">
        <f t="shared" si="11"/>
        <v>0.12256155141141874</v>
      </c>
      <c r="K38" s="35">
        <f t="shared" si="12"/>
        <v>24013.380980040994</v>
      </c>
      <c r="L38" s="23">
        <f>SUMIF('Avoided Costs'!A:A,'Multiyear Analysis Benefits'!A38,'Avoided Costs'!E:E)</f>
        <v>15</v>
      </c>
      <c r="M38" s="35">
        <f t="shared" si="1"/>
        <v>426585</v>
      </c>
      <c r="N38" s="11">
        <f t="shared" si="2"/>
        <v>2483222.3961495087</v>
      </c>
      <c r="O38" s="23">
        <f t="shared" si="3"/>
        <v>87.317500479957403</v>
      </c>
      <c r="P38" s="23">
        <f t="shared" si="13"/>
        <v>8.7317500479957406</v>
      </c>
      <c r="R38" s="32">
        <f t="shared" si="14"/>
        <v>3.0851406638373007</v>
      </c>
      <c r="S38" s="30">
        <f t="shared" si="4"/>
        <v>0.15425703319186504</v>
      </c>
      <c r="T38" s="32">
        <f t="shared" si="5"/>
        <v>4.6122852924367645</v>
      </c>
      <c r="V38" s="23">
        <f t="shared" si="6"/>
        <v>0.10657526209688586</v>
      </c>
      <c r="W38" s="32">
        <f t="shared" si="7"/>
        <v>0.12256155141141874</v>
      </c>
      <c r="Y38" s="175">
        <f t="shared" si="15"/>
        <v>5.4360900000000001</v>
      </c>
      <c r="Z38" s="175">
        <f t="shared" si="16"/>
        <v>1.7112218434877025</v>
      </c>
      <c r="AA38" s="175">
        <f t="shared" si="17"/>
        <v>8.4438204508038239E-2</v>
      </c>
      <c r="AB38" s="175">
        <f t="shared" si="18"/>
        <v>1.5</v>
      </c>
      <c r="AC38" s="175">
        <f t="shared" si="19"/>
        <v>8.7317500479957424</v>
      </c>
    </row>
    <row r="39" spans="1:29" x14ac:dyDescent="0.3">
      <c r="A39">
        <f t="shared" si="20"/>
        <v>2036</v>
      </c>
      <c r="B39" s="11">
        <f t="shared" si="8"/>
        <v>28297</v>
      </c>
      <c r="C39" s="23">
        <f>SUMIF('Avoided Costs'!A:A,'Multiyear Analysis Benefits'!A39,'Avoided Costs'!B:B)</f>
        <v>59.862852484070693</v>
      </c>
      <c r="D39" s="23">
        <f t="shared" si="0"/>
        <v>56.471799999999995</v>
      </c>
      <c r="E39" s="35">
        <f t="shared" si="9"/>
        <v>1597982.5245999999</v>
      </c>
      <c r="F39" s="23">
        <f>SUMIF('Avoided Costs'!A:A,'Multiyear Analysis Benefits'!A39,'Avoided Costs'!C:C)</f>
        <v>8.9685740762255524</v>
      </c>
      <c r="G39" s="23">
        <f t="shared" si="10"/>
        <v>4.4286010306654706</v>
      </c>
      <c r="H39" s="35">
        <f t="shared" si="21"/>
        <v>476618.83677086525</v>
      </c>
      <c r="I39" s="23">
        <f>SUMIF('Avoided Costs'!A:A,'Multiyear Analysis Benefits'!A39,'Avoided Costs'!D:D)</f>
        <v>202.29685065476701</v>
      </c>
      <c r="J39" s="53">
        <f t="shared" si="11"/>
        <v>0.11768053762645898</v>
      </c>
      <c r="K39" s="35">
        <f t="shared" si="12"/>
        <v>23806.402145192464</v>
      </c>
      <c r="L39" s="23">
        <f>SUMIF('Avoided Costs'!A:A,'Multiyear Analysis Benefits'!A39,'Avoided Costs'!E:E)</f>
        <v>15</v>
      </c>
      <c r="M39" s="35">
        <f t="shared" si="1"/>
        <v>424455</v>
      </c>
      <c r="N39" s="11">
        <f t="shared" si="2"/>
        <v>2522862.7635160577</v>
      </c>
      <c r="O39" s="23">
        <f t="shared" si="3"/>
        <v>89.156545341062937</v>
      </c>
      <c r="P39" s="23">
        <f t="shared" si="13"/>
        <v>8.9156545341062934</v>
      </c>
      <c r="R39" s="32">
        <f t="shared" si="14"/>
        <v>2.9622749368999801</v>
      </c>
      <c r="S39" s="30">
        <f t="shared" si="4"/>
        <v>0.14811374684499901</v>
      </c>
      <c r="T39" s="32">
        <f t="shared" si="5"/>
        <v>4.4286010306654706</v>
      </c>
      <c r="V39" s="23">
        <f t="shared" si="6"/>
        <v>0.10233090228387738</v>
      </c>
      <c r="W39" s="32">
        <f t="shared" si="7"/>
        <v>0.11768053762645898</v>
      </c>
      <c r="Y39" s="175">
        <f t="shared" si="15"/>
        <v>5.6471799999999996</v>
      </c>
      <c r="Z39" s="175">
        <f t="shared" si="16"/>
        <v>1.6843440533302654</v>
      </c>
      <c r="AA39" s="175">
        <f t="shared" si="17"/>
        <v>8.4130480776027361E-2</v>
      </c>
      <c r="AB39" s="175">
        <f t="shared" si="18"/>
        <v>1.5</v>
      </c>
      <c r="AC39" s="175">
        <f t="shared" si="19"/>
        <v>8.9156545341062916</v>
      </c>
    </row>
    <row r="40" spans="1:29" x14ac:dyDescent="0.3">
      <c r="A40">
        <f t="shared" si="20"/>
        <v>2037</v>
      </c>
      <c r="B40" s="11">
        <f t="shared" si="8"/>
        <v>28156</v>
      </c>
      <c r="C40" s="23">
        <f>SUMIF('Avoided Costs'!A:A,'Multiyear Analysis Benefits'!A40,'Avoided Costs'!B:B)</f>
        <v>62.291066970349448</v>
      </c>
      <c r="D40" s="23">
        <f t="shared" si="0"/>
        <v>58.582699999999996</v>
      </c>
      <c r="E40" s="35">
        <f t="shared" si="9"/>
        <v>1649454.5011999998</v>
      </c>
      <c r="F40" s="23">
        <f>SUMIF('Avoided Costs'!A:A,'Multiyear Analysis Benefits'!A40,'Avoided Costs'!C:C)</f>
        <v>9.1479455577500648</v>
      </c>
      <c r="G40" s="23">
        <f t="shared" si="10"/>
        <v>4.2522319946192182</v>
      </c>
      <c r="H40" s="35">
        <f t="shared" si="21"/>
        <v>466790.24142839498</v>
      </c>
      <c r="I40" s="23">
        <f>SUMIF('Avoided Costs'!A:A,'Multiyear Analysis Benefits'!A40,'Avoided Costs'!D:D)</f>
        <v>208.87149830104693</v>
      </c>
      <c r="J40" s="53">
        <f t="shared" si="11"/>
        <v>0.11299391021548526</v>
      </c>
      <c r="K40" s="35">
        <f t="shared" si="12"/>
        <v>23601.207325602376</v>
      </c>
      <c r="L40" s="23">
        <f>SUMIF('Avoided Costs'!A:A,'Multiyear Analysis Benefits'!A40,'Avoided Costs'!E:E)</f>
        <v>15</v>
      </c>
      <c r="M40" s="35">
        <f t="shared" si="1"/>
        <v>422340</v>
      </c>
      <c r="N40" s="11">
        <f t="shared" si="2"/>
        <v>2562185.949953997</v>
      </c>
      <c r="O40" s="23">
        <f t="shared" si="3"/>
        <v>90.99964305845991</v>
      </c>
      <c r="P40" s="23">
        <f t="shared" si="13"/>
        <v>9.0999643058459903</v>
      </c>
      <c r="R40" s="32">
        <f t="shared" si="14"/>
        <v>2.8443023375379388</v>
      </c>
      <c r="S40" s="30">
        <f t="shared" si="4"/>
        <v>0.14221511687689695</v>
      </c>
      <c r="T40" s="32">
        <f t="shared" si="5"/>
        <v>4.2522319946192182</v>
      </c>
      <c r="V40" s="23">
        <f t="shared" si="6"/>
        <v>9.8255574100421975E-2</v>
      </c>
      <c r="W40" s="32">
        <f t="shared" si="7"/>
        <v>0.11299391021548526</v>
      </c>
      <c r="Y40" s="175">
        <f t="shared" si="15"/>
        <v>5.8582699999999992</v>
      </c>
      <c r="Z40" s="175">
        <f t="shared" si="16"/>
        <v>1.6578712936084492</v>
      </c>
      <c r="AA40" s="175">
        <f t="shared" si="17"/>
        <v>8.3823012237542183E-2</v>
      </c>
      <c r="AB40" s="175">
        <f t="shared" si="18"/>
        <v>1.5</v>
      </c>
      <c r="AC40" s="175">
        <f t="shared" si="19"/>
        <v>9.0999643058459903</v>
      </c>
    </row>
    <row r="41" spans="1:29" x14ac:dyDescent="0.3">
      <c r="A41">
        <f t="shared" si="20"/>
        <v>2038</v>
      </c>
      <c r="B41" s="11">
        <f t="shared" si="8"/>
        <v>28015</v>
      </c>
      <c r="C41" s="23">
        <f>SUMIF('Avoided Costs'!A:A,'Multiyear Analysis Benefits'!A41,'Avoided Costs'!B:B)</f>
        <v>64.862222070433077</v>
      </c>
      <c r="D41" s="23">
        <f t="shared" si="0"/>
        <v>60.818999999999996</v>
      </c>
      <c r="E41" s="35">
        <f t="shared" si="9"/>
        <v>1703844.2849999999</v>
      </c>
      <c r="F41" s="23">
        <f>SUMIF('Avoided Costs'!A:A,'Multiyear Analysis Benefits'!A41,'Avoided Costs'!C:C)</f>
        <v>9.3309044689050662</v>
      </c>
      <c r="G41" s="23">
        <f t="shared" si="10"/>
        <v>4.0828868554335074</v>
      </c>
      <c r="H41" s="35">
        <f t="shared" si="21"/>
        <v>457164.32646477915</v>
      </c>
      <c r="I41" s="23">
        <f>SUMIF('Avoided Costs'!A:A,'Multiyear Analysis Benefits'!A41,'Avoided Costs'!D:D)</f>
        <v>215.65982199583095</v>
      </c>
      <c r="J41" s="53">
        <f t="shared" si="11"/>
        <v>0.10849392774115355</v>
      </c>
      <c r="K41" s="35">
        <f t="shared" si="12"/>
        <v>23397.78114428572</v>
      </c>
      <c r="L41" s="23">
        <f>SUMIF('Avoided Costs'!A:A,'Multiyear Analysis Benefits'!A41,'Avoided Costs'!E:E)</f>
        <v>15</v>
      </c>
      <c r="M41" s="35">
        <f t="shared" si="1"/>
        <v>420225</v>
      </c>
      <c r="N41" s="11">
        <f t="shared" si="2"/>
        <v>2604631.3926090645</v>
      </c>
      <c r="O41" s="23">
        <f t="shared" si="3"/>
        <v>92.972742909479365</v>
      </c>
      <c r="P41" s="23">
        <f t="shared" si="13"/>
        <v>9.2972742909479358</v>
      </c>
      <c r="R41" s="32">
        <f t="shared" si="14"/>
        <v>2.7310279969454898</v>
      </c>
      <c r="S41" s="30">
        <f t="shared" si="4"/>
        <v>0.13655139984727449</v>
      </c>
      <c r="T41" s="32">
        <f t="shared" si="5"/>
        <v>4.0828868554335074</v>
      </c>
      <c r="V41" s="23">
        <f t="shared" si="6"/>
        <v>9.4342545861872656E-2</v>
      </c>
      <c r="W41" s="32">
        <f t="shared" si="7"/>
        <v>0.10849392774115355</v>
      </c>
      <c r="Y41" s="175">
        <f t="shared" si="15"/>
        <v>6.0818999999999992</v>
      </c>
      <c r="Z41" s="175">
        <f t="shared" si="16"/>
        <v>1.6318555290550747</v>
      </c>
      <c r="AA41" s="175">
        <f t="shared" si="17"/>
        <v>8.351876189286353E-2</v>
      </c>
      <c r="AB41" s="175">
        <f t="shared" si="18"/>
        <v>1.5</v>
      </c>
      <c r="AC41" s="175">
        <f t="shared" si="19"/>
        <v>9.2972742909479376</v>
      </c>
    </row>
    <row r="42" spans="1:29" x14ac:dyDescent="0.3">
      <c r="A42">
        <f t="shared" si="20"/>
        <v>2039</v>
      </c>
      <c r="B42" s="11">
        <f t="shared" si="8"/>
        <v>27875</v>
      </c>
      <c r="C42" s="23">
        <f>SUMIF('Avoided Costs'!A:A,'Multiyear Analysis Benefits'!A42,'Avoided Costs'!B:B)</f>
        <v>67.581132790862881</v>
      </c>
      <c r="D42" s="23">
        <f t="shared" si="0"/>
        <v>63.180699999999995</v>
      </c>
      <c r="E42" s="35">
        <f t="shared" si="9"/>
        <v>1761162.0125</v>
      </c>
      <c r="F42" s="23">
        <f>SUMIF('Avoided Costs'!A:A,'Multiyear Analysis Benefits'!A42,'Avoided Costs'!C:C)</f>
        <v>9.5175225582831686</v>
      </c>
      <c r="G42" s="23">
        <f t="shared" si="10"/>
        <v>3.9202858864158676</v>
      </c>
      <c r="H42" s="35">
        <f t="shared" si="21"/>
        <v>447736.91230658581</v>
      </c>
      <c r="I42" s="23">
        <f>SUMIF('Avoided Costs'!A:A,'Multiyear Analysis Benefits'!A42,'Avoided Costs'!D:D)</f>
        <v>222.66876621069545</v>
      </c>
      <c r="J42" s="53">
        <f t="shared" si="11"/>
        <v>0.1041731570688621</v>
      </c>
      <c r="K42" s="35">
        <f t="shared" si="12"/>
        <v>23196.108356796511</v>
      </c>
      <c r="L42" s="23">
        <f>SUMIF('Avoided Costs'!A:A,'Multiyear Analysis Benefits'!A42,'Avoided Costs'!E:E)</f>
        <v>15</v>
      </c>
      <c r="M42" s="35">
        <f t="shared" si="1"/>
        <v>418125</v>
      </c>
      <c r="N42" s="11">
        <f t="shared" si="2"/>
        <v>2650220.0331633822</v>
      </c>
      <c r="O42" s="23">
        <f t="shared" si="3"/>
        <v>95.0751581403904</v>
      </c>
      <c r="P42" s="23">
        <f t="shared" si="13"/>
        <v>9.5075158140390403</v>
      </c>
      <c r="R42" s="32">
        <f t="shared" si="14"/>
        <v>2.6222648069671357</v>
      </c>
      <c r="S42" s="30">
        <f t="shared" si="4"/>
        <v>0.13111324034835678</v>
      </c>
      <c r="T42" s="32">
        <f t="shared" si="5"/>
        <v>3.9202858864158676</v>
      </c>
      <c r="V42" s="23">
        <f t="shared" si="6"/>
        <v>9.0585353972923568E-2</v>
      </c>
      <c r="W42" s="32">
        <f t="shared" si="7"/>
        <v>0.1041731570688621</v>
      </c>
      <c r="Y42" s="175">
        <f t="shared" si="15"/>
        <v>6.3180700000000005</v>
      </c>
      <c r="Z42" s="175">
        <f t="shared" si="16"/>
        <v>1.6062310755393212</v>
      </c>
      <c r="AA42" s="175">
        <f t="shared" si="17"/>
        <v>8.3214738499718416E-2</v>
      </c>
      <c r="AB42" s="175">
        <f t="shared" si="18"/>
        <v>1.5</v>
      </c>
      <c r="AC42" s="175">
        <f t="shared" si="19"/>
        <v>9.5075158140390403</v>
      </c>
    </row>
    <row r="43" spans="1:29" x14ac:dyDescent="0.3">
      <c r="A43">
        <f t="shared" si="20"/>
        <v>2040</v>
      </c>
      <c r="B43" s="11">
        <f t="shared" si="8"/>
        <v>27735</v>
      </c>
      <c r="C43" s="23">
        <f>SUMIF('Avoided Costs'!A:A,'Multiyear Analysis Benefits'!A43,'Avoided Costs'!B:B)</f>
        <v>70.515799608955305</v>
      </c>
      <c r="D43" s="23">
        <f t="shared" si="0"/>
        <v>65.720050000000001</v>
      </c>
      <c r="E43" s="35">
        <f t="shared" si="9"/>
        <v>1822745.58675</v>
      </c>
      <c r="F43" s="23">
        <f>SUMIF('Avoided Costs'!A:A,'Multiyear Analysis Benefits'!A43,'Avoided Costs'!C:C)</f>
        <v>9.7078730094488321</v>
      </c>
      <c r="G43" s="23">
        <f t="shared" si="10"/>
        <v>3.7641605009893557</v>
      </c>
      <c r="H43" s="35">
        <f t="shared" si="21"/>
        <v>438503.90556945553</v>
      </c>
      <c r="I43" s="23">
        <f>SUMIF('Avoided Costs'!A:A,'Multiyear Analysis Benefits'!A43,'Avoided Costs'!D:D)</f>
        <v>229.90550111254305</v>
      </c>
      <c r="J43" s="53">
        <f t="shared" si="11"/>
        <v>0.10002446108859465</v>
      </c>
      <c r="K43" s="35">
        <f t="shared" si="12"/>
        <v>22996.173850085415</v>
      </c>
      <c r="L43" s="23">
        <f>SUMIF('Avoided Costs'!A:A,'Multiyear Analysis Benefits'!A43,'Avoided Costs'!E:E)</f>
        <v>15</v>
      </c>
      <c r="M43" s="35">
        <f t="shared" si="1"/>
        <v>416025</v>
      </c>
      <c r="N43" s="11">
        <f t="shared" si="2"/>
        <v>2700270.666169541</v>
      </c>
      <c r="O43" s="23">
        <f t="shared" si="3"/>
        <v>97.35967788604799</v>
      </c>
      <c r="P43" s="23">
        <f t="shared" si="13"/>
        <v>9.7359677886047997</v>
      </c>
      <c r="R43" s="32">
        <f t="shared" si="14"/>
        <v>2.5178331110296694</v>
      </c>
      <c r="S43" s="30">
        <f t="shared" si="4"/>
        <v>0.12589165555148346</v>
      </c>
      <c r="T43" s="32">
        <f t="shared" si="5"/>
        <v>3.7641605009893557</v>
      </c>
      <c r="V43" s="23">
        <f t="shared" si="6"/>
        <v>8.6977792250951882E-2</v>
      </c>
      <c r="W43" s="32">
        <f t="shared" si="7"/>
        <v>0.10002446108859465</v>
      </c>
      <c r="Y43" s="175">
        <f t="shared" si="15"/>
        <v>6.5720049999999999</v>
      </c>
      <c r="Z43" s="175">
        <f t="shared" si="16"/>
        <v>1.5810488753180296</v>
      </c>
      <c r="AA43" s="175">
        <f t="shared" si="17"/>
        <v>8.2913913286769114E-2</v>
      </c>
      <c r="AB43" s="175">
        <f t="shared" si="18"/>
        <v>1.5</v>
      </c>
      <c r="AC43" s="175">
        <f t="shared" si="19"/>
        <v>9.7359677886047979</v>
      </c>
    </row>
    <row r="44" spans="1:29" x14ac:dyDescent="0.3">
      <c r="A44">
        <f t="shared" si="20"/>
        <v>2041</v>
      </c>
      <c r="B44" s="11">
        <f t="shared" si="8"/>
        <v>27597</v>
      </c>
      <c r="C44" s="23">
        <f>SUMIF('Avoided Costs'!A:A,'Multiyear Analysis Benefits'!A44,'Avoided Costs'!B:B)</f>
        <v>73.605786917017909</v>
      </c>
      <c r="D44" s="23">
        <f t="shared" si="0"/>
        <v>68.395250000000004</v>
      </c>
      <c r="E44" s="35">
        <f t="shared" si="9"/>
        <v>1887503.7142500002</v>
      </c>
      <c r="F44" s="23">
        <f>SUMIF('Avoided Costs'!A:A,'Multiyear Analysis Benefits'!A44,'Avoided Costs'!C:C)</f>
        <v>9.9020304696378076</v>
      </c>
      <c r="G44" s="23">
        <f t="shared" si="10"/>
        <v>3.6142528090374548</v>
      </c>
      <c r="H44" s="35">
        <f t="shared" si="21"/>
        <v>429461.29728075501</v>
      </c>
      <c r="I44" s="23">
        <f>SUMIF('Avoided Costs'!A:A,'Multiyear Analysis Benefits'!A44,'Avoided Costs'!D:D)</f>
        <v>237.37742989870068</v>
      </c>
      <c r="J44" s="53">
        <f t="shared" si="11"/>
        <v>9.6040986925741381E-2</v>
      </c>
      <c r="K44" s="35">
        <f t="shared" si="12"/>
        <v>22797.962641367201</v>
      </c>
      <c r="L44" s="23">
        <f>SUMIF('Avoided Costs'!A:A,'Multiyear Analysis Benefits'!A44,'Avoided Costs'!E:E)</f>
        <v>15</v>
      </c>
      <c r="M44" s="35">
        <f t="shared" si="1"/>
        <v>413955</v>
      </c>
      <c r="N44" s="11">
        <f t="shared" si="2"/>
        <v>2753717.9741721223</v>
      </c>
      <c r="O44" s="23">
        <f t="shared" si="3"/>
        <v>99.783236372508696</v>
      </c>
      <c r="P44" s="23">
        <f t="shared" si="13"/>
        <v>9.9783236372508703</v>
      </c>
      <c r="R44" s="32">
        <f t="shared" si="14"/>
        <v>2.4175604073829131</v>
      </c>
      <c r="S44" s="30">
        <f t="shared" si="4"/>
        <v>0.12087802036914566</v>
      </c>
      <c r="T44" s="32">
        <f t="shared" si="5"/>
        <v>3.6142528090374548</v>
      </c>
      <c r="V44" s="23">
        <f t="shared" si="6"/>
        <v>8.3513901674557731E-2</v>
      </c>
      <c r="W44" s="32">
        <f t="shared" si="7"/>
        <v>9.6040986925741381E-2</v>
      </c>
      <c r="Y44" s="175">
        <f t="shared" si="15"/>
        <v>6.8395250000000001</v>
      </c>
      <c r="Z44" s="175">
        <f t="shared" si="16"/>
        <v>1.5561883439531652</v>
      </c>
      <c r="AA44" s="175">
        <f t="shared" si="17"/>
        <v>8.2610293297703377E-2</v>
      </c>
      <c r="AB44" s="175">
        <f t="shared" si="18"/>
        <v>1.5</v>
      </c>
      <c r="AC44" s="175">
        <f t="shared" si="19"/>
        <v>9.9783236372508686</v>
      </c>
    </row>
    <row r="45" spans="1:29" x14ac:dyDescent="0.3">
      <c r="A45">
        <f t="shared" si="20"/>
        <v>2042</v>
      </c>
      <c r="B45" s="11">
        <f t="shared" si="8"/>
        <v>27459</v>
      </c>
      <c r="C45" s="23">
        <f>SUMIF('Avoided Costs'!A:A,'Multiyear Analysis Benefits'!A45,'Avoided Costs'!B:B)</f>
        <v>76.855174015077239</v>
      </c>
      <c r="D45" s="23">
        <f t="shared" si="0"/>
        <v>71.206299999999999</v>
      </c>
      <c r="E45" s="35">
        <f t="shared" si="9"/>
        <v>1955253.7916999999</v>
      </c>
      <c r="F45" s="23">
        <f>SUMIF('Avoided Costs'!A:A,'Multiyear Analysis Benefits'!A45,'Avoided Costs'!C:C)</f>
        <v>10.100071079030565</v>
      </c>
      <c r="G45" s="23">
        <f t="shared" si="10"/>
        <v>3.4703151909175372</v>
      </c>
      <c r="H45" s="35">
        <f t="shared" si="21"/>
        <v>420605.16113887983</v>
      </c>
      <c r="I45" s="23">
        <f>SUMIF('Avoided Costs'!A:A,'Multiyear Analysis Benefits'!A45,'Avoided Costs'!D:D)</f>
        <v>245.09219637040846</v>
      </c>
      <c r="J45" s="53">
        <f t="shared" si="11"/>
        <v>9.2216154621423713E-2</v>
      </c>
      <c r="K45" s="35">
        <f t="shared" si="12"/>
        <v>22601.459876997927</v>
      </c>
      <c r="L45" s="23">
        <f>SUMIF('Avoided Costs'!A:A,'Multiyear Analysis Benefits'!A45,'Avoided Costs'!E:E)</f>
        <v>15</v>
      </c>
      <c r="M45" s="35">
        <f t="shared" si="1"/>
        <v>411885</v>
      </c>
      <c r="N45" s="11">
        <f t="shared" si="2"/>
        <v>2810345.4127158779</v>
      </c>
      <c r="O45" s="23">
        <f t="shared" si="3"/>
        <v>102.34696867023118</v>
      </c>
      <c r="P45" s="23">
        <f t="shared" si="13"/>
        <v>10.234696867023118</v>
      </c>
      <c r="R45" s="32">
        <f>B$14*B$5*(1-B$16)^(A45-B$19)*(1-B$7)^(A45-B$19)</f>
        <v>2.3212810641588879</v>
      </c>
      <c r="S45" s="30">
        <f t="shared" si="4"/>
        <v>0.1160640532079444</v>
      </c>
      <c r="T45" s="32">
        <f t="shared" si="5"/>
        <v>3.4703151909175372</v>
      </c>
      <c r="V45" s="23">
        <f t="shared" si="6"/>
        <v>8.0187960540368447E-2</v>
      </c>
      <c r="W45" s="32">
        <f t="shared" si="7"/>
        <v>9.2216154621423713E-2</v>
      </c>
      <c r="Y45" s="175">
        <f t="shared" si="15"/>
        <v>7.1206300000000002</v>
      </c>
      <c r="Z45" s="175">
        <f t="shared" si="16"/>
        <v>1.5317570237039946</v>
      </c>
      <c r="AA45" s="175">
        <f t="shared" si="17"/>
        <v>8.2309843319122791E-2</v>
      </c>
      <c r="AB45" s="175">
        <f t="shared" si="18"/>
        <v>1.5</v>
      </c>
      <c r="AC45" s="175">
        <f t="shared" si="19"/>
        <v>10.234696867023118</v>
      </c>
    </row>
    <row r="46" spans="1:29" x14ac:dyDescent="0.3">
      <c r="A46">
        <f t="shared" si="20"/>
        <v>2043</v>
      </c>
      <c r="B46" s="11">
        <f t="shared" si="8"/>
        <v>27321</v>
      </c>
      <c r="C46" s="23">
        <f>SUMIF('Avoided Costs'!A:A,'Multiyear Analysis Benefits'!A46,'Avoided Costs'!B:B)</f>
        <v>80.347587850583267</v>
      </c>
      <c r="D46" s="23">
        <f t="shared" si="0"/>
        <v>74.215899999999991</v>
      </c>
      <c r="E46" s="35">
        <f t="shared" si="9"/>
        <v>2027652.6038999998</v>
      </c>
      <c r="F46" s="23">
        <f>SUMIF('Avoided Costs'!A:A,'Multiyear Analysis Benefits'!A46,'Avoided Costs'!C:C)</f>
        <v>10.302072500611175</v>
      </c>
      <c r="G46" s="23">
        <f t="shared" si="10"/>
        <v>3.3321098884392462</v>
      </c>
      <c r="H46" s="35">
        <f t="shared" si="21"/>
        <v>411931.65180845431</v>
      </c>
      <c r="I46" s="23">
        <f>SUMIF('Avoided Costs'!A:A,'Multiyear Analysis Benefits'!A46,'Avoided Costs'!D:D)</f>
        <v>253.05769275244674</v>
      </c>
      <c r="J46" s="53">
        <f t="shared" si="11"/>
        <v>8.8543646263625514E-2</v>
      </c>
      <c r="K46" s="35">
        <f t="shared" si="12"/>
        <v>22406.650831361872</v>
      </c>
      <c r="L46" s="23">
        <f>SUMIF('Avoided Costs'!A:A,'Multiyear Analysis Benefits'!A46,'Avoided Costs'!E:E)</f>
        <v>15</v>
      </c>
      <c r="M46" s="35">
        <f t="shared" si="1"/>
        <v>409815</v>
      </c>
      <c r="N46" s="11">
        <f t="shared" si="2"/>
        <v>2871805.9065398159</v>
      </c>
      <c r="O46" s="23">
        <f t="shared" si="3"/>
        <v>105.11349901320654</v>
      </c>
      <c r="P46" s="23">
        <f t="shared" si="13"/>
        <v>10.511349901320653</v>
      </c>
      <c r="R46" s="32">
        <f t="shared" si="14"/>
        <v>2.2288360457787602</v>
      </c>
      <c r="S46" s="30">
        <f t="shared" si="4"/>
        <v>0.111441802288938</v>
      </c>
      <c r="T46" s="32">
        <f t="shared" si="5"/>
        <v>3.3321098884392462</v>
      </c>
      <c r="V46" s="23">
        <f t="shared" si="6"/>
        <v>7.6994475011848279E-2</v>
      </c>
      <c r="W46" s="32">
        <f t="shared" si="7"/>
        <v>8.8543646263625514E-2</v>
      </c>
      <c r="Y46" s="175">
        <f t="shared" si="15"/>
        <v>7.4215899999999992</v>
      </c>
      <c r="Z46" s="175">
        <f t="shared" si="16"/>
        <v>1.5077473438324156</v>
      </c>
      <c r="AA46" s="175">
        <f t="shared" si="17"/>
        <v>8.2012557488239352E-2</v>
      </c>
      <c r="AB46" s="175">
        <f t="shared" si="18"/>
        <v>1.5</v>
      </c>
      <c r="AC46" s="175">
        <f t="shared" si="19"/>
        <v>10.511349901320655</v>
      </c>
    </row>
    <row r="47" spans="1:29" x14ac:dyDescent="0.3">
      <c r="A47">
        <f t="shared" si="20"/>
        <v>2044</v>
      </c>
      <c r="B47" s="11">
        <f t="shared" si="8"/>
        <v>27185</v>
      </c>
      <c r="C47" s="23">
        <f>SUMIF('Avoided Costs'!A:A,'Multiyear Analysis Benefits'!A47,'Avoided Costs'!B:B)</f>
        <v>83.874242731611261</v>
      </c>
      <c r="D47" s="23">
        <f t="shared" si="0"/>
        <v>77.235949999999988</v>
      </c>
      <c r="E47" s="35">
        <f t="shared" si="9"/>
        <v>2099659.3007499995</v>
      </c>
      <c r="F47" s="23">
        <f>SUMIF('Avoided Costs'!A:A,'Multiyear Analysis Benefits'!A47,'Avoided Costs'!C:C)</f>
        <v>10.508113950623398</v>
      </c>
      <c r="G47" s="23">
        <f t="shared" si="10"/>
        <v>3.1994086121321539</v>
      </c>
      <c r="H47" s="35">
        <f t="shared" si="21"/>
        <v>403437.00325068639</v>
      </c>
      <c r="I47" s="23">
        <f>SUMIF('Avoided Costs'!A:A,'Multiyear Analysis Benefits'!A47,'Avoided Costs'!D:D)</f>
        <v>261.28206776690126</v>
      </c>
      <c r="J47" s="53">
        <f t="shared" si="11"/>
        <v>8.5017395551176628E-2</v>
      </c>
      <c r="K47" s="35">
        <f t="shared" si="12"/>
        <v>22213.520905767982</v>
      </c>
      <c r="L47" s="23">
        <f>SUMIF('Avoided Costs'!A:A,'Multiyear Analysis Benefits'!A47,'Avoided Costs'!E:E)</f>
        <v>15</v>
      </c>
      <c r="M47" s="35">
        <f t="shared" si="1"/>
        <v>407775</v>
      </c>
      <c r="N47" s="11">
        <f t="shared" si="2"/>
        <v>2933084.824906454</v>
      </c>
      <c r="O47" s="23">
        <f t="shared" si="3"/>
        <v>107.89350100814619</v>
      </c>
      <c r="P47" s="23">
        <f t="shared" si="13"/>
        <v>10.78935010081462</v>
      </c>
      <c r="R47" s="32">
        <f t="shared" si="14"/>
        <v>2.1400726502556213</v>
      </c>
      <c r="S47" s="30">
        <f t="shared" si="4"/>
        <v>0.10700363251278107</v>
      </c>
      <c r="T47" s="32">
        <f t="shared" si="5"/>
        <v>3.1994086121321539</v>
      </c>
      <c r="V47" s="23">
        <f t="shared" si="6"/>
        <v>7.3928170044501418E-2</v>
      </c>
      <c r="W47" s="32">
        <f t="shared" si="7"/>
        <v>8.5017395551176628E-2</v>
      </c>
      <c r="Y47" s="175">
        <f t="shared" si="15"/>
        <v>7.7235949999999978</v>
      </c>
      <c r="Z47" s="175">
        <f t="shared" si="16"/>
        <v>1.4840426825480464</v>
      </c>
      <c r="AA47" s="175">
        <f t="shared" si="17"/>
        <v>8.1712418266573411E-2</v>
      </c>
      <c r="AB47" s="175">
        <f t="shared" si="18"/>
        <v>1.5</v>
      </c>
      <c r="AC47" s="175">
        <f t="shared" si="19"/>
        <v>10.789350100814618</v>
      </c>
    </row>
    <row r="48" spans="1:29" ht="15" thickBot="1" x14ac:dyDescent="0.35"/>
    <row r="49" spans="1:16" ht="15" thickBot="1" x14ac:dyDescent="0.35">
      <c r="A49" t="s">
        <v>142</v>
      </c>
      <c r="B49" s="69"/>
      <c r="C49" s="69"/>
      <c r="D49" s="69"/>
      <c r="E49" s="102">
        <f>NPV(0.0619,E23:E47)</f>
        <v>17375428.506456189</v>
      </c>
      <c r="F49" s="69"/>
      <c r="G49" s="69"/>
      <c r="H49" s="102">
        <f>NPV(0.0619,H23:H47)</f>
        <v>5863282.4054421149</v>
      </c>
      <c r="I49" s="69"/>
      <c r="J49" s="69"/>
      <c r="K49" s="102">
        <f>NPV(0.0619,K23:K47)</f>
        <v>317130.17546242912</v>
      </c>
      <c r="L49" s="69"/>
      <c r="M49" s="102">
        <f>NPV(0.0619,M23:M47)</f>
        <v>7131332.1608528551</v>
      </c>
      <c r="N49" s="103">
        <f>NPV(0.0619,N23:N47)</f>
        <v>30687173.248213585</v>
      </c>
      <c r="O49" s="69"/>
      <c r="P49" s="157">
        <f>NPV(0.0619,N23:N47)/M50/10</f>
        <v>8.3340326266028253</v>
      </c>
    </row>
    <row r="50" spans="1:16" x14ac:dyDescent="0.3">
      <c r="A50" t="s">
        <v>143</v>
      </c>
      <c r="E50" s="156">
        <f>H50</f>
        <v>368215.18013090017</v>
      </c>
      <c r="H50" s="156">
        <f>NPV(0.0619,B23:B47)</f>
        <v>368215.18013090017</v>
      </c>
      <c r="K50" s="156">
        <f>H50</f>
        <v>368215.18013090017</v>
      </c>
      <c r="M50" s="156">
        <f>K50</f>
        <v>368215.18013090017</v>
      </c>
    </row>
    <row r="51" spans="1:16" x14ac:dyDescent="0.3">
      <c r="A51" t="s">
        <v>144</v>
      </c>
      <c r="E51" s="23">
        <f>E49/E50/10</f>
        <v>4.7188246014950384</v>
      </c>
      <c r="F51" s="23"/>
      <c r="G51" s="23"/>
      <c r="H51" s="23">
        <f>H49/H50/10</f>
        <v>1.5923521684678299</v>
      </c>
      <c r="I51" s="23"/>
      <c r="J51" s="23"/>
      <c r="K51" s="23">
        <f>K49/K50/10</f>
        <v>8.6126317592253962E-2</v>
      </c>
      <c r="L51" s="23"/>
      <c r="M51" s="23">
        <f>M49/M50/10</f>
        <v>1.9367295390477035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BP38"/>
  <sheetViews>
    <sheetView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4.4" x14ac:dyDescent="0.3"/>
  <cols>
    <col min="1" max="2" width="2.33203125" customWidth="1"/>
    <col min="4" max="4" width="13.5546875" bestFit="1" customWidth="1"/>
    <col min="19" max="19" width="8.88671875" style="10"/>
    <col min="20" max="22" width="8.88671875" style="85"/>
    <col min="24" max="24" width="9.88671875" bestFit="1" customWidth="1"/>
    <col min="25" max="26" width="9" bestFit="1" customWidth="1"/>
    <col min="27" max="27" width="12.5546875" bestFit="1" customWidth="1"/>
    <col min="28" max="28" width="8.88671875" style="13"/>
    <col min="29" max="29" width="12.6640625" bestFit="1" customWidth="1"/>
    <col min="30" max="30" width="11.21875" bestFit="1" customWidth="1"/>
    <col min="31" max="31" width="13.6640625" bestFit="1" customWidth="1"/>
    <col min="32" max="32" width="8.88671875" style="10"/>
    <col min="33" max="33" width="12.6640625" bestFit="1" customWidth="1"/>
    <col min="35" max="35" width="12.5546875" bestFit="1" customWidth="1"/>
    <col min="41" max="41" width="12.109375" bestFit="1" customWidth="1"/>
    <col min="46" max="46" width="9.5546875" bestFit="1" customWidth="1"/>
    <col min="51" max="51" width="12.109375" bestFit="1" customWidth="1"/>
    <col min="53" max="53" width="12.5546875" style="74" bestFit="1" customWidth="1"/>
    <col min="56" max="56" width="13.5546875" bestFit="1" customWidth="1"/>
    <col min="57" max="57" width="14.109375" bestFit="1" customWidth="1"/>
    <col min="58" max="68" width="8.88671875" style="13"/>
  </cols>
  <sheetData>
    <row r="2" spans="3:68" x14ac:dyDescent="0.3">
      <c r="C2" s="113">
        <v>2.7199999999999998E-2</v>
      </c>
      <c r="D2" s="3" t="s">
        <v>94</v>
      </c>
      <c r="AA2" s="2"/>
      <c r="AB2" s="66"/>
      <c r="AC2" s="2"/>
      <c r="AD2" s="2"/>
      <c r="AE2" s="2"/>
      <c r="AF2" s="70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73"/>
    </row>
    <row r="3" spans="3:68" x14ac:dyDescent="0.3">
      <c r="C3" s="114">
        <v>154.16999999999999</v>
      </c>
      <c r="D3" s="3" t="s">
        <v>109</v>
      </c>
      <c r="X3" s="10"/>
      <c r="Y3" s="10"/>
      <c r="Z3" s="10"/>
      <c r="AA3" s="10"/>
      <c r="AC3" s="10"/>
      <c r="AD3" s="10"/>
      <c r="AE3" s="10"/>
      <c r="AG3" s="10"/>
      <c r="AH3" s="10"/>
      <c r="AI3" s="10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92"/>
      <c r="AX3" s="13"/>
      <c r="AY3" s="13"/>
      <c r="AZ3" s="13"/>
      <c r="BA3" s="76"/>
      <c r="BB3" s="10"/>
      <c r="BC3" s="10"/>
      <c r="BD3" s="10"/>
      <c r="BE3" s="10"/>
    </row>
    <row r="4" spans="3:68" ht="14.4" customHeight="1" x14ac:dyDescent="0.3">
      <c r="D4" s="3" t="s">
        <v>110</v>
      </c>
      <c r="X4" s="10"/>
      <c r="Y4" s="10"/>
      <c r="Z4" s="10"/>
      <c r="AA4" s="10"/>
      <c r="AC4" s="10"/>
      <c r="AD4" s="10"/>
      <c r="AE4" s="10"/>
      <c r="AG4" s="170"/>
      <c r="AH4" s="170"/>
      <c r="AI4" s="170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92"/>
      <c r="AX4" s="28"/>
      <c r="AY4" s="28"/>
      <c r="AZ4" s="28"/>
      <c r="BA4" s="75"/>
      <c r="BB4" s="10"/>
      <c r="BC4" s="10"/>
      <c r="BD4" s="10"/>
      <c r="BE4" s="10"/>
    </row>
    <row r="5" spans="3:68" ht="15" thickBot="1" x14ac:dyDescent="0.35">
      <c r="D5" s="3" t="s">
        <v>111</v>
      </c>
      <c r="X5" s="10"/>
      <c r="Y5" s="10"/>
      <c r="Z5" s="10"/>
      <c r="AA5" s="10"/>
      <c r="AC5" s="10"/>
      <c r="AD5" s="10"/>
      <c r="AE5" s="10"/>
      <c r="AG5" s="170"/>
      <c r="AH5" s="170"/>
      <c r="AI5" s="170"/>
      <c r="AK5" s="109"/>
      <c r="AL5" s="109"/>
      <c r="AM5" s="109"/>
      <c r="AN5" s="109"/>
      <c r="AO5" s="28"/>
      <c r="AP5" s="28"/>
      <c r="AQ5" s="28"/>
      <c r="AR5" s="28"/>
      <c r="AS5" s="28"/>
      <c r="AT5" s="28"/>
      <c r="AU5" s="109"/>
      <c r="AV5" s="28"/>
      <c r="AW5" s="28"/>
      <c r="AX5" s="28"/>
      <c r="AY5" s="28"/>
      <c r="AZ5" s="28"/>
      <c r="BA5" s="75"/>
      <c r="BB5" s="10"/>
      <c r="BC5" s="10"/>
      <c r="BD5" s="10"/>
      <c r="BE5" s="10"/>
    </row>
    <row r="6" spans="3:68" ht="15" thickBot="1" x14ac:dyDescent="0.35">
      <c r="C6" s="3"/>
      <c r="X6" s="10"/>
      <c r="Y6" s="10"/>
      <c r="Z6" s="10"/>
      <c r="AA6" s="10"/>
      <c r="AC6" s="10"/>
      <c r="AD6" s="10"/>
      <c r="AE6" s="10"/>
      <c r="AG6" s="171"/>
      <c r="AH6" s="171"/>
      <c r="AI6" s="171"/>
      <c r="AJ6" s="1"/>
      <c r="AK6" s="164" t="s">
        <v>115</v>
      </c>
      <c r="AL6" s="165"/>
      <c r="AM6" s="165"/>
      <c r="AN6" s="165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5"/>
      <c r="BA6" s="166"/>
    </row>
    <row r="7" spans="3:68" ht="16.2" thickBot="1" x14ac:dyDescent="0.35">
      <c r="E7" s="162"/>
      <c r="F7" s="162"/>
      <c r="G7" s="4"/>
      <c r="H7" s="163" t="s">
        <v>1</v>
      </c>
      <c r="I7" s="163"/>
      <c r="J7" s="163"/>
      <c r="K7" s="6"/>
      <c r="L7" s="163" t="s">
        <v>2</v>
      </c>
      <c r="M7" s="163"/>
      <c r="N7" s="163"/>
      <c r="O7" s="6"/>
      <c r="P7" s="163" t="s">
        <v>3</v>
      </c>
      <c r="Q7" s="163"/>
      <c r="R7" s="163"/>
      <c r="T7" s="84" t="s">
        <v>117</v>
      </c>
      <c r="X7" s="61" t="s">
        <v>95</v>
      </c>
      <c r="Y7" s="62"/>
      <c r="Z7" s="62"/>
      <c r="AA7" s="62"/>
      <c r="AC7" s="164" t="s">
        <v>13</v>
      </c>
      <c r="AD7" s="165"/>
      <c r="AE7" s="166"/>
      <c r="AG7" s="164" t="s">
        <v>30</v>
      </c>
      <c r="AH7" s="165"/>
      <c r="AI7" s="166"/>
      <c r="AJ7" s="1"/>
      <c r="AK7" s="167" t="s">
        <v>8</v>
      </c>
      <c r="AL7" s="168"/>
      <c r="AM7" s="168"/>
      <c r="AN7" s="168"/>
      <c r="AO7" s="168"/>
      <c r="AP7" s="167" t="s">
        <v>10</v>
      </c>
      <c r="AQ7" s="168"/>
      <c r="AR7" s="168"/>
      <c r="AS7" s="168"/>
      <c r="AT7" s="169"/>
      <c r="AU7" s="167" t="s">
        <v>9</v>
      </c>
      <c r="AV7" s="168"/>
      <c r="AW7" s="168"/>
      <c r="AX7" s="168"/>
      <c r="AY7" s="169"/>
      <c r="AZ7" s="68"/>
      <c r="BA7" s="1"/>
    </row>
    <row r="8" spans="3:68" s="71" customFormat="1" ht="28.8" x14ac:dyDescent="0.3">
      <c r="C8" s="86" t="s">
        <v>4</v>
      </c>
      <c r="D8" s="86" t="s">
        <v>59</v>
      </c>
      <c r="E8" s="87" t="s">
        <v>6</v>
      </c>
      <c r="F8" s="87" t="s">
        <v>7</v>
      </c>
      <c r="G8" s="5"/>
      <c r="H8" s="87" t="s">
        <v>5</v>
      </c>
      <c r="I8" s="87" t="s">
        <v>6</v>
      </c>
      <c r="J8" s="87" t="s">
        <v>7</v>
      </c>
      <c r="K8" s="7"/>
      <c r="L8" s="87" t="s">
        <v>5</v>
      </c>
      <c r="M8" s="87" t="s">
        <v>6</v>
      </c>
      <c r="N8" s="87" t="s">
        <v>7</v>
      </c>
      <c r="O8" s="7"/>
      <c r="P8" s="87" t="s">
        <v>5</v>
      </c>
      <c r="Q8" s="87" t="s">
        <v>6</v>
      </c>
      <c r="R8" s="87" t="s">
        <v>7</v>
      </c>
      <c r="S8" s="108"/>
      <c r="T8" s="88" t="s">
        <v>15</v>
      </c>
      <c r="U8" s="88" t="s">
        <v>16</v>
      </c>
      <c r="V8" s="88" t="s">
        <v>17</v>
      </c>
      <c r="X8" s="89" t="s">
        <v>15</v>
      </c>
      <c r="Y8" s="89" t="s">
        <v>16</v>
      </c>
      <c r="Z8" s="89" t="s">
        <v>17</v>
      </c>
      <c r="AA8" s="89" t="s">
        <v>0</v>
      </c>
      <c r="AB8" s="91"/>
      <c r="AC8" s="89" t="s">
        <v>96</v>
      </c>
      <c r="AD8" s="89" t="s">
        <v>98</v>
      </c>
      <c r="AE8" s="89" t="s">
        <v>97</v>
      </c>
      <c r="AF8" s="108"/>
      <c r="AG8" s="89" t="s">
        <v>96</v>
      </c>
      <c r="AH8" s="89" t="s">
        <v>18</v>
      </c>
      <c r="AI8" s="89" t="s">
        <v>0</v>
      </c>
      <c r="AK8" s="90" t="s">
        <v>99</v>
      </c>
      <c r="AL8" s="90" t="s">
        <v>114</v>
      </c>
      <c r="AM8" s="90" t="s">
        <v>102</v>
      </c>
      <c r="AN8" s="90" t="s">
        <v>18</v>
      </c>
      <c r="AO8" s="90" t="s">
        <v>118</v>
      </c>
      <c r="AP8" s="90" t="s">
        <v>100</v>
      </c>
      <c r="AQ8" s="90" t="s">
        <v>114</v>
      </c>
      <c r="AR8" s="90" t="s">
        <v>102</v>
      </c>
      <c r="AS8" s="90" t="s">
        <v>18</v>
      </c>
      <c r="AT8" s="90" t="s">
        <v>118</v>
      </c>
      <c r="AU8" s="90" t="s">
        <v>101</v>
      </c>
      <c r="AV8" s="90" t="s">
        <v>114</v>
      </c>
      <c r="AW8" s="90" t="s">
        <v>102</v>
      </c>
      <c r="AX8" s="90" t="s">
        <v>18</v>
      </c>
      <c r="AY8" s="90" t="s">
        <v>118</v>
      </c>
      <c r="AZ8" s="91"/>
      <c r="BA8" s="90" t="s">
        <v>116</v>
      </c>
      <c r="BC8" s="72" t="s">
        <v>4</v>
      </c>
      <c r="BD8" s="72" t="s">
        <v>59</v>
      </c>
      <c r="BE8" s="78" t="s">
        <v>41</v>
      </c>
      <c r="BF8" s="111"/>
      <c r="BG8" s="111"/>
      <c r="BH8" s="91"/>
      <c r="BI8" s="91"/>
      <c r="BJ8" s="91"/>
      <c r="BK8" s="91"/>
      <c r="BL8" s="91"/>
      <c r="BM8" s="91"/>
      <c r="BN8" s="91"/>
      <c r="BO8" s="91"/>
      <c r="BP8" s="91"/>
    </row>
    <row r="9" spans="3:68" x14ac:dyDescent="0.3">
      <c r="E9" s="104">
        <v>0.79363212647304282</v>
      </c>
      <c r="F9" s="44">
        <f>1-E9</f>
        <v>0.20636787352695718</v>
      </c>
      <c r="H9" s="104">
        <v>0.3259162785093464</v>
      </c>
      <c r="I9" s="104">
        <f>+H9*0.37445</f>
        <v>0.12203935048782476</v>
      </c>
      <c r="J9" s="44">
        <f>+H9-I9</f>
        <v>0.20387692802152163</v>
      </c>
      <c r="K9" s="44"/>
      <c r="L9" s="104">
        <v>0.51596231900445966</v>
      </c>
      <c r="M9" s="105">
        <f>+L9*0.9704</f>
        <v>0.50068983436192771</v>
      </c>
      <c r="N9" s="44">
        <f>+L9-M9</f>
        <v>1.5272484642531947E-2</v>
      </c>
      <c r="O9" s="44"/>
      <c r="P9" s="44">
        <f>1-H9-L9</f>
        <v>0.158121402486194</v>
      </c>
      <c r="Q9" s="44">
        <f>+E9-I9-M9</f>
        <v>0.17090294162329034</v>
      </c>
      <c r="R9" s="44">
        <f>+P9-Q9</f>
        <v>-1.2781539137096343E-2</v>
      </c>
      <c r="S9" s="58"/>
      <c r="T9" s="55">
        <v>0.16446</v>
      </c>
      <c r="U9" s="55">
        <v>0.15168480036802431</v>
      </c>
      <c r="V9" s="55">
        <v>0.11595679311739933</v>
      </c>
      <c r="X9" s="10"/>
      <c r="Y9" s="10"/>
      <c r="Z9" s="10"/>
      <c r="AA9" s="10"/>
      <c r="AC9" s="80">
        <v>154.16999999999999</v>
      </c>
      <c r="AD9" s="10"/>
      <c r="AE9" s="10"/>
      <c r="AG9" s="64" t="s">
        <v>106</v>
      </c>
      <c r="AH9" s="64"/>
      <c r="AI9" s="10"/>
      <c r="AK9" s="101">
        <v>0.54</v>
      </c>
      <c r="AL9" s="83">
        <v>0</v>
      </c>
      <c r="AM9" s="83">
        <v>10</v>
      </c>
      <c r="AN9" s="83"/>
      <c r="AO9" s="83"/>
      <c r="AP9" s="82">
        <v>0.24948969243910574</v>
      </c>
      <c r="AQ9" s="83">
        <f>AL9</f>
        <v>0</v>
      </c>
      <c r="AR9" s="83">
        <f>(0.75*10+0.25*-30)</f>
        <v>0</v>
      </c>
      <c r="AS9" s="83"/>
      <c r="AT9" s="83"/>
      <c r="AU9" s="106">
        <f>1-AP9-AK9</f>
        <v>0.21051030756089428</v>
      </c>
      <c r="AV9" s="83">
        <f>AQ9</f>
        <v>0</v>
      </c>
      <c r="AW9" s="83">
        <f>-20</f>
        <v>-20</v>
      </c>
      <c r="AX9" s="10"/>
      <c r="AY9" s="10"/>
      <c r="AZ9" s="13"/>
      <c r="BA9" s="76"/>
      <c r="BE9" s="10"/>
      <c r="BF9" s="112"/>
      <c r="BG9" s="112"/>
    </row>
    <row r="10" spans="3:68" ht="13.8" customHeight="1" x14ac:dyDescent="0.3">
      <c r="C10">
        <f>'Multiyear Analysis Benefits'!A23</f>
        <v>2020</v>
      </c>
      <c r="D10" s="11">
        <f>'Multiyear Analysis Benefits'!B23</f>
        <v>30660</v>
      </c>
      <c r="E10" s="9">
        <f>$D10*E$9</f>
        <v>24332.760997663492</v>
      </c>
      <c r="F10" s="9">
        <f>$D10*F$9</f>
        <v>6327.2390023365069</v>
      </c>
      <c r="H10" s="9">
        <f>$D10*H$9</f>
        <v>9992.5930990965608</v>
      </c>
      <c r="I10" s="9">
        <f>$D10*I$9</f>
        <v>3741.7264859567072</v>
      </c>
      <c r="J10" s="9">
        <f>$D10*J$9</f>
        <v>6250.8666131398531</v>
      </c>
      <c r="L10" s="9">
        <f>$D10*L$9</f>
        <v>15819.404700676732</v>
      </c>
      <c r="M10" s="9">
        <f t="shared" ref="M10:R25" si="0">$D10*M$9</f>
        <v>15351.150321536703</v>
      </c>
      <c r="N10" s="9">
        <f t="shared" si="0"/>
        <v>468.25437914002953</v>
      </c>
      <c r="P10" s="9">
        <f t="shared" si="0"/>
        <v>4848.0022002267078</v>
      </c>
      <c r="Q10" s="9">
        <f t="shared" si="0"/>
        <v>5239.8841901700816</v>
      </c>
      <c r="R10" s="9">
        <f t="shared" si="0"/>
        <v>-391.88198994337387</v>
      </c>
      <c r="S10" s="63"/>
      <c r="T10" s="55">
        <f t="shared" ref="T10:T34" si="1">T9*(1+$C$2)</f>
        <v>0.16893331199999997</v>
      </c>
      <c r="U10" s="55">
        <f t="shared" ref="U10:U34" si="2">U9*(1+$C$2)</f>
        <v>0.15581062693803455</v>
      </c>
      <c r="V10" s="55">
        <f t="shared" ref="V10:V34" si="3">V9*(1+$C$2)</f>
        <v>0.11911081789019258</v>
      </c>
      <c r="X10" s="56">
        <f>T10*1000*J10</f>
        <v>1055979.599827938</v>
      </c>
      <c r="Y10" s="56">
        <f>U10*1000*N10</f>
        <v>72959.008380288127</v>
      </c>
      <c r="Z10" s="56">
        <f>V10*1000*R10</f>
        <v>-46677.384338591481</v>
      </c>
      <c r="AA10" s="56">
        <f>SUM(X10:Z10)</f>
        <v>1082261.2238696346</v>
      </c>
      <c r="AC10" s="79">
        <f t="shared" ref="AC10:AC34" si="4">AC9*(1+$C$2)</f>
        <v>158.36342399999998</v>
      </c>
      <c r="AD10" s="63">
        <f>E10</f>
        <v>24332.760997663492</v>
      </c>
      <c r="AE10" s="56">
        <f>AC10*AD10</f>
        <v>3853419.3469636464</v>
      </c>
      <c r="AG10" s="81">
        <v>10</v>
      </c>
      <c r="AH10" s="54">
        <f>D10</f>
        <v>30660</v>
      </c>
      <c r="AI10" s="56">
        <f>AG10*AH10</f>
        <v>306600</v>
      </c>
      <c r="AK10" s="58">
        <f>AK9</f>
        <v>0.54</v>
      </c>
      <c r="AL10" s="60">
        <f>AL9</f>
        <v>0</v>
      </c>
      <c r="AM10" s="60">
        <f>AM9</f>
        <v>10</v>
      </c>
      <c r="AN10" s="65">
        <f>AK10*D10</f>
        <v>16556.400000000001</v>
      </c>
      <c r="AO10" s="60">
        <f>AN10*(AL10+AM10)</f>
        <v>165564</v>
      </c>
      <c r="AP10" s="58">
        <f t="shared" ref="AP10:AP34" si="5">AP9</f>
        <v>0.24948969243910574</v>
      </c>
      <c r="AQ10" s="60">
        <f t="shared" ref="AQ10:AQ34" si="6">AL10</f>
        <v>0</v>
      </c>
      <c r="AR10" s="60">
        <f>+AR9</f>
        <v>0</v>
      </c>
      <c r="AS10" s="65">
        <f>AP10*D10</f>
        <v>7649.3539701829823</v>
      </c>
      <c r="AT10" s="60">
        <f>AS10*(AQ10+AR10)</f>
        <v>0</v>
      </c>
      <c r="AU10" s="106">
        <f t="shared" ref="AU10:AU34" si="7">1-AP10-AK10</f>
        <v>0.21051030756089428</v>
      </c>
      <c r="AV10" s="60">
        <f t="shared" ref="AV10:AV34" si="8">AQ10</f>
        <v>0</v>
      </c>
      <c r="AW10" s="60">
        <f t="shared" ref="AW10:AW34" si="9">-20</f>
        <v>-20</v>
      </c>
      <c r="AX10" s="63">
        <f>AU10*D10</f>
        <v>6454.246029817019</v>
      </c>
      <c r="AY10" s="60">
        <f>AX10*(AV10+AW10)</f>
        <v>-129084.92059634038</v>
      </c>
      <c r="AZ10" s="10"/>
      <c r="BA10" s="77">
        <f>AO10+AT10+AY10</f>
        <v>36479.07940365962</v>
      </c>
      <c r="BC10">
        <f>C10</f>
        <v>2020</v>
      </c>
      <c r="BD10" s="11">
        <f>D10</f>
        <v>30660</v>
      </c>
      <c r="BE10" s="56">
        <f>AA10+AE10+AI10+BA10</f>
        <v>5278759.65023694</v>
      </c>
      <c r="BF10" s="112"/>
      <c r="BG10" s="112"/>
    </row>
    <row r="11" spans="3:68" x14ac:dyDescent="0.3">
      <c r="C11">
        <f>'Multiyear Analysis Benefits'!A24</f>
        <v>2021</v>
      </c>
      <c r="D11" s="11">
        <f>'Multiyear Analysis Benefits'!B24</f>
        <v>30507</v>
      </c>
      <c r="E11" s="9">
        <f t="shared" ref="E11:F34" si="10">$D11*E$9</f>
        <v>24211.335282313117</v>
      </c>
      <c r="F11" s="9">
        <f t="shared" si="10"/>
        <v>6295.6647176868828</v>
      </c>
      <c r="H11" s="9">
        <f t="shared" ref="H11:J34" si="11">$D11*H$9</f>
        <v>9942.7279084846305</v>
      </c>
      <c r="I11" s="9">
        <f t="shared" si="11"/>
        <v>3723.0544653320699</v>
      </c>
      <c r="J11" s="9">
        <f t="shared" si="11"/>
        <v>6219.6734431525601</v>
      </c>
      <c r="L11" s="9">
        <f t="shared" ref="L11:N34" si="12">$D11*L$9</f>
        <v>15740.46246586905</v>
      </c>
      <c r="M11" s="9">
        <f t="shared" si="0"/>
        <v>15274.544776879329</v>
      </c>
      <c r="N11" s="9">
        <f t="shared" si="0"/>
        <v>465.91768898972214</v>
      </c>
      <c r="P11" s="9">
        <f t="shared" si="0"/>
        <v>4823.8096256463205</v>
      </c>
      <c r="Q11" s="9">
        <f t="shared" si="0"/>
        <v>5213.7360401017186</v>
      </c>
      <c r="R11" s="9">
        <f t="shared" si="0"/>
        <v>-389.92641445539812</v>
      </c>
      <c r="S11" s="63"/>
      <c r="T11" s="55">
        <f t="shared" si="1"/>
        <v>0.17352829808639997</v>
      </c>
      <c r="U11" s="55">
        <f t="shared" si="2"/>
        <v>0.16004867599074907</v>
      </c>
      <c r="V11" s="55">
        <f t="shared" si="3"/>
        <v>0.1223506321368058</v>
      </c>
      <c r="X11" s="56">
        <f t="shared" ref="X11:X34" si="13">T11*1000*J11</f>
        <v>1079289.3472434431</v>
      </c>
      <c r="Y11" s="56">
        <f t="shared" ref="Y11:Y34" si="14">U11*1000*N11</f>
        <v>74569.509243474633</v>
      </c>
      <c r="Z11" s="56">
        <f t="shared" ref="Z11:Z34" si="15">V11*1000*R11</f>
        <v>-47707.743295456094</v>
      </c>
      <c r="AA11" s="56">
        <f t="shared" ref="AA11:AA34" si="16">SUM(X11:Z11)</f>
        <v>1106151.1131914617</v>
      </c>
      <c r="AC11" s="79">
        <f t="shared" si="4"/>
        <v>162.67090913279995</v>
      </c>
      <c r="AD11" s="63">
        <f t="shared" ref="AD11:AD34" si="17">E11</f>
        <v>24211.335282313117</v>
      </c>
      <c r="AE11" s="56">
        <f t="shared" ref="AE11:AE34" si="18">AC11*AD11</f>
        <v>3938479.9216929106</v>
      </c>
      <c r="AG11" s="56">
        <f>+AG10</f>
        <v>10</v>
      </c>
      <c r="AH11" s="54">
        <f t="shared" ref="AH11:AH34" si="19">D11</f>
        <v>30507</v>
      </c>
      <c r="AI11" s="56">
        <f t="shared" ref="AI11:AI34" si="20">AG11*AH11</f>
        <v>305070</v>
      </c>
      <c r="AK11" s="58">
        <f t="shared" ref="AK11:AK34" si="21">AK10</f>
        <v>0.54</v>
      </c>
      <c r="AL11" s="60">
        <f t="shared" ref="AL11:AL34" si="22">AL10</f>
        <v>0</v>
      </c>
      <c r="AM11" s="60">
        <f t="shared" ref="AM11:AM19" si="23">AM10</f>
        <v>10</v>
      </c>
      <c r="AN11" s="65">
        <f t="shared" ref="AN11:AN34" si="24">AK11*D11</f>
        <v>16473.780000000002</v>
      </c>
      <c r="AO11" s="60">
        <f t="shared" ref="AO11:AO34" si="25">AN11*(AL11+AM11)</f>
        <v>164737.80000000002</v>
      </c>
      <c r="AP11" s="58">
        <f t="shared" si="5"/>
        <v>0.24948969243910574</v>
      </c>
      <c r="AQ11" s="60">
        <f t="shared" si="6"/>
        <v>0</v>
      </c>
      <c r="AR11" s="60">
        <f t="shared" ref="AR11:AR19" si="26">+AR10</f>
        <v>0</v>
      </c>
      <c r="AS11" s="65">
        <f t="shared" ref="AS11:AS34" si="27">AP11*D11</f>
        <v>7611.1820472397985</v>
      </c>
      <c r="AT11" s="60">
        <f t="shared" ref="AT11:AT34" si="28">AS11*(AQ11+AR11)</f>
        <v>0</v>
      </c>
      <c r="AU11" s="106">
        <f t="shared" si="7"/>
        <v>0.21051030756089428</v>
      </c>
      <c r="AV11" s="60">
        <f t="shared" si="8"/>
        <v>0</v>
      </c>
      <c r="AW11" s="60">
        <f t="shared" si="9"/>
        <v>-20</v>
      </c>
      <c r="AX11" s="63">
        <f t="shared" ref="AX11:AX34" si="29">AU11*D11</f>
        <v>6422.0379527602017</v>
      </c>
      <c r="AY11" s="60">
        <f t="shared" ref="AY11:AY34" si="30">AX11*(AV11+AW11)</f>
        <v>-128440.75905520403</v>
      </c>
      <c r="AZ11" s="10"/>
      <c r="BA11" s="77">
        <f t="shared" ref="BA11:BA34" si="31">AO11+AT11+AY11</f>
        <v>36297.040944795983</v>
      </c>
      <c r="BC11">
        <f t="shared" ref="BC11:BC34" si="32">C11</f>
        <v>2021</v>
      </c>
      <c r="BD11" s="11">
        <f t="shared" ref="BD11:BD34" si="33">D11</f>
        <v>30507</v>
      </c>
      <c r="BE11" s="56">
        <f t="shared" ref="BE11:BE34" si="34">AA11+AE11+AI11+BA11</f>
        <v>5385998.0758291688</v>
      </c>
      <c r="BF11" s="112"/>
      <c r="BG11" s="112"/>
    </row>
    <row r="12" spans="3:68" x14ac:dyDescent="0.3">
      <c r="C12">
        <f>'Multiyear Analysis Benefits'!A25</f>
        <v>2022</v>
      </c>
      <c r="D12" s="11">
        <f>'Multiyear Analysis Benefits'!B25</f>
        <v>30354</v>
      </c>
      <c r="E12" s="9">
        <f t="shared" si="10"/>
        <v>24089.909566962742</v>
      </c>
      <c r="F12" s="9">
        <f t="shared" si="10"/>
        <v>6264.0904330372587</v>
      </c>
      <c r="H12" s="9">
        <f t="shared" si="11"/>
        <v>9892.8627178727002</v>
      </c>
      <c r="I12" s="9">
        <f t="shared" si="11"/>
        <v>3704.3824447074326</v>
      </c>
      <c r="J12" s="9">
        <f t="shared" si="11"/>
        <v>6188.4802731652671</v>
      </c>
      <c r="L12" s="9">
        <f t="shared" si="12"/>
        <v>15661.520231061368</v>
      </c>
      <c r="M12" s="9">
        <f t="shared" si="0"/>
        <v>15197.939232221954</v>
      </c>
      <c r="N12" s="9">
        <f t="shared" si="0"/>
        <v>463.58099883941475</v>
      </c>
      <c r="P12" s="9">
        <f t="shared" si="0"/>
        <v>4799.6170510659322</v>
      </c>
      <c r="Q12" s="9">
        <f t="shared" si="0"/>
        <v>5187.5878900333546</v>
      </c>
      <c r="R12" s="9">
        <f t="shared" si="0"/>
        <v>-387.97083896742237</v>
      </c>
      <c r="S12" s="63"/>
      <c r="T12" s="55">
        <f t="shared" si="1"/>
        <v>0.17824826779435002</v>
      </c>
      <c r="U12" s="55">
        <f t="shared" si="2"/>
        <v>0.16440199997769742</v>
      </c>
      <c r="V12" s="55">
        <f t="shared" si="3"/>
        <v>0.12567856933092691</v>
      </c>
      <c r="X12" s="56">
        <f t="shared" si="13"/>
        <v>1103085.8889712149</v>
      </c>
      <c r="Y12" s="56">
        <f t="shared" si="14"/>
        <v>76213.643360858405</v>
      </c>
      <c r="Z12" s="56">
        <f t="shared" si="15"/>
        <v>-48759.619983545075</v>
      </c>
      <c r="AA12" s="56">
        <f t="shared" si="16"/>
        <v>1130539.9123485282</v>
      </c>
      <c r="AC12" s="79">
        <f t="shared" si="4"/>
        <v>167.09555786121209</v>
      </c>
      <c r="AD12" s="63">
        <f t="shared" si="17"/>
        <v>24089.909566962742</v>
      </c>
      <c r="AE12" s="56">
        <f t="shared" si="18"/>
        <v>4025316.8779177894</v>
      </c>
      <c r="AG12" s="56">
        <f t="shared" ref="AG12:AG19" si="35">+AG11</f>
        <v>10</v>
      </c>
      <c r="AH12" s="54">
        <f t="shared" si="19"/>
        <v>30354</v>
      </c>
      <c r="AI12" s="56">
        <f t="shared" si="20"/>
        <v>303540</v>
      </c>
      <c r="AK12" s="58">
        <f t="shared" si="21"/>
        <v>0.54</v>
      </c>
      <c r="AL12" s="60">
        <f t="shared" si="22"/>
        <v>0</v>
      </c>
      <c r="AM12" s="60">
        <f t="shared" si="23"/>
        <v>10</v>
      </c>
      <c r="AN12" s="65">
        <f t="shared" si="24"/>
        <v>16391.16</v>
      </c>
      <c r="AO12" s="60">
        <f t="shared" si="25"/>
        <v>163911.6</v>
      </c>
      <c r="AP12" s="58">
        <f t="shared" si="5"/>
        <v>0.24948969243910574</v>
      </c>
      <c r="AQ12" s="60">
        <f t="shared" si="6"/>
        <v>0</v>
      </c>
      <c r="AR12" s="60">
        <f t="shared" si="26"/>
        <v>0</v>
      </c>
      <c r="AS12" s="65">
        <f t="shared" si="27"/>
        <v>7573.0101242966157</v>
      </c>
      <c r="AT12" s="60">
        <f t="shared" si="28"/>
        <v>0</v>
      </c>
      <c r="AU12" s="106">
        <f t="shared" si="7"/>
        <v>0.21051030756089428</v>
      </c>
      <c r="AV12" s="60">
        <f t="shared" si="8"/>
        <v>0</v>
      </c>
      <c r="AW12" s="60">
        <f t="shared" si="9"/>
        <v>-20</v>
      </c>
      <c r="AX12" s="63">
        <f t="shared" si="29"/>
        <v>6389.8298757033854</v>
      </c>
      <c r="AY12" s="60">
        <f t="shared" si="30"/>
        <v>-127796.5975140677</v>
      </c>
      <c r="AZ12" s="10"/>
      <c r="BA12" s="77">
        <f t="shared" si="31"/>
        <v>36115.002485932302</v>
      </c>
      <c r="BC12">
        <f t="shared" si="32"/>
        <v>2022</v>
      </c>
      <c r="BD12" s="11">
        <f t="shared" si="33"/>
        <v>30354</v>
      </c>
      <c r="BE12" s="56">
        <f t="shared" si="34"/>
        <v>5495511.7927522492</v>
      </c>
      <c r="BF12" s="112"/>
      <c r="BG12" s="112"/>
    </row>
    <row r="13" spans="3:68" x14ac:dyDescent="0.3">
      <c r="C13">
        <f>'Multiyear Analysis Benefits'!A26</f>
        <v>2023</v>
      </c>
      <c r="D13" s="11">
        <f>'Multiyear Analysis Benefits'!B26</f>
        <v>30202</v>
      </c>
      <c r="E13" s="9">
        <f t="shared" si="10"/>
        <v>23969.277483738839</v>
      </c>
      <c r="F13" s="9">
        <f t="shared" si="10"/>
        <v>6232.7225162611603</v>
      </c>
      <c r="H13" s="9">
        <f t="shared" si="11"/>
        <v>9843.3234435392806</v>
      </c>
      <c r="I13" s="9">
        <f t="shared" si="11"/>
        <v>3685.8324634332835</v>
      </c>
      <c r="J13" s="9">
        <f t="shared" si="11"/>
        <v>6157.4909801059966</v>
      </c>
      <c r="L13" s="9">
        <f t="shared" si="12"/>
        <v>15583.09395857269</v>
      </c>
      <c r="M13" s="9">
        <f t="shared" si="0"/>
        <v>15121.83437739894</v>
      </c>
      <c r="N13" s="9">
        <f t="shared" si="0"/>
        <v>461.25958117374989</v>
      </c>
      <c r="P13" s="9">
        <f t="shared" si="0"/>
        <v>4775.5825978880312</v>
      </c>
      <c r="Q13" s="9">
        <f t="shared" si="0"/>
        <v>5161.6106429066149</v>
      </c>
      <c r="R13" s="9">
        <f t="shared" si="0"/>
        <v>-386.02804501858373</v>
      </c>
      <c r="S13" s="63"/>
      <c r="T13" s="55">
        <f t="shared" si="1"/>
        <v>0.18309662067835633</v>
      </c>
      <c r="U13" s="55">
        <f t="shared" si="2"/>
        <v>0.16887373437709077</v>
      </c>
      <c r="V13" s="55">
        <f t="shared" si="3"/>
        <v>0.1290970264167281</v>
      </c>
      <c r="X13" s="56">
        <f t="shared" si="13"/>
        <v>1127415.7903148683</v>
      </c>
      <c r="Y13" s="56">
        <f t="shared" si="14"/>
        <v>77894.62799002399</v>
      </c>
      <c r="Z13" s="56">
        <f t="shared" si="15"/>
        <v>-49835.072725362013</v>
      </c>
      <c r="AA13" s="56">
        <f t="shared" si="16"/>
        <v>1155475.3455795303</v>
      </c>
      <c r="AC13" s="79">
        <f t="shared" si="4"/>
        <v>171.64055703503703</v>
      </c>
      <c r="AD13" s="63">
        <f t="shared" si="17"/>
        <v>23969.277483738839</v>
      </c>
      <c r="AE13" s="56">
        <f t="shared" si="18"/>
        <v>4114100.1390363052</v>
      </c>
      <c r="AG13" s="56">
        <f t="shared" si="35"/>
        <v>10</v>
      </c>
      <c r="AH13" s="54">
        <f t="shared" si="19"/>
        <v>30202</v>
      </c>
      <c r="AI13" s="56">
        <f t="shared" si="20"/>
        <v>302020</v>
      </c>
      <c r="AK13" s="58">
        <f t="shared" si="21"/>
        <v>0.54</v>
      </c>
      <c r="AL13" s="60">
        <f t="shared" si="22"/>
        <v>0</v>
      </c>
      <c r="AM13" s="60">
        <f t="shared" si="23"/>
        <v>10</v>
      </c>
      <c r="AN13" s="65">
        <f t="shared" si="24"/>
        <v>16309.080000000002</v>
      </c>
      <c r="AO13" s="60">
        <f t="shared" si="25"/>
        <v>163090.80000000002</v>
      </c>
      <c r="AP13" s="58">
        <f t="shared" si="5"/>
        <v>0.24948969243910574</v>
      </c>
      <c r="AQ13" s="60">
        <f t="shared" si="6"/>
        <v>0</v>
      </c>
      <c r="AR13" s="60">
        <f t="shared" si="26"/>
        <v>0</v>
      </c>
      <c r="AS13" s="65">
        <f t="shared" si="27"/>
        <v>7535.0876910458719</v>
      </c>
      <c r="AT13" s="60">
        <f t="shared" si="28"/>
        <v>0</v>
      </c>
      <c r="AU13" s="106">
        <f t="shared" si="7"/>
        <v>0.21051030756089428</v>
      </c>
      <c r="AV13" s="60">
        <f t="shared" si="8"/>
        <v>0</v>
      </c>
      <c r="AW13" s="60">
        <f t="shared" si="9"/>
        <v>-20</v>
      </c>
      <c r="AX13" s="63">
        <f t="shared" si="29"/>
        <v>6357.8323089541291</v>
      </c>
      <c r="AY13" s="60">
        <f t="shared" si="30"/>
        <v>-127156.64617908259</v>
      </c>
      <c r="AZ13" s="10"/>
      <c r="BA13" s="77">
        <f t="shared" si="31"/>
        <v>35934.153820917432</v>
      </c>
      <c r="BC13">
        <f t="shared" si="32"/>
        <v>2023</v>
      </c>
      <c r="BD13" s="11">
        <f t="shared" si="33"/>
        <v>30202</v>
      </c>
      <c r="BE13" s="56">
        <f t="shared" si="34"/>
        <v>5607529.6384367524</v>
      </c>
      <c r="BF13" s="112"/>
      <c r="BG13" s="112"/>
    </row>
    <row r="14" spans="3:68" x14ac:dyDescent="0.3">
      <c r="C14">
        <f>'Multiyear Analysis Benefits'!A27</f>
        <v>2024</v>
      </c>
      <c r="D14" s="11">
        <f>'Multiyear Analysis Benefits'!B27</f>
        <v>30051</v>
      </c>
      <c r="E14" s="9">
        <f t="shared" si="10"/>
        <v>23849.43903264141</v>
      </c>
      <c r="F14" s="9">
        <f t="shared" si="10"/>
        <v>6201.5609673585905</v>
      </c>
      <c r="H14" s="9">
        <f t="shared" si="11"/>
        <v>9794.110085484368</v>
      </c>
      <c r="I14" s="9">
        <f t="shared" si="11"/>
        <v>3667.4045215096216</v>
      </c>
      <c r="J14" s="9">
        <f t="shared" si="11"/>
        <v>6126.7055639747468</v>
      </c>
      <c r="L14" s="9">
        <f t="shared" si="12"/>
        <v>15505.183648403017</v>
      </c>
      <c r="M14" s="9">
        <f t="shared" si="0"/>
        <v>15046.23021241029</v>
      </c>
      <c r="N14" s="9">
        <f t="shared" si="0"/>
        <v>458.95343599272752</v>
      </c>
      <c r="P14" s="9">
        <f t="shared" si="0"/>
        <v>4751.7062661126156</v>
      </c>
      <c r="Q14" s="9">
        <f t="shared" si="0"/>
        <v>5135.8042987214976</v>
      </c>
      <c r="R14" s="9">
        <f t="shared" si="0"/>
        <v>-384.09803260888219</v>
      </c>
      <c r="S14" s="63"/>
      <c r="T14" s="55">
        <f t="shared" si="1"/>
        <v>0.1880768487608076</v>
      </c>
      <c r="U14" s="55">
        <f t="shared" si="2"/>
        <v>0.17346709995214762</v>
      </c>
      <c r="V14" s="55">
        <f t="shared" si="3"/>
        <v>0.13260846553526309</v>
      </c>
      <c r="X14" s="56">
        <f t="shared" si="13"/>
        <v>1152291.4757576769</v>
      </c>
      <c r="Y14" s="56">
        <f t="shared" si="14"/>
        <v>79613.321554732058</v>
      </c>
      <c r="Z14" s="56">
        <f t="shared" si="15"/>
        <v>-50934.650719377314</v>
      </c>
      <c r="AA14" s="56">
        <f t="shared" si="16"/>
        <v>1180970.1465930317</v>
      </c>
      <c r="AC14" s="79">
        <f t="shared" si="4"/>
        <v>176.30918018639002</v>
      </c>
      <c r="AD14" s="63">
        <f t="shared" si="17"/>
        <v>23849.43903264141</v>
      </c>
      <c r="AE14" s="56">
        <f t="shared" si="18"/>
        <v>4204875.0437502982</v>
      </c>
      <c r="AG14" s="56">
        <f t="shared" si="35"/>
        <v>10</v>
      </c>
      <c r="AH14" s="54">
        <f t="shared" si="19"/>
        <v>30051</v>
      </c>
      <c r="AI14" s="56">
        <f t="shared" si="20"/>
        <v>300510</v>
      </c>
      <c r="AK14" s="58">
        <f t="shared" si="21"/>
        <v>0.54</v>
      </c>
      <c r="AL14" s="60">
        <f t="shared" si="22"/>
        <v>0</v>
      </c>
      <c r="AM14" s="60">
        <f t="shared" si="23"/>
        <v>10</v>
      </c>
      <c r="AN14" s="65">
        <f t="shared" si="24"/>
        <v>16227.54</v>
      </c>
      <c r="AO14" s="60">
        <f t="shared" si="25"/>
        <v>162275.40000000002</v>
      </c>
      <c r="AP14" s="58">
        <f t="shared" si="5"/>
        <v>0.24948969243910574</v>
      </c>
      <c r="AQ14" s="60">
        <f t="shared" si="6"/>
        <v>0</v>
      </c>
      <c r="AR14" s="60">
        <f t="shared" si="26"/>
        <v>0</v>
      </c>
      <c r="AS14" s="65">
        <f t="shared" si="27"/>
        <v>7497.4147474875663</v>
      </c>
      <c r="AT14" s="60">
        <f t="shared" si="28"/>
        <v>0</v>
      </c>
      <c r="AU14" s="106">
        <f t="shared" si="7"/>
        <v>0.21051030756089428</v>
      </c>
      <c r="AV14" s="60">
        <f t="shared" si="8"/>
        <v>0</v>
      </c>
      <c r="AW14" s="60">
        <f t="shared" si="9"/>
        <v>-20</v>
      </c>
      <c r="AX14" s="63">
        <f t="shared" si="29"/>
        <v>6326.0452525124338</v>
      </c>
      <c r="AY14" s="60">
        <f t="shared" si="30"/>
        <v>-126520.90505024868</v>
      </c>
      <c r="AZ14" s="10"/>
      <c r="BA14" s="77">
        <f t="shared" si="31"/>
        <v>35754.494949751344</v>
      </c>
      <c r="BC14">
        <f t="shared" si="32"/>
        <v>2024</v>
      </c>
      <c r="BD14" s="11">
        <f t="shared" si="33"/>
        <v>30051</v>
      </c>
      <c r="BE14" s="56">
        <f t="shared" si="34"/>
        <v>5722109.6852930812</v>
      </c>
      <c r="BF14" s="112"/>
      <c r="BG14" s="112"/>
    </row>
    <row r="15" spans="3:68" x14ac:dyDescent="0.3">
      <c r="C15">
        <f>'Multiyear Analysis Benefits'!A28</f>
        <v>2025</v>
      </c>
      <c r="D15" s="11">
        <f>'Multiyear Analysis Benefits'!B28</f>
        <v>29901</v>
      </c>
      <c r="E15" s="9">
        <f t="shared" si="10"/>
        <v>23730.394213670454</v>
      </c>
      <c r="F15" s="9">
        <f t="shared" si="10"/>
        <v>6170.6057863295464</v>
      </c>
      <c r="H15" s="9">
        <f t="shared" si="11"/>
        <v>9745.2226437079662</v>
      </c>
      <c r="I15" s="9">
        <f t="shared" si="11"/>
        <v>3649.098618936448</v>
      </c>
      <c r="J15" s="9">
        <f t="shared" si="11"/>
        <v>6096.1240247715186</v>
      </c>
      <c r="L15" s="9">
        <f t="shared" si="12"/>
        <v>15427.789300552347</v>
      </c>
      <c r="M15" s="9">
        <f t="shared" si="0"/>
        <v>14971.126737256</v>
      </c>
      <c r="N15" s="9">
        <f t="shared" si="0"/>
        <v>456.66256329634774</v>
      </c>
      <c r="P15" s="9">
        <f t="shared" si="0"/>
        <v>4727.9880557396864</v>
      </c>
      <c r="Q15" s="9">
        <f t="shared" si="0"/>
        <v>5110.1688574780046</v>
      </c>
      <c r="R15" s="9">
        <f t="shared" si="0"/>
        <v>-382.18080173831777</v>
      </c>
      <c r="S15" s="63"/>
      <c r="T15" s="55">
        <f t="shared" si="1"/>
        <v>0.19319253904710154</v>
      </c>
      <c r="U15" s="55">
        <f t="shared" si="2"/>
        <v>0.17818540507084601</v>
      </c>
      <c r="V15" s="55">
        <f t="shared" si="3"/>
        <v>0.13621541579782223</v>
      </c>
      <c r="X15" s="56">
        <f t="shared" si="13"/>
        <v>1177725.6786916454</v>
      </c>
      <c r="Y15" s="56">
        <f t="shared" si="14"/>
        <v>81370.603821650569</v>
      </c>
      <c r="Z15" s="56">
        <f t="shared" si="15"/>
        <v>-52058.916818730017</v>
      </c>
      <c r="AA15" s="56">
        <f t="shared" si="16"/>
        <v>1207037.3656945659</v>
      </c>
      <c r="AC15" s="79">
        <f t="shared" si="4"/>
        <v>181.10478988745982</v>
      </c>
      <c r="AD15" s="63">
        <f t="shared" si="17"/>
        <v>23730.394213670454</v>
      </c>
      <c r="AE15" s="56">
        <f t="shared" si="18"/>
        <v>4297688.0580133796</v>
      </c>
      <c r="AG15" s="56">
        <f t="shared" si="35"/>
        <v>10</v>
      </c>
      <c r="AH15" s="54">
        <f t="shared" si="19"/>
        <v>29901</v>
      </c>
      <c r="AI15" s="56">
        <f t="shared" si="20"/>
        <v>299010</v>
      </c>
      <c r="AK15" s="58">
        <f t="shared" si="21"/>
        <v>0.54</v>
      </c>
      <c r="AL15" s="60">
        <f t="shared" si="22"/>
        <v>0</v>
      </c>
      <c r="AM15" s="60">
        <f t="shared" si="23"/>
        <v>10</v>
      </c>
      <c r="AN15" s="65">
        <f t="shared" si="24"/>
        <v>16146.54</v>
      </c>
      <c r="AO15" s="60">
        <f t="shared" si="25"/>
        <v>161465.40000000002</v>
      </c>
      <c r="AP15" s="58">
        <f t="shared" si="5"/>
        <v>0.24948969243910574</v>
      </c>
      <c r="AQ15" s="60">
        <f t="shared" si="6"/>
        <v>0</v>
      </c>
      <c r="AR15" s="60">
        <f t="shared" si="26"/>
        <v>0</v>
      </c>
      <c r="AS15" s="65">
        <f t="shared" si="27"/>
        <v>7459.9912936217006</v>
      </c>
      <c r="AT15" s="60">
        <f t="shared" si="28"/>
        <v>0</v>
      </c>
      <c r="AU15" s="106">
        <f t="shared" si="7"/>
        <v>0.21051030756089428</v>
      </c>
      <c r="AV15" s="60">
        <f t="shared" si="8"/>
        <v>0</v>
      </c>
      <c r="AW15" s="60">
        <f t="shared" si="9"/>
        <v>-20</v>
      </c>
      <c r="AX15" s="63">
        <f t="shared" si="29"/>
        <v>6294.4687063783003</v>
      </c>
      <c r="AY15" s="60">
        <f t="shared" si="30"/>
        <v>-125889.374127566</v>
      </c>
      <c r="AZ15" s="10"/>
      <c r="BA15" s="77">
        <f t="shared" si="31"/>
        <v>35576.025872434024</v>
      </c>
      <c r="BC15">
        <f t="shared" si="32"/>
        <v>2025</v>
      </c>
      <c r="BD15" s="11">
        <f t="shared" si="33"/>
        <v>29901</v>
      </c>
      <c r="BE15" s="56">
        <f t="shared" si="34"/>
        <v>5839311.4495803788</v>
      </c>
      <c r="BF15" s="112"/>
      <c r="BG15" s="112"/>
    </row>
    <row r="16" spans="3:68" x14ac:dyDescent="0.3">
      <c r="C16">
        <f>'Multiyear Analysis Benefits'!A29</f>
        <v>2026</v>
      </c>
      <c r="D16" s="11">
        <f>'Multiyear Analysis Benefits'!B29</f>
        <v>29752</v>
      </c>
      <c r="E16" s="9">
        <f t="shared" si="10"/>
        <v>23612.143026825968</v>
      </c>
      <c r="F16" s="9">
        <f t="shared" si="10"/>
        <v>6139.8569731740299</v>
      </c>
      <c r="H16" s="9">
        <f t="shared" si="11"/>
        <v>9696.6611182100733</v>
      </c>
      <c r="I16" s="9">
        <f t="shared" si="11"/>
        <v>3630.9147557137621</v>
      </c>
      <c r="J16" s="9">
        <f t="shared" si="11"/>
        <v>6065.7463624963111</v>
      </c>
      <c r="L16" s="9">
        <f t="shared" si="12"/>
        <v>15350.910915020684</v>
      </c>
      <c r="M16" s="9">
        <f t="shared" si="0"/>
        <v>14896.523951936073</v>
      </c>
      <c r="N16" s="9">
        <f t="shared" si="0"/>
        <v>454.3869630846105</v>
      </c>
      <c r="P16" s="9">
        <f t="shared" si="0"/>
        <v>4704.4279667692435</v>
      </c>
      <c r="Q16" s="9">
        <f t="shared" si="0"/>
        <v>5084.704319176134</v>
      </c>
      <c r="R16" s="9">
        <f t="shared" si="0"/>
        <v>-380.2763524068904</v>
      </c>
      <c r="S16" s="63"/>
      <c r="T16" s="55">
        <f t="shared" si="1"/>
        <v>0.19844737610918267</v>
      </c>
      <c r="U16" s="55">
        <f t="shared" si="2"/>
        <v>0.18303204808877302</v>
      </c>
      <c r="V16" s="55">
        <f t="shared" si="3"/>
        <v>0.13992047510752298</v>
      </c>
      <c r="X16" s="56">
        <f t="shared" si="13"/>
        <v>1203731.449781212</v>
      </c>
      <c r="Y16" s="56">
        <f t="shared" si="14"/>
        <v>83167.376478213962</v>
      </c>
      <c r="Z16" s="56">
        <f t="shared" si="15"/>
        <v>-53208.447900927946</v>
      </c>
      <c r="AA16" s="56">
        <f t="shared" si="16"/>
        <v>1233690.3783584982</v>
      </c>
      <c r="AC16" s="79">
        <f t="shared" si="4"/>
        <v>186.03084017239871</v>
      </c>
      <c r="AD16" s="63">
        <f t="shared" si="17"/>
        <v>23612.143026825968</v>
      </c>
      <c r="AE16" s="56">
        <f t="shared" si="18"/>
        <v>4392586.8055512803</v>
      </c>
      <c r="AG16" s="56">
        <f t="shared" si="35"/>
        <v>10</v>
      </c>
      <c r="AH16" s="54">
        <f t="shared" si="19"/>
        <v>29752</v>
      </c>
      <c r="AI16" s="56">
        <f t="shared" si="20"/>
        <v>297520</v>
      </c>
      <c r="AK16" s="58">
        <f t="shared" si="21"/>
        <v>0.54</v>
      </c>
      <c r="AL16" s="60">
        <f t="shared" si="22"/>
        <v>0</v>
      </c>
      <c r="AM16" s="60">
        <f t="shared" si="23"/>
        <v>10</v>
      </c>
      <c r="AN16" s="65">
        <f t="shared" si="24"/>
        <v>16066.080000000002</v>
      </c>
      <c r="AO16" s="60">
        <f t="shared" si="25"/>
        <v>160660.80000000002</v>
      </c>
      <c r="AP16" s="58">
        <f t="shared" si="5"/>
        <v>0.24948969243910574</v>
      </c>
      <c r="AQ16" s="60">
        <f t="shared" si="6"/>
        <v>0</v>
      </c>
      <c r="AR16" s="60">
        <f t="shared" si="26"/>
        <v>0</v>
      </c>
      <c r="AS16" s="65">
        <f t="shared" si="27"/>
        <v>7422.817329448274</v>
      </c>
      <c r="AT16" s="60">
        <f t="shared" si="28"/>
        <v>0</v>
      </c>
      <c r="AU16" s="106">
        <f t="shared" si="7"/>
        <v>0.21051030756089428</v>
      </c>
      <c r="AV16" s="60">
        <f t="shared" si="8"/>
        <v>0</v>
      </c>
      <c r="AW16" s="60">
        <f t="shared" si="9"/>
        <v>-20</v>
      </c>
      <c r="AX16" s="63">
        <f t="shared" si="29"/>
        <v>6263.102670551727</v>
      </c>
      <c r="AY16" s="60">
        <f t="shared" si="30"/>
        <v>-125262.05341103455</v>
      </c>
      <c r="AZ16" s="10"/>
      <c r="BA16" s="77">
        <f t="shared" si="31"/>
        <v>35398.74658896547</v>
      </c>
      <c r="BC16">
        <f t="shared" si="32"/>
        <v>2026</v>
      </c>
      <c r="BD16" s="11">
        <f t="shared" si="33"/>
        <v>29752</v>
      </c>
      <c r="BE16" s="56">
        <f t="shared" si="34"/>
        <v>5959195.9304987444</v>
      </c>
      <c r="BF16" s="112"/>
      <c r="BG16" s="112"/>
    </row>
    <row r="17" spans="3:59" x14ac:dyDescent="0.3">
      <c r="C17">
        <f>'Multiyear Analysis Benefits'!A30</f>
        <v>2027</v>
      </c>
      <c r="D17" s="11">
        <f>'Multiyear Analysis Benefits'!B30</f>
        <v>29603</v>
      </c>
      <c r="E17" s="9">
        <f t="shared" si="10"/>
        <v>23493.891839981487</v>
      </c>
      <c r="F17" s="9">
        <f t="shared" si="10"/>
        <v>6109.1081600185134</v>
      </c>
      <c r="H17" s="9">
        <f t="shared" si="11"/>
        <v>9648.0995927121821</v>
      </c>
      <c r="I17" s="9">
        <f t="shared" si="11"/>
        <v>3612.7308924910762</v>
      </c>
      <c r="J17" s="9">
        <f t="shared" si="11"/>
        <v>6035.3687002211045</v>
      </c>
      <c r="L17" s="9">
        <f t="shared" si="12"/>
        <v>15274.032529489019</v>
      </c>
      <c r="M17" s="9">
        <f t="shared" si="0"/>
        <v>14821.921166616146</v>
      </c>
      <c r="N17" s="9">
        <f t="shared" si="0"/>
        <v>452.11136287287326</v>
      </c>
      <c r="P17" s="9">
        <f t="shared" si="0"/>
        <v>4680.8678777988007</v>
      </c>
      <c r="Q17" s="9">
        <f t="shared" si="0"/>
        <v>5059.2397808742635</v>
      </c>
      <c r="R17" s="9">
        <f t="shared" si="0"/>
        <v>-378.37190307546302</v>
      </c>
      <c r="S17" s="63"/>
      <c r="T17" s="55">
        <f t="shared" si="1"/>
        <v>0.20384514473935242</v>
      </c>
      <c r="U17" s="55">
        <f t="shared" si="2"/>
        <v>0.18801051979678762</v>
      </c>
      <c r="V17" s="55">
        <f t="shared" si="3"/>
        <v>0.14372631203044758</v>
      </c>
      <c r="X17" s="56">
        <f t="shared" si="13"/>
        <v>1230280.6062519283</v>
      </c>
      <c r="Y17" s="56">
        <f t="shared" si="14"/>
        <v>85001.692339762973</v>
      </c>
      <c r="Z17" s="56">
        <f t="shared" si="15"/>
        <v>-54381.99820497827</v>
      </c>
      <c r="AA17" s="56">
        <f t="shared" si="16"/>
        <v>1260900.3003867131</v>
      </c>
      <c r="AC17" s="79">
        <f t="shared" si="4"/>
        <v>191.09087902508793</v>
      </c>
      <c r="AD17" s="63">
        <f t="shared" si="17"/>
        <v>23493.891839981487</v>
      </c>
      <c r="AE17" s="56">
        <f t="shared" si="18"/>
        <v>4489468.4434224023</v>
      </c>
      <c r="AG17" s="56">
        <f t="shared" si="35"/>
        <v>10</v>
      </c>
      <c r="AH17" s="54">
        <f t="shared" si="19"/>
        <v>29603</v>
      </c>
      <c r="AI17" s="56">
        <f t="shared" si="20"/>
        <v>296030</v>
      </c>
      <c r="AK17" s="58">
        <f t="shared" si="21"/>
        <v>0.54</v>
      </c>
      <c r="AL17" s="60">
        <f t="shared" si="22"/>
        <v>0</v>
      </c>
      <c r="AM17" s="60">
        <f t="shared" si="23"/>
        <v>10</v>
      </c>
      <c r="AN17" s="65">
        <f t="shared" si="24"/>
        <v>15985.62</v>
      </c>
      <c r="AO17" s="60">
        <f t="shared" si="25"/>
        <v>159856.20000000001</v>
      </c>
      <c r="AP17" s="58">
        <f t="shared" si="5"/>
        <v>0.24948969243910574</v>
      </c>
      <c r="AQ17" s="60">
        <f t="shared" si="6"/>
        <v>0</v>
      </c>
      <c r="AR17" s="60">
        <f t="shared" si="26"/>
        <v>0</v>
      </c>
      <c r="AS17" s="65">
        <f t="shared" si="27"/>
        <v>7385.6433652748474</v>
      </c>
      <c r="AT17" s="60">
        <f t="shared" si="28"/>
        <v>0</v>
      </c>
      <c r="AU17" s="106">
        <f t="shared" si="7"/>
        <v>0.21051030756089428</v>
      </c>
      <c r="AV17" s="60">
        <f t="shared" si="8"/>
        <v>0</v>
      </c>
      <c r="AW17" s="60">
        <f t="shared" si="9"/>
        <v>-20</v>
      </c>
      <c r="AX17" s="63">
        <f t="shared" si="29"/>
        <v>6231.7366347251536</v>
      </c>
      <c r="AY17" s="60">
        <f t="shared" si="30"/>
        <v>-124634.73269450307</v>
      </c>
      <c r="AZ17" s="10"/>
      <c r="BA17" s="77">
        <f t="shared" si="31"/>
        <v>35221.467305496946</v>
      </c>
      <c r="BC17">
        <f t="shared" si="32"/>
        <v>2027</v>
      </c>
      <c r="BD17" s="11">
        <f t="shared" si="33"/>
        <v>29603</v>
      </c>
      <c r="BE17" s="56">
        <f t="shared" si="34"/>
        <v>6081620.2111146124</v>
      </c>
      <c r="BF17" s="112"/>
      <c r="BG17" s="112"/>
    </row>
    <row r="18" spans="3:59" x14ac:dyDescent="0.3">
      <c r="C18">
        <f>'Multiyear Analysis Benefits'!A31</f>
        <v>2028</v>
      </c>
      <c r="D18" s="11">
        <f>'Multiyear Analysis Benefits'!B31</f>
        <v>29455</v>
      </c>
      <c r="E18" s="9">
        <f t="shared" si="10"/>
        <v>23376.434285263476</v>
      </c>
      <c r="F18" s="9">
        <f t="shared" si="10"/>
        <v>6078.5657147365237</v>
      </c>
      <c r="H18" s="9">
        <f t="shared" si="11"/>
        <v>9599.8639834927981</v>
      </c>
      <c r="I18" s="9">
        <f t="shared" si="11"/>
        <v>3594.6690686188781</v>
      </c>
      <c r="J18" s="9">
        <f t="shared" si="11"/>
        <v>6005.1949148739195</v>
      </c>
      <c r="L18" s="9">
        <f t="shared" si="12"/>
        <v>15197.670106276359</v>
      </c>
      <c r="M18" s="9">
        <f t="shared" si="0"/>
        <v>14747.819071130582</v>
      </c>
      <c r="N18" s="9">
        <f t="shared" si="0"/>
        <v>449.8510351457785</v>
      </c>
      <c r="P18" s="9">
        <f t="shared" si="0"/>
        <v>4657.4659102308442</v>
      </c>
      <c r="Q18" s="9">
        <f t="shared" si="0"/>
        <v>5033.9461455140172</v>
      </c>
      <c r="R18" s="9">
        <f t="shared" si="0"/>
        <v>-376.48023528317276</v>
      </c>
      <c r="S18" s="63"/>
      <c r="T18" s="55">
        <f t="shared" si="1"/>
        <v>0.20938973267626279</v>
      </c>
      <c r="U18" s="55">
        <f t="shared" si="2"/>
        <v>0.19312440593526023</v>
      </c>
      <c r="V18" s="55">
        <f t="shared" si="3"/>
        <v>0.14763566771767575</v>
      </c>
      <c r="X18" s="56">
        <f t="shared" si="13"/>
        <v>1257426.1578943026</v>
      </c>
      <c r="Y18" s="56">
        <f t="shared" si="14"/>
        <v>86877.213921890347</v>
      </c>
      <c r="Z18" s="56">
        <f t="shared" si="15"/>
        <v>-55581.910918538881</v>
      </c>
      <c r="AA18" s="56">
        <f t="shared" si="16"/>
        <v>1288721.4608976541</v>
      </c>
      <c r="AC18" s="79">
        <f t="shared" si="4"/>
        <v>196.28855093457031</v>
      </c>
      <c r="AD18" s="63">
        <f t="shared" si="17"/>
        <v>23376.434285263476</v>
      </c>
      <c r="AE18" s="56">
        <f t="shared" si="18"/>
        <v>4588526.4118715758</v>
      </c>
      <c r="AG18" s="56">
        <f t="shared" si="35"/>
        <v>10</v>
      </c>
      <c r="AH18" s="54">
        <f t="shared" si="19"/>
        <v>29455</v>
      </c>
      <c r="AI18" s="56">
        <f t="shared" si="20"/>
        <v>294550</v>
      </c>
      <c r="AK18" s="58">
        <f t="shared" si="21"/>
        <v>0.54</v>
      </c>
      <c r="AL18" s="60">
        <f t="shared" si="22"/>
        <v>0</v>
      </c>
      <c r="AM18" s="60">
        <f>AM17</f>
        <v>10</v>
      </c>
      <c r="AN18" s="65">
        <f t="shared" si="24"/>
        <v>15905.7</v>
      </c>
      <c r="AO18" s="60">
        <f t="shared" si="25"/>
        <v>159057</v>
      </c>
      <c r="AP18" s="58">
        <f t="shared" si="5"/>
        <v>0.24948969243910574</v>
      </c>
      <c r="AQ18" s="60">
        <f t="shared" si="6"/>
        <v>0</v>
      </c>
      <c r="AR18" s="60">
        <f t="shared" si="26"/>
        <v>0</v>
      </c>
      <c r="AS18" s="65">
        <f t="shared" si="27"/>
        <v>7348.7188907938598</v>
      </c>
      <c r="AT18" s="60">
        <f t="shared" si="28"/>
        <v>0</v>
      </c>
      <c r="AU18" s="106">
        <f t="shared" si="7"/>
        <v>0.21051030756089428</v>
      </c>
      <c r="AV18" s="60">
        <f t="shared" si="8"/>
        <v>0</v>
      </c>
      <c r="AW18" s="60">
        <f t="shared" si="9"/>
        <v>-20</v>
      </c>
      <c r="AX18" s="63">
        <f t="shared" si="29"/>
        <v>6200.5811092061413</v>
      </c>
      <c r="AY18" s="60">
        <f t="shared" si="30"/>
        <v>-124011.62218412283</v>
      </c>
      <c r="AZ18" s="10"/>
      <c r="BA18" s="77">
        <f t="shared" si="31"/>
        <v>35045.377815877175</v>
      </c>
      <c r="BC18">
        <f t="shared" si="32"/>
        <v>2028</v>
      </c>
      <c r="BD18" s="11">
        <f t="shared" si="33"/>
        <v>29455</v>
      </c>
      <c r="BE18" s="56">
        <f t="shared" si="34"/>
        <v>6206843.2505851071</v>
      </c>
      <c r="BF18" s="112"/>
      <c r="BG18" s="112"/>
    </row>
    <row r="19" spans="3:59" x14ac:dyDescent="0.3">
      <c r="C19">
        <f>'Multiyear Analysis Benefits'!A32</f>
        <v>2029</v>
      </c>
      <c r="D19" s="11">
        <f>'Multiyear Analysis Benefits'!B32</f>
        <v>29308</v>
      </c>
      <c r="E19" s="9">
        <f t="shared" si="10"/>
        <v>23259.770362671938</v>
      </c>
      <c r="F19" s="9">
        <f t="shared" si="10"/>
        <v>6048.2296373280615</v>
      </c>
      <c r="H19" s="9">
        <f t="shared" si="11"/>
        <v>9551.9542905519247</v>
      </c>
      <c r="I19" s="9">
        <f t="shared" si="11"/>
        <v>3576.7292840971681</v>
      </c>
      <c r="J19" s="9">
        <f t="shared" si="11"/>
        <v>5975.2250064547561</v>
      </c>
      <c r="L19" s="9">
        <f t="shared" si="12"/>
        <v>15121.823645382703</v>
      </c>
      <c r="M19" s="9">
        <f t="shared" si="0"/>
        <v>14674.217665479377</v>
      </c>
      <c r="N19" s="9">
        <f t="shared" si="0"/>
        <v>447.60597990332633</v>
      </c>
      <c r="P19" s="9">
        <f t="shared" si="0"/>
        <v>4634.2220640653741</v>
      </c>
      <c r="Q19" s="9">
        <f t="shared" si="0"/>
        <v>5008.8234130953933</v>
      </c>
      <c r="R19" s="9">
        <f t="shared" si="0"/>
        <v>-374.60134903001961</v>
      </c>
      <c r="S19" s="63"/>
      <c r="T19" s="55">
        <f t="shared" si="1"/>
        <v>0.21508513340505711</v>
      </c>
      <c r="U19" s="55">
        <f t="shared" si="2"/>
        <v>0.19837738977669928</v>
      </c>
      <c r="V19" s="55">
        <f t="shared" si="3"/>
        <v>0.15165135787959652</v>
      </c>
      <c r="X19" s="56">
        <f t="shared" si="13"/>
        <v>1285182.0676385546</v>
      </c>
      <c r="Y19" s="56">
        <f t="shared" si="14"/>
        <v>88794.905941663601</v>
      </c>
      <c r="Z19" s="56">
        <f t="shared" si="15"/>
        <v>-56808.803243931157</v>
      </c>
      <c r="AA19" s="56">
        <f t="shared" si="16"/>
        <v>1317168.170336287</v>
      </c>
      <c r="AC19" s="79">
        <f t="shared" si="4"/>
        <v>201.62759951999061</v>
      </c>
      <c r="AD19" s="63">
        <f t="shared" si="17"/>
        <v>23259.770362671938</v>
      </c>
      <c r="AE19" s="56">
        <f t="shared" si="18"/>
        <v>4689811.6636117641</v>
      </c>
      <c r="AG19" s="56">
        <f t="shared" si="35"/>
        <v>10</v>
      </c>
      <c r="AH19" s="54">
        <f t="shared" si="19"/>
        <v>29308</v>
      </c>
      <c r="AI19" s="56">
        <f t="shared" si="20"/>
        <v>293080</v>
      </c>
      <c r="AK19" s="58">
        <f t="shared" si="21"/>
        <v>0.54</v>
      </c>
      <c r="AL19" s="60">
        <f t="shared" si="22"/>
        <v>0</v>
      </c>
      <c r="AM19" s="60">
        <f t="shared" si="23"/>
        <v>10</v>
      </c>
      <c r="AN19" s="65">
        <f t="shared" si="24"/>
        <v>15826.320000000002</v>
      </c>
      <c r="AO19" s="60">
        <f t="shared" si="25"/>
        <v>158263.20000000001</v>
      </c>
      <c r="AP19" s="58">
        <f t="shared" si="5"/>
        <v>0.24948969243910574</v>
      </c>
      <c r="AQ19" s="60">
        <f t="shared" si="6"/>
        <v>0</v>
      </c>
      <c r="AR19" s="60">
        <f t="shared" si="26"/>
        <v>0</v>
      </c>
      <c r="AS19" s="65">
        <f t="shared" si="27"/>
        <v>7312.0439060053113</v>
      </c>
      <c r="AT19" s="60">
        <f t="shared" si="28"/>
        <v>0</v>
      </c>
      <c r="AU19" s="106">
        <f t="shared" si="7"/>
        <v>0.21051030756089428</v>
      </c>
      <c r="AV19" s="60">
        <f t="shared" si="8"/>
        <v>0</v>
      </c>
      <c r="AW19" s="60">
        <f t="shared" si="9"/>
        <v>-20</v>
      </c>
      <c r="AX19" s="63">
        <f t="shared" si="29"/>
        <v>6169.6360939946899</v>
      </c>
      <c r="AY19" s="60">
        <f t="shared" si="30"/>
        <v>-123392.7218798938</v>
      </c>
      <c r="AZ19" s="10"/>
      <c r="BA19" s="77">
        <f t="shared" si="31"/>
        <v>34870.478120106214</v>
      </c>
      <c r="BC19">
        <f t="shared" si="32"/>
        <v>2029</v>
      </c>
      <c r="BD19" s="11">
        <f t="shared" si="33"/>
        <v>29308</v>
      </c>
      <c r="BE19" s="56">
        <f t="shared" si="34"/>
        <v>6334930.3120681578</v>
      </c>
      <c r="BF19" s="112"/>
      <c r="BG19" s="112"/>
    </row>
    <row r="20" spans="3:59" x14ac:dyDescent="0.3">
      <c r="C20">
        <f>'Multiyear Analysis Benefits'!A33</f>
        <v>2030</v>
      </c>
      <c r="D20" s="11">
        <f>'Multiyear Analysis Benefits'!B33</f>
        <v>29161</v>
      </c>
      <c r="E20" s="9">
        <f t="shared" si="10"/>
        <v>23143.106440080403</v>
      </c>
      <c r="F20" s="9">
        <f t="shared" si="10"/>
        <v>6017.8935599195984</v>
      </c>
      <c r="H20" s="9">
        <f t="shared" si="11"/>
        <v>9504.0445976110495</v>
      </c>
      <c r="I20" s="9">
        <f t="shared" si="11"/>
        <v>3558.7894995754577</v>
      </c>
      <c r="J20" s="9">
        <f t="shared" si="11"/>
        <v>5945.2550980355927</v>
      </c>
      <c r="L20" s="9">
        <f t="shared" si="12"/>
        <v>15045.977184489047</v>
      </c>
      <c r="M20" s="9">
        <f t="shared" si="0"/>
        <v>14600.616259828173</v>
      </c>
      <c r="N20" s="9">
        <f t="shared" si="0"/>
        <v>445.3609246608741</v>
      </c>
      <c r="P20" s="9">
        <f t="shared" si="0"/>
        <v>4610.978217899903</v>
      </c>
      <c r="Q20" s="9">
        <f t="shared" si="0"/>
        <v>4983.7006806767695</v>
      </c>
      <c r="R20" s="9">
        <f t="shared" si="0"/>
        <v>-372.72246277686645</v>
      </c>
      <c r="S20" s="63"/>
      <c r="T20" s="55">
        <f t="shared" si="1"/>
        <v>0.22093544903367465</v>
      </c>
      <c r="U20" s="55">
        <f t="shared" si="2"/>
        <v>0.20377325477862548</v>
      </c>
      <c r="V20" s="55">
        <f t="shared" si="3"/>
        <v>0.15577627481392153</v>
      </c>
      <c r="X20" s="56">
        <f t="shared" si="13"/>
        <v>1313517.6047042371</v>
      </c>
      <c r="Y20" s="56">
        <f t="shared" si="14"/>
        <v>90752.645169364521</v>
      </c>
      <c r="Z20" s="56">
        <f t="shared" si="15"/>
        <v>-58061.316790850789</v>
      </c>
      <c r="AA20" s="56">
        <f t="shared" si="16"/>
        <v>1346208.9330827508</v>
      </c>
      <c r="AC20" s="79">
        <f t="shared" si="4"/>
        <v>207.11187022693434</v>
      </c>
      <c r="AD20" s="63">
        <f t="shared" si="17"/>
        <v>23143.106440080403</v>
      </c>
      <c r="AE20" s="56">
        <f t="shared" si="18"/>
        <v>4793212.0576660605</v>
      </c>
      <c r="AG20" s="81">
        <v>0</v>
      </c>
      <c r="AH20" s="54">
        <f t="shared" si="19"/>
        <v>29161</v>
      </c>
      <c r="AI20" s="56">
        <f t="shared" si="20"/>
        <v>0</v>
      </c>
      <c r="AK20" s="58">
        <f t="shared" si="21"/>
        <v>0.54</v>
      </c>
      <c r="AL20" s="60">
        <f t="shared" si="22"/>
        <v>0</v>
      </c>
      <c r="AM20" s="10"/>
      <c r="AN20" s="65">
        <f t="shared" si="24"/>
        <v>15746.94</v>
      </c>
      <c r="AO20" s="60">
        <f t="shared" si="25"/>
        <v>0</v>
      </c>
      <c r="AP20" s="58">
        <f t="shared" si="5"/>
        <v>0.24948969243910574</v>
      </c>
      <c r="AQ20" s="60">
        <f t="shared" si="6"/>
        <v>0</v>
      </c>
      <c r="AR20" s="60"/>
      <c r="AS20" s="65">
        <f t="shared" si="27"/>
        <v>7275.3689212167628</v>
      </c>
      <c r="AT20" s="60">
        <f t="shared" si="28"/>
        <v>0</v>
      </c>
      <c r="AU20" s="106">
        <f t="shared" si="7"/>
        <v>0.21051030756089428</v>
      </c>
      <c r="AV20" s="60">
        <f t="shared" si="8"/>
        <v>0</v>
      </c>
      <c r="AW20" s="60">
        <f t="shared" si="9"/>
        <v>-20</v>
      </c>
      <c r="AX20" s="63">
        <f t="shared" si="29"/>
        <v>6138.6910787832385</v>
      </c>
      <c r="AY20" s="60">
        <f t="shared" si="30"/>
        <v>-122773.82157566477</v>
      </c>
      <c r="AZ20" s="10"/>
      <c r="BA20" s="77">
        <f t="shared" si="31"/>
        <v>-122773.82157566477</v>
      </c>
      <c r="BC20">
        <f t="shared" si="32"/>
        <v>2030</v>
      </c>
      <c r="BD20" s="11">
        <f t="shared" si="33"/>
        <v>29161</v>
      </c>
      <c r="BE20" s="56">
        <f t="shared" si="34"/>
        <v>6016647.1691731466</v>
      </c>
      <c r="BF20" s="112"/>
      <c r="BG20" s="112"/>
    </row>
    <row r="21" spans="3:59" x14ac:dyDescent="0.3">
      <c r="C21">
        <f>'Multiyear Analysis Benefits'!A34</f>
        <v>2031</v>
      </c>
      <c r="D21" s="11">
        <f>'Multiyear Analysis Benefits'!B34</f>
        <v>29015</v>
      </c>
      <c r="E21" s="9">
        <f t="shared" si="10"/>
        <v>23027.236149615339</v>
      </c>
      <c r="F21" s="9">
        <f t="shared" si="10"/>
        <v>5987.7638503846629</v>
      </c>
      <c r="H21" s="9">
        <f t="shared" si="11"/>
        <v>9456.4608209486851</v>
      </c>
      <c r="I21" s="9">
        <f t="shared" si="11"/>
        <v>3540.9717544042355</v>
      </c>
      <c r="J21" s="9">
        <f t="shared" si="11"/>
        <v>5915.48906654445</v>
      </c>
      <c r="L21" s="9">
        <f t="shared" si="12"/>
        <v>14970.646685914397</v>
      </c>
      <c r="M21" s="9">
        <f t="shared" si="0"/>
        <v>14527.515544011332</v>
      </c>
      <c r="N21" s="9">
        <f t="shared" si="0"/>
        <v>443.13114190306447</v>
      </c>
      <c r="P21" s="9">
        <f t="shared" si="0"/>
        <v>4587.8924931369183</v>
      </c>
      <c r="Q21" s="9">
        <f t="shared" si="0"/>
        <v>4958.748851199769</v>
      </c>
      <c r="R21" s="9">
        <f t="shared" si="0"/>
        <v>-370.8563580628504</v>
      </c>
      <c r="S21" s="63"/>
      <c r="T21" s="55">
        <f t="shared" si="1"/>
        <v>0.22694489324739059</v>
      </c>
      <c r="U21" s="55">
        <f t="shared" si="2"/>
        <v>0.20931588730860406</v>
      </c>
      <c r="V21" s="55">
        <f t="shared" si="3"/>
        <v>0.16001338948886018</v>
      </c>
      <c r="X21" s="56">
        <f t="shared" si="13"/>
        <v>1342490.0347130364</v>
      </c>
      <c r="Y21" s="56">
        <f t="shared" si="14"/>
        <v>92754.388161514886</v>
      </c>
      <c r="Z21" s="56">
        <f t="shared" si="15"/>
        <v>-59341.982867131075</v>
      </c>
      <c r="AA21" s="56">
        <f t="shared" si="16"/>
        <v>1375902.4400074203</v>
      </c>
      <c r="AC21" s="79">
        <f t="shared" si="4"/>
        <v>212.74531309710693</v>
      </c>
      <c r="AD21" s="63">
        <f t="shared" si="17"/>
        <v>23027.236149615339</v>
      </c>
      <c r="AE21" s="56">
        <f t="shared" si="18"/>
        <v>4898936.5644109342</v>
      </c>
      <c r="AG21" s="56">
        <f>+AG20</f>
        <v>0</v>
      </c>
      <c r="AH21" s="54">
        <f t="shared" si="19"/>
        <v>29015</v>
      </c>
      <c r="AI21" s="56">
        <f t="shared" si="20"/>
        <v>0</v>
      </c>
      <c r="AK21" s="58">
        <f t="shared" si="21"/>
        <v>0.54</v>
      </c>
      <c r="AL21" s="60">
        <f t="shared" si="22"/>
        <v>0</v>
      </c>
      <c r="AM21" s="10"/>
      <c r="AN21" s="65">
        <f t="shared" si="24"/>
        <v>15668.1</v>
      </c>
      <c r="AO21" s="60">
        <f t="shared" si="25"/>
        <v>0</v>
      </c>
      <c r="AP21" s="58">
        <f t="shared" si="5"/>
        <v>0.24948969243910574</v>
      </c>
      <c r="AQ21" s="60">
        <f t="shared" si="6"/>
        <v>0</v>
      </c>
      <c r="AR21" s="60"/>
      <c r="AS21" s="65">
        <f t="shared" si="27"/>
        <v>7238.9434261206534</v>
      </c>
      <c r="AT21" s="60">
        <f t="shared" si="28"/>
        <v>0</v>
      </c>
      <c r="AU21" s="106">
        <f t="shared" si="7"/>
        <v>0.21051030756089428</v>
      </c>
      <c r="AV21" s="60">
        <f t="shared" si="8"/>
        <v>0</v>
      </c>
      <c r="AW21" s="60">
        <f t="shared" si="9"/>
        <v>-20</v>
      </c>
      <c r="AX21" s="63">
        <f t="shared" si="29"/>
        <v>6107.9565738793481</v>
      </c>
      <c r="AY21" s="60">
        <f t="shared" si="30"/>
        <v>-122159.13147758695</v>
      </c>
      <c r="AZ21" s="10"/>
      <c r="BA21" s="77">
        <f t="shared" si="31"/>
        <v>-122159.13147758695</v>
      </c>
      <c r="BC21">
        <f t="shared" si="32"/>
        <v>2031</v>
      </c>
      <c r="BD21" s="11">
        <f t="shared" si="33"/>
        <v>29015</v>
      </c>
      <c r="BE21" s="56">
        <f t="shared" si="34"/>
        <v>6152679.8729407676</v>
      </c>
      <c r="BF21" s="112"/>
      <c r="BG21" s="112"/>
    </row>
    <row r="22" spans="3:59" x14ac:dyDescent="0.3">
      <c r="C22">
        <f>'Multiyear Analysis Benefits'!A35</f>
        <v>2032</v>
      </c>
      <c r="D22" s="11">
        <f>'Multiyear Analysis Benefits'!B35</f>
        <v>28870</v>
      </c>
      <c r="E22" s="9">
        <f t="shared" si="10"/>
        <v>22912.159491276747</v>
      </c>
      <c r="F22" s="9">
        <f t="shared" si="10"/>
        <v>5957.8405087232541</v>
      </c>
      <c r="H22" s="9">
        <f t="shared" si="11"/>
        <v>9409.2029605648313</v>
      </c>
      <c r="I22" s="9">
        <f t="shared" si="11"/>
        <v>3523.2760485835006</v>
      </c>
      <c r="J22" s="9">
        <f t="shared" si="11"/>
        <v>5885.9269119813298</v>
      </c>
      <c r="L22" s="9">
        <f t="shared" si="12"/>
        <v>14895.83214965875</v>
      </c>
      <c r="M22" s="9">
        <f t="shared" si="0"/>
        <v>14454.915518028853</v>
      </c>
      <c r="N22" s="9">
        <f t="shared" si="0"/>
        <v>440.91663162989732</v>
      </c>
      <c r="P22" s="9">
        <f t="shared" si="0"/>
        <v>4564.9648897764209</v>
      </c>
      <c r="Q22" s="9">
        <f t="shared" si="0"/>
        <v>4933.9679246643918</v>
      </c>
      <c r="R22" s="9">
        <f t="shared" si="0"/>
        <v>-369.00303488797141</v>
      </c>
      <c r="S22" s="63"/>
      <c r="T22" s="55">
        <f t="shared" si="1"/>
        <v>0.2331177943437196</v>
      </c>
      <c r="U22" s="55">
        <f t="shared" si="2"/>
        <v>0.21500927944339807</v>
      </c>
      <c r="V22" s="55">
        <f t="shared" si="3"/>
        <v>0.16436575368295717</v>
      </c>
      <c r="X22" s="56">
        <f t="shared" si="13"/>
        <v>1372114.2993894282</v>
      </c>
      <c r="Y22" s="56">
        <f t="shared" si="14"/>
        <v>94801.167261354407</v>
      </c>
      <c r="Z22" s="56">
        <f t="shared" si="15"/>
        <v>-60651.46194065996</v>
      </c>
      <c r="AA22" s="56">
        <f t="shared" si="16"/>
        <v>1406264.0047101227</v>
      </c>
      <c r="AC22" s="79">
        <f t="shared" si="4"/>
        <v>218.53198561334821</v>
      </c>
      <c r="AD22" s="63">
        <f t="shared" si="17"/>
        <v>22912.159491276747</v>
      </c>
      <c r="AE22" s="56">
        <f t="shared" si="18"/>
        <v>5007039.70831843</v>
      </c>
      <c r="AG22" s="56">
        <f t="shared" ref="AG22:AG34" si="36">+AG21</f>
        <v>0</v>
      </c>
      <c r="AH22" s="54">
        <f t="shared" si="19"/>
        <v>28870</v>
      </c>
      <c r="AI22" s="56">
        <f t="shared" si="20"/>
        <v>0</v>
      </c>
      <c r="AK22" s="58">
        <f t="shared" si="21"/>
        <v>0.54</v>
      </c>
      <c r="AL22" s="60">
        <f t="shared" si="22"/>
        <v>0</v>
      </c>
      <c r="AM22" s="10"/>
      <c r="AN22" s="65">
        <f t="shared" si="24"/>
        <v>15589.800000000001</v>
      </c>
      <c r="AO22" s="60">
        <f t="shared" si="25"/>
        <v>0</v>
      </c>
      <c r="AP22" s="58">
        <f t="shared" si="5"/>
        <v>0.24948969243910574</v>
      </c>
      <c r="AQ22" s="60">
        <f t="shared" si="6"/>
        <v>0</v>
      </c>
      <c r="AR22" s="60"/>
      <c r="AS22" s="65">
        <f t="shared" si="27"/>
        <v>7202.767420716983</v>
      </c>
      <c r="AT22" s="60">
        <f t="shared" si="28"/>
        <v>0</v>
      </c>
      <c r="AU22" s="106">
        <f t="shared" si="7"/>
        <v>0.21051030756089428</v>
      </c>
      <c r="AV22" s="60">
        <f t="shared" si="8"/>
        <v>0</v>
      </c>
      <c r="AW22" s="60">
        <f t="shared" si="9"/>
        <v>-20</v>
      </c>
      <c r="AX22" s="63">
        <f t="shared" si="29"/>
        <v>6077.4325792830177</v>
      </c>
      <c r="AY22" s="60">
        <f t="shared" si="30"/>
        <v>-121548.65158566035</v>
      </c>
      <c r="AZ22" s="10"/>
      <c r="BA22" s="77">
        <f t="shared" si="31"/>
        <v>-121548.65158566035</v>
      </c>
      <c r="BC22">
        <f t="shared" si="32"/>
        <v>2032</v>
      </c>
      <c r="BD22" s="11">
        <f t="shared" si="33"/>
        <v>28870</v>
      </c>
      <c r="BE22" s="56">
        <f t="shared" si="34"/>
        <v>6291755.061442893</v>
      </c>
      <c r="BF22" s="112"/>
      <c r="BG22" s="112"/>
    </row>
    <row r="23" spans="3:59" x14ac:dyDescent="0.3">
      <c r="C23">
        <f>'Multiyear Analysis Benefits'!A36</f>
        <v>2033</v>
      </c>
      <c r="D23" s="11">
        <f>'Multiyear Analysis Benefits'!B36</f>
        <v>28726</v>
      </c>
      <c r="E23" s="9">
        <f t="shared" si="10"/>
        <v>22797.876465064626</v>
      </c>
      <c r="F23" s="9">
        <f t="shared" si="10"/>
        <v>5928.1235349353719</v>
      </c>
      <c r="H23" s="9">
        <f t="shared" si="11"/>
        <v>9362.2710164594846</v>
      </c>
      <c r="I23" s="9">
        <f t="shared" si="11"/>
        <v>3505.7023821132539</v>
      </c>
      <c r="J23" s="9">
        <f t="shared" si="11"/>
        <v>5856.5686343462303</v>
      </c>
      <c r="L23" s="9">
        <f t="shared" si="12"/>
        <v>14821.533575722107</v>
      </c>
      <c r="M23" s="9">
        <f t="shared" si="0"/>
        <v>14382.816181880735</v>
      </c>
      <c r="N23" s="9">
        <f t="shared" si="0"/>
        <v>438.71739384137271</v>
      </c>
      <c r="P23" s="9">
        <f t="shared" si="0"/>
        <v>4542.195407818409</v>
      </c>
      <c r="Q23" s="9">
        <f t="shared" si="0"/>
        <v>4909.357901070638</v>
      </c>
      <c r="R23" s="9">
        <f t="shared" si="0"/>
        <v>-367.16249325222952</v>
      </c>
      <c r="S23" s="63"/>
      <c r="T23" s="55">
        <f t="shared" si="1"/>
        <v>0.23945859834986874</v>
      </c>
      <c r="U23" s="55">
        <f t="shared" si="2"/>
        <v>0.22085753184425846</v>
      </c>
      <c r="V23" s="55">
        <f t="shared" si="3"/>
        <v>0.16883650218313359</v>
      </c>
      <c r="X23" s="56">
        <f t="shared" si="13"/>
        <v>1402405.7163203533</v>
      </c>
      <c r="Y23" s="56">
        <f t="shared" si="14"/>
        <v>96894.040780951051</v>
      </c>
      <c r="Z23" s="56">
        <f t="shared" si="15"/>
        <v>-61990.43109354483</v>
      </c>
      <c r="AA23" s="56">
        <f t="shared" si="16"/>
        <v>1437309.3260077594</v>
      </c>
      <c r="AC23" s="79">
        <f t="shared" si="4"/>
        <v>224.47605562203125</v>
      </c>
      <c r="AD23" s="63">
        <f t="shared" si="17"/>
        <v>22797.876465064626</v>
      </c>
      <c r="AE23" s="56">
        <f t="shared" si="18"/>
        <v>5117577.3854360441</v>
      </c>
      <c r="AG23" s="56">
        <f t="shared" si="36"/>
        <v>0</v>
      </c>
      <c r="AH23" s="54">
        <f t="shared" si="19"/>
        <v>28726</v>
      </c>
      <c r="AI23" s="56">
        <f t="shared" si="20"/>
        <v>0</v>
      </c>
      <c r="AK23" s="58">
        <f t="shared" si="21"/>
        <v>0.54</v>
      </c>
      <c r="AL23" s="60">
        <f t="shared" si="22"/>
        <v>0</v>
      </c>
      <c r="AM23" s="10"/>
      <c r="AN23" s="65">
        <f t="shared" si="24"/>
        <v>15512.04</v>
      </c>
      <c r="AO23" s="60">
        <f t="shared" si="25"/>
        <v>0</v>
      </c>
      <c r="AP23" s="58">
        <f t="shared" si="5"/>
        <v>0.24948969243910574</v>
      </c>
      <c r="AQ23" s="60">
        <f t="shared" si="6"/>
        <v>0</v>
      </c>
      <c r="AR23" s="60"/>
      <c r="AS23" s="65">
        <f t="shared" si="27"/>
        <v>7166.8409050057517</v>
      </c>
      <c r="AT23" s="60">
        <f t="shared" si="28"/>
        <v>0</v>
      </c>
      <c r="AU23" s="106">
        <f t="shared" si="7"/>
        <v>0.21051030756089428</v>
      </c>
      <c r="AV23" s="60">
        <f t="shared" si="8"/>
        <v>0</v>
      </c>
      <c r="AW23" s="60">
        <f t="shared" si="9"/>
        <v>-20</v>
      </c>
      <c r="AX23" s="63">
        <f t="shared" si="29"/>
        <v>6047.1190949942493</v>
      </c>
      <c r="AY23" s="60">
        <f t="shared" si="30"/>
        <v>-120942.38189988499</v>
      </c>
      <c r="AZ23" s="10"/>
      <c r="BA23" s="77">
        <f t="shared" si="31"/>
        <v>-120942.38189988499</v>
      </c>
      <c r="BC23">
        <f t="shared" si="32"/>
        <v>2033</v>
      </c>
      <c r="BD23" s="11">
        <f t="shared" si="33"/>
        <v>28726</v>
      </c>
      <c r="BE23" s="56">
        <f t="shared" si="34"/>
        <v>6433944.3295439184</v>
      </c>
      <c r="BF23" s="112"/>
      <c r="BG23" s="112"/>
    </row>
    <row r="24" spans="3:59" x14ac:dyDescent="0.3">
      <c r="C24">
        <f>'Multiyear Analysis Benefits'!A37</f>
        <v>2034</v>
      </c>
      <c r="D24" s="11">
        <f>'Multiyear Analysis Benefits'!B37</f>
        <v>28582</v>
      </c>
      <c r="E24" s="9">
        <f t="shared" si="10"/>
        <v>22683.593438852509</v>
      </c>
      <c r="F24" s="9">
        <f t="shared" si="10"/>
        <v>5898.4065611474898</v>
      </c>
      <c r="H24" s="9">
        <f t="shared" si="11"/>
        <v>9315.3390723541397</v>
      </c>
      <c r="I24" s="9">
        <f t="shared" si="11"/>
        <v>3488.1287156430071</v>
      </c>
      <c r="J24" s="9">
        <f t="shared" si="11"/>
        <v>5827.2103567111317</v>
      </c>
      <c r="L24" s="9">
        <f t="shared" si="12"/>
        <v>14747.235001785466</v>
      </c>
      <c r="M24" s="9">
        <f t="shared" si="0"/>
        <v>14310.716845732617</v>
      </c>
      <c r="N24" s="9">
        <f t="shared" si="0"/>
        <v>436.5181560528481</v>
      </c>
      <c r="P24" s="9">
        <f t="shared" si="0"/>
        <v>4519.425925860397</v>
      </c>
      <c r="Q24" s="9">
        <f t="shared" si="0"/>
        <v>4884.7478774768842</v>
      </c>
      <c r="R24" s="9">
        <f t="shared" si="0"/>
        <v>-365.32195161648769</v>
      </c>
      <c r="S24" s="63"/>
      <c r="T24" s="55">
        <f t="shared" si="1"/>
        <v>0.24597187222498515</v>
      </c>
      <c r="U24" s="55">
        <f t="shared" si="2"/>
        <v>0.22686485671042228</v>
      </c>
      <c r="V24" s="55">
        <f t="shared" si="3"/>
        <v>0.17342885504251482</v>
      </c>
      <c r="X24" s="56">
        <f t="shared" si="13"/>
        <v>1433329.8412890607</v>
      </c>
      <c r="Y24" s="56">
        <f t="shared" si="14"/>
        <v>99030.628924427147</v>
      </c>
      <c r="Z24" s="56">
        <f t="shared" si="15"/>
        <v>-63357.367790744451</v>
      </c>
      <c r="AA24" s="56">
        <f t="shared" si="16"/>
        <v>1469003.1024227433</v>
      </c>
      <c r="AC24" s="79">
        <f t="shared" si="4"/>
        <v>230.58180433495048</v>
      </c>
      <c r="AD24" s="63">
        <f t="shared" si="17"/>
        <v>22683.593438852509</v>
      </c>
      <c r="AE24" s="56">
        <f t="shared" si="18"/>
        <v>5230423.9039310561</v>
      </c>
      <c r="AG24" s="56">
        <f t="shared" si="36"/>
        <v>0</v>
      </c>
      <c r="AH24" s="54">
        <f t="shared" si="19"/>
        <v>28582</v>
      </c>
      <c r="AI24" s="56">
        <f t="shared" si="20"/>
        <v>0</v>
      </c>
      <c r="AK24" s="58">
        <f t="shared" si="21"/>
        <v>0.54</v>
      </c>
      <c r="AL24" s="60">
        <f t="shared" si="22"/>
        <v>0</v>
      </c>
      <c r="AM24" s="10"/>
      <c r="AN24" s="65">
        <f t="shared" si="24"/>
        <v>15434.28</v>
      </c>
      <c r="AO24" s="60">
        <f t="shared" si="25"/>
        <v>0</v>
      </c>
      <c r="AP24" s="58">
        <f t="shared" si="5"/>
        <v>0.24948969243910574</v>
      </c>
      <c r="AQ24" s="60">
        <f t="shared" si="6"/>
        <v>0</v>
      </c>
      <c r="AR24" s="60"/>
      <c r="AS24" s="65">
        <f t="shared" si="27"/>
        <v>7130.9143892945203</v>
      </c>
      <c r="AT24" s="60">
        <f t="shared" si="28"/>
        <v>0</v>
      </c>
      <c r="AU24" s="106">
        <f t="shared" si="7"/>
        <v>0.21051030756089428</v>
      </c>
      <c r="AV24" s="60">
        <f t="shared" si="8"/>
        <v>0</v>
      </c>
      <c r="AW24" s="60">
        <f t="shared" si="9"/>
        <v>-20</v>
      </c>
      <c r="AX24" s="63">
        <f t="shared" si="29"/>
        <v>6016.8056107054808</v>
      </c>
      <c r="AY24" s="60">
        <f t="shared" si="30"/>
        <v>-120336.11221410961</v>
      </c>
      <c r="AZ24" s="10"/>
      <c r="BA24" s="77">
        <f t="shared" si="31"/>
        <v>-120336.11221410961</v>
      </c>
      <c r="BC24">
        <f t="shared" si="32"/>
        <v>2034</v>
      </c>
      <c r="BD24" s="11">
        <f t="shared" si="33"/>
        <v>28582</v>
      </c>
      <c r="BE24" s="56">
        <f t="shared" si="34"/>
        <v>6579090.8941396894</v>
      </c>
      <c r="BF24" s="112"/>
      <c r="BG24" s="112"/>
    </row>
    <row r="25" spans="3:59" x14ac:dyDescent="0.3">
      <c r="C25">
        <f>'Multiyear Analysis Benefits'!A38</f>
        <v>2035</v>
      </c>
      <c r="D25" s="11">
        <f>'Multiyear Analysis Benefits'!B38</f>
        <v>28439</v>
      </c>
      <c r="E25" s="9">
        <f t="shared" si="10"/>
        <v>22570.104044766864</v>
      </c>
      <c r="F25" s="9">
        <f t="shared" si="10"/>
        <v>5868.8959552331353</v>
      </c>
      <c r="H25" s="9">
        <f t="shared" si="11"/>
        <v>9268.7330445273019</v>
      </c>
      <c r="I25" s="9">
        <f t="shared" si="11"/>
        <v>3470.6770885232481</v>
      </c>
      <c r="J25" s="9">
        <f t="shared" si="11"/>
        <v>5798.0559560040538</v>
      </c>
      <c r="L25" s="9">
        <f t="shared" si="12"/>
        <v>14673.452390167828</v>
      </c>
      <c r="M25" s="9">
        <f t="shared" si="0"/>
        <v>14239.118199418863</v>
      </c>
      <c r="N25" s="9">
        <f t="shared" si="0"/>
        <v>434.33419074896602</v>
      </c>
      <c r="P25" s="9">
        <f t="shared" si="0"/>
        <v>4496.8145653048714</v>
      </c>
      <c r="Q25" s="9">
        <f t="shared" si="0"/>
        <v>4860.3087568247538</v>
      </c>
      <c r="R25" s="9">
        <f t="shared" si="0"/>
        <v>-363.49419151988292</v>
      </c>
      <c r="S25" s="63"/>
      <c r="T25" s="55">
        <f t="shared" si="1"/>
        <v>0.25266230714950472</v>
      </c>
      <c r="U25" s="55">
        <f t="shared" si="2"/>
        <v>0.23303558081294573</v>
      </c>
      <c r="V25" s="55">
        <f t="shared" si="3"/>
        <v>0.17814611989967119</v>
      </c>
      <c r="X25" s="56">
        <f t="shared" si="13"/>
        <v>1464950.1948259114</v>
      </c>
      <c r="Y25" s="56">
        <f t="shared" si="14"/>
        <v>101215.32040810605</v>
      </c>
      <c r="Z25" s="56">
        <f t="shared" si="15"/>
        <v>-64755.079825335102</v>
      </c>
      <c r="AA25" s="56">
        <f t="shared" si="16"/>
        <v>1501410.4354086823</v>
      </c>
      <c r="AC25" s="79">
        <f t="shared" si="4"/>
        <v>236.8536294128611</v>
      </c>
      <c r="AD25" s="63">
        <f t="shared" si="17"/>
        <v>22570.104044766864</v>
      </c>
      <c r="AE25" s="56">
        <f t="shared" si="18"/>
        <v>5345811.0592289278</v>
      </c>
      <c r="AG25" s="56">
        <f t="shared" si="36"/>
        <v>0</v>
      </c>
      <c r="AH25" s="54">
        <f t="shared" si="19"/>
        <v>28439</v>
      </c>
      <c r="AI25" s="56">
        <f t="shared" si="20"/>
        <v>0</v>
      </c>
      <c r="AK25" s="58">
        <f t="shared" si="21"/>
        <v>0.54</v>
      </c>
      <c r="AL25" s="60">
        <f t="shared" si="22"/>
        <v>0</v>
      </c>
      <c r="AM25" s="10"/>
      <c r="AN25" s="65">
        <f t="shared" si="24"/>
        <v>15357.060000000001</v>
      </c>
      <c r="AO25" s="60">
        <f t="shared" si="25"/>
        <v>0</v>
      </c>
      <c r="AP25" s="58">
        <f t="shared" si="5"/>
        <v>0.24948969243910574</v>
      </c>
      <c r="AQ25" s="60">
        <f t="shared" si="6"/>
        <v>0</v>
      </c>
      <c r="AR25" s="60"/>
      <c r="AS25" s="65">
        <f t="shared" si="27"/>
        <v>7095.2373632757281</v>
      </c>
      <c r="AT25" s="60">
        <f t="shared" si="28"/>
        <v>0</v>
      </c>
      <c r="AU25" s="106">
        <f t="shared" si="7"/>
        <v>0.21051030756089428</v>
      </c>
      <c r="AV25" s="60">
        <f t="shared" si="8"/>
        <v>0</v>
      </c>
      <c r="AW25" s="60">
        <f t="shared" si="9"/>
        <v>-20</v>
      </c>
      <c r="AX25" s="63">
        <f t="shared" si="29"/>
        <v>5986.7026367242725</v>
      </c>
      <c r="AY25" s="60">
        <f t="shared" si="30"/>
        <v>-119734.05273448545</v>
      </c>
      <c r="AZ25" s="10"/>
      <c r="BA25" s="77">
        <f t="shared" si="31"/>
        <v>-119734.05273448545</v>
      </c>
      <c r="BC25">
        <f t="shared" si="32"/>
        <v>2035</v>
      </c>
      <c r="BD25" s="11">
        <f t="shared" si="33"/>
        <v>28439</v>
      </c>
      <c r="BE25" s="56">
        <f t="shared" si="34"/>
        <v>6727487.4419031246</v>
      </c>
      <c r="BF25" s="112"/>
      <c r="BG25" s="112"/>
    </row>
    <row r="26" spans="3:59" x14ac:dyDescent="0.3">
      <c r="C26">
        <f>'Multiyear Analysis Benefits'!A39</f>
        <v>2036</v>
      </c>
      <c r="D26" s="11">
        <f>'Multiyear Analysis Benefits'!B39</f>
        <v>28297</v>
      </c>
      <c r="E26" s="9">
        <f t="shared" si="10"/>
        <v>22457.408282807693</v>
      </c>
      <c r="F26" s="9">
        <f t="shared" si="10"/>
        <v>5839.5917171923074</v>
      </c>
      <c r="H26" s="9">
        <f t="shared" si="11"/>
        <v>9222.4529329789748</v>
      </c>
      <c r="I26" s="9">
        <f t="shared" si="11"/>
        <v>3453.3475007539773</v>
      </c>
      <c r="J26" s="9">
        <f t="shared" si="11"/>
        <v>5769.1054322249975</v>
      </c>
      <c r="L26" s="9">
        <f t="shared" si="12"/>
        <v>14600.185740869196</v>
      </c>
      <c r="M26" s="9">
        <f t="shared" si="12"/>
        <v>14168.020242939469</v>
      </c>
      <c r="N26" s="9">
        <f t="shared" si="12"/>
        <v>432.16549792972648</v>
      </c>
      <c r="P26" s="9">
        <f t="shared" ref="P26:R34" si="37">$D26*P$9</f>
        <v>4474.3613261518312</v>
      </c>
      <c r="Q26" s="9">
        <f t="shared" si="37"/>
        <v>4836.0405391142467</v>
      </c>
      <c r="R26" s="9">
        <f t="shared" si="37"/>
        <v>-361.67921296241519</v>
      </c>
      <c r="S26" s="63"/>
      <c r="T26" s="55">
        <f t="shared" si="1"/>
        <v>0.2595347219039712</v>
      </c>
      <c r="U26" s="55">
        <f t="shared" si="2"/>
        <v>0.23937414861105782</v>
      </c>
      <c r="V26" s="55">
        <f t="shared" si="3"/>
        <v>0.18299169436094223</v>
      </c>
      <c r="X26" s="56">
        <f t="shared" si="13"/>
        <v>1497283.1739872044</v>
      </c>
      <c r="Y26" s="56">
        <f t="shared" si="14"/>
        <v>103449.24812600214</v>
      </c>
      <c r="Z26" s="56">
        <f t="shared" si="15"/>
        <v>-66184.291995124411</v>
      </c>
      <c r="AA26" s="56">
        <f t="shared" si="16"/>
        <v>1534548.1301180823</v>
      </c>
      <c r="AC26" s="79">
        <f t="shared" si="4"/>
        <v>243.29604813289089</v>
      </c>
      <c r="AD26" s="63">
        <f t="shared" si="17"/>
        <v>22457.408282807693</v>
      </c>
      <c r="AE26" s="56">
        <f t="shared" si="18"/>
        <v>5463798.6865139632</v>
      </c>
      <c r="AG26" s="56">
        <f t="shared" si="36"/>
        <v>0</v>
      </c>
      <c r="AH26" s="54">
        <f t="shared" si="19"/>
        <v>28297</v>
      </c>
      <c r="AI26" s="56">
        <f t="shared" si="20"/>
        <v>0</v>
      </c>
      <c r="AK26" s="58">
        <f t="shared" si="21"/>
        <v>0.54</v>
      </c>
      <c r="AL26" s="60">
        <f t="shared" si="22"/>
        <v>0</v>
      </c>
      <c r="AM26" s="10"/>
      <c r="AN26" s="65">
        <f t="shared" si="24"/>
        <v>15280.380000000001</v>
      </c>
      <c r="AO26" s="60">
        <f t="shared" si="25"/>
        <v>0</v>
      </c>
      <c r="AP26" s="58">
        <f t="shared" si="5"/>
        <v>0.24948969243910574</v>
      </c>
      <c r="AQ26" s="60">
        <f t="shared" si="6"/>
        <v>0</v>
      </c>
      <c r="AR26" s="60"/>
      <c r="AS26" s="65">
        <f t="shared" si="27"/>
        <v>7059.8098269493748</v>
      </c>
      <c r="AT26" s="60">
        <f t="shared" si="28"/>
        <v>0</v>
      </c>
      <c r="AU26" s="106">
        <f t="shared" si="7"/>
        <v>0.21051030756089428</v>
      </c>
      <c r="AV26" s="60">
        <f t="shared" si="8"/>
        <v>0</v>
      </c>
      <c r="AW26" s="60">
        <f t="shared" si="9"/>
        <v>-20</v>
      </c>
      <c r="AX26" s="63">
        <f t="shared" si="29"/>
        <v>5956.810173050626</v>
      </c>
      <c r="AY26" s="60">
        <f t="shared" si="30"/>
        <v>-119136.20346101251</v>
      </c>
      <c r="AZ26" s="10"/>
      <c r="BA26" s="77">
        <f t="shared" si="31"/>
        <v>-119136.20346101251</v>
      </c>
      <c r="BC26">
        <f t="shared" si="32"/>
        <v>2036</v>
      </c>
      <c r="BD26" s="11">
        <f t="shared" si="33"/>
        <v>28297</v>
      </c>
      <c r="BE26" s="56">
        <f t="shared" si="34"/>
        <v>6879210.6131710326</v>
      </c>
      <c r="BF26" s="112"/>
      <c r="BG26" s="112"/>
    </row>
    <row r="27" spans="3:59" x14ac:dyDescent="0.3">
      <c r="C27">
        <f>'Multiyear Analysis Benefits'!A40</f>
        <v>2037</v>
      </c>
      <c r="D27" s="11">
        <f>'Multiyear Analysis Benefits'!B40</f>
        <v>28156</v>
      </c>
      <c r="E27" s="9">
        <f t="shared" si="10"/>
        <v>22345.506152974995</v>
      </c>
      <c r="F27" s="9">
        <f t="shared" si="10"/>
        <v>5810.4938470250063</v>
      </c>
      <c r="H27" s="9">
        <f t="shared" si="11"/>
        <v>9176.4987377091566</v>
      </c>
      <c r="I27" s="9">
        <f t="shared" si="11"/>
        <v>3436.1399523351938</v>
      </c>
      <c r="J27" s="9">
        <f t="shared" si="11"/>
        <v>5740.3587853739627</v>
      </c>
      <c r="L27" s="9">
        <f t="shared" si="12"/>
        <v>14527.435053889567</v>
      </c>
      <c r="M27" s="9">
        <f t="shared" si="12"/>
        <v>14097.422976294436</v>
      </c>
      <c r="N27" s="9">
        <f t="shared" si="12"/>
        <v>430.01207759512948</v>
      </c>
      <c r="P27" s="9">
        <f t="shared" si="37"/>
        <v>4452.0662084012783</v>
      </c>
      <c r="Q27" s="9">
        <f t="shared" si="37"/>
        <v>4811.943224345363</v>
      </c>
      <c r="R27" s="9">
        <f t="shared" si="37"/>
        <v>-359.87701594408463</v>
      </c>
      <c r="S27" s="63"/>
      <c r="T27" s="55">
        <f t="shared" si="1"/>
        <v>0.26659406633975918</v>
      </c>
      <c r="U27" s="55">
        <f t="shared" si="2"/>
        <v>0.24588512545327856</v>
      </c>
      <c r="V27" s="55">
        <f t="shared" si="3"/>
        <v>0.18796906844755984</v>
      </c>
      <c r="X27" s="56">
        <f t="shared" si="13"/>
        <v>1530345.5908420058</v>
      </c>
      <c r="Y27" s="56">
        <f t="shared" si="14"/>
        <v>105733.57364590337</v>
      </c>
      <c r="Z27" s="56">
        <f t="shared" si="15"/>
        <v>-67645.747442697233</v>
      </c>
      <c r="AA27" s="56">
        <f t="shared" si="16"/>
        <v>1568433.4170452119</v>
      </c>
      <c r="AC27" s="79">
        <f t="shared" si="4"/>
        <v>249.91370064210548</v>
      </c>
      <c r="AD27" s="63">
        <f t="shared" si="17"/>
        <v>22345.506152974995</v>
      </c>
      <c r="AE27" s="56">
        <f t="shared" si="18"/>
        <v>5584448.1354109189</v>
      </c>
      <c r="AG27" s="56">
        <f t="shared" si="36"/>
        <v>0</v>
      </c>
      <c r="AH27" s="54">
        <f t="shared" si="19"/>
        <v>28156</v>
      </c>
      <c r="AI27" s="56">
        <f t="shared" si="20"/>
        <v>0</v>
      </c>
      <c r="AK27" s="58">
        <f t="shared" si="21"/>
        <v>0.54</v>
      </c>
      <c r="AL27" s="60">
        <f t="shared" si="22"/>
        <v>0</v>
      </c>
      <c r="AM27" s="10"/>
      <c r="AN27" s="65">
        <f t="shared" si="24"/>
        <v>15204.240000000002</v>
      </c>
      <c r="AO27" s="60">
        <f t="shared" si="25"/>
        <v>0</v>
      </c>
      <c r="AP27" s="58">
        <f t="shared" si="5"/>
        <v>0.24948969243910574</v>
      </c>
      <c r="AQ27" s="60">
        <f t="shared" si="6"/>
        <v>0</v>
      </c>
      <c r="AR27" s="60"/>
      <c r="AS27" s="65">
        <f t="shared" si="27"/>
        <v>7024.6317803154616</v>
      </c>
      <c r="AT27" s="60">
        <f t="shared" si="28"/>
        <v>0</v>
      </c>
      <c r="AU27" s="106">
        <f t="shared" si="7"/>
        <v>0.21051030756089428</v>
      </c>
      <c r="AV27" s="60">
        <f t="shared" si="8"/>
        <v>0</v>
      </c>
      <c r="AW27" s="60">
        <f t="shared" si="9"/>
        <v>-20</v>
      </c>
      <c r="AX27" s="63">
        <f t="shared" si="29"/>
        <v>5927.1282196845395</v>
      </c>
      <c r="AY27" s="60">
        <f t="shared" si="30"/>
        <v>-118542.56439369079</v>
      </c>
      <c r="AZ27" s="10"/>
      <c r="BA27" s="77">
        <f t="shared" si="31"/>
        <v>-118542.56439369079</v>
      </c>
      <c r="BC27">
        <f t="shared" si="32"/>
        <v>2037</v>
      </c>
      <c r="BD27" s="11">
        <f t="shared" si="33"/>
        <v>28156</v>
      </c>
      <c r="BE27" s="56">
        <f t="shared" si="34"/>
        <v>7034338.9880624404</v>
      </c>
      <c r="BF27" s="112"/>
      <c r="BG27" s="112"/>
    </row>
    <row r="28" spans="3:59" x14ac:dyDescent="0.3">
      <c r="C28">
        <f>'Multiyear Analysis Benefits'!A41</f>
        <v>2038</v>
      </c>
      <c r="D28" s="11">
        <f>'Multiyear Analysis Benefits'!B41</f>
        <v>28015</v>
      </c>
      <c r="E28" s="9">
        <f t="shared" si="10"/>
        <v>22233.604023142296</v>
      </c>
      <c r="F28" s="9">
        <f t="shared" si="10"/>
        <v>5781.3959768577051</v>
      </c>
      <c r="H28" s="9">
        <f t="shared" si="11"/>
        <v>9130.5445424393401</v>
      </c>
      <c r="I28" s="9">
        <f t="shared" si="11"/>
        <v>3418.9324039164107</v>
      </c>
      <c r="J28" s="9">
        <f t="shared" si="11"/>
        <v>5711.612138522928</v>
      </c>
      <c r="L28" s="9">
        <f t="shared" si="12"/>
        <v>14454.684366909938</v>
      </c>
      <c r="M28" s="9">
        <f t="shared" si="12"/>
        <v>14026.825709649405</v>
      </c>
      <c r="N28" s="9">
        <f t="shared" si="12"/>
        <v>427.85865726053248</v>
      </c>
      <c r="P28" s="9">
        <f t="shared" si="37"/>
        <v>4429.7710906507245</v>
      </c>
      <c r="Q28" s="9">
        <f t="shared" si="37"/>
        <v>4787.8459095764792</v>
      </c>
      <c r="R28" s="9">
        <f t="shared" si="37"/>
        <v>-358.07481892575402</v>
      </c>
      <c r="S28" s="63"/>
      <c r="T28" s="55">
        <f t="shared" si="1"/>
        <v>0.27384542494420061</v>
      </c>
      <c r="U28" s="55">
        <f t="shared" si="2"/>
        <v>0.25257320086560769</v>
      </c>
      <c r="V28" s="55">
        <f t="shared" si="3"/>
        <v>0.19308182710933344</v>
      </c>
      <c r="X28" s="56">
        <f t="shared" si="13"/>
        <v>1564098.8531902656</v>
      </c>
      <c r="Y28" s="56">
        <f t="shared" si="14"/>
        <v>108065.63058235367</v>
      </c>
      <c r="Z28" s="56">
        <f t="shared" si="15"/>
        <v>-69137.740280028316</v>
      </c>
      <c r="AA28" s="56">
        <f t="shared" si="16"/>
        <v>1603026.7434925907</v>
      </c>
      <c r="AC28" s="79">
        <f t="shared" si="4"/>
        <v>256.7113532995707</v>
      </c>
      <c r="AD28" s="63">
        <f t="shared" si="17"/>
        <v>22233.604023142296</v>
      </c>
      <c r="AE28" s="56">
        <f t="shared" si="18"/>
        <v>5707618.5775076384</v>
      </c>
      <c r="AG28" s="56">
        <f t="shared" si="36"/>
        <v>0</v>
      </c>
      <c r="AH28" s="54">
        <f t="shared" si="19"/>
        <v>28015</v>
      </c>
      <c r="AI28" s="56">
        <f t="shared" si="20"/>
        <v>0</v>
      </c>
      <c r="AK28" s="58">
        <f t="shared" si="21"/>
        <v>0.54</v>
      </c>
      <c r="AL28" s="60">
        <f t="shared" si="22"/>
        <v>0</v>
      </c>
      <c r="AM28" s="10"/>
      <c r="AN28" s="65">
        <f t="shared" si="24"/>
        <v>15128.1</v>
      </c>
      <c r="AO28" s="60">
        <f t="shared" si="25"/>
        <v>0</v>
      </c>
      <c r="AP28" s="58">
        <f t="shared" si="5"/>
        <v>0.24948969243910574</v>
      </c>
      <c r="AQ28" s="60">
        <f t="shared" si="6"/>
        <v>0</v>
      </c>
      <c r="AR28" s="60"/>
      <c r="AS28" s="65">
        <f t="shared" si="27"/>
        <v>6989.4537336815474</v>
      </c>
      <c r="AT28" s="60">
        <f t="shared" si="28"/>
        <v>0</v>
      </c>
      <c r="AU28" s="106">
        <f t="shared" si="7"/>
        <v>0.21051030756089428</v>
      </c>
      <c r="AV28" s="60">
        <f t="shared" si="8"/>
        <v>0</v>
      </c>
      <c r="AW28" s="60">
        <f t="shared" si="9"/>
        <v>-20</v>
      </c>
      <c r="AX28" s="63">
        <f t="shared" si="29"/>
        <v>5897.4462663184531</v>
      </c>
      <c r="AY28" s="60">
        <f t="shared" si="30"/>
        <v>-117948.92532636906</v>
      </c>
      <c r="AZ28" s="10"/>
      <c r="BA28" s="77">
        <f t="shared" si="31"/>
        <v>-117948.92532636906</v>
      </c>
      <c r="BC28">
        <f t="shared" si="32"/>
        <v>2038</v>
      </c>
      <c r="BD28" s="11">
        <f t="shared" si="33"/>
        <v>28015</v>
      </c>
      <c r="BE28" s="56">
        <f t="shared" si="34"/>
        <v>7192696.3956738608</v>
      </c>
      <c r="BF28" s="112"/>
      <c r="BG28" s="112"/>
    </row>
    <row r="29" spans="3:59" x14ac:dyDescent="0.3">
      <c r="C29">
        <f>'Multiyear Analysis Benefits'!A42</f>
        <v>2039</v>
      </c>
      <c r="D29" s="11">
        <f>'Multiyear Analysis Benefits'!B42</f>
        <v>27875</v>
      </c>
      <c r="E29" s="9">
        <f t="shared" si="10"/>
        <v>22122.495525436068</v>
      </c>
      <c r="F29" s="9">
        <f t="shared" si="10"/>
        <v>5752.5044745639316</v>
      </c>
      <c r="H29" s="9">
        <f t="shared" si="11"/>
        <v>9084.9162634480308</v>
      </c>
      <c r="I29" s="9">
        <f t="shared" si="11"/>
        <v>3401.846894848115</v>
      </c>
      <c r="J29" s="9">
        <f t="shared" si="11"/>
        <v>5683.0693685999158</v>
      </c>
      <c r="L29" s="9">
        <f t="shared" si="12"/>
        <v>14382.449642249312</v>
      </c>
      <c r="M29" s="9">
        <f t="shared" si="12"/>
        <v>13956.729132838735</v>
      </c>
      <c r="N29" s="9">
        <f t="shared" si="12"/>
        <v>425.72050941057802</v>
      </c>
      <c r="P29" s="9">
        <f t="shared" si="37"/>
        <v>4407.634094302658</v>
      </c>
      <c r="Q29" s="9">
        <f t="shared" si="37"/>
        <v>4763.919497749218</v>
      </c>
      <c r="R29" s="9">
        <f t="shared" si="37"/>
        <v>-356.28540344656057</v>
      </c>
      <c r="S29" s="63"/>
      <c r="T29" s="55">
        <f t="shared" si="1"/>
        <v>0.28129402050268282</v>
      </c>
      <c r="U29" s="55">
        <f t="shared" si="2"/>
        <v>0.25944319192915222</v>
      </c>
      <c r="V29" s="55">
        <f t="shared" si="3"/>
        <v>0.19833365280670728</v>
      </c>
      <c r="X29" s="56">
        <f t="shared" si="13"/>
        <v>1598613.4314891135</v>
      </c>
      <c r="Y29" s="56">
        <f t="shared" si="14"/>
        <v>110450.28783118504</v>
      </c>
      <c r="Z29" s="56">
        <f t="shared" si="15"/>
        <v>-70663.385507267769</v>
      </c>
      <c r="AA29" s="56">
        <f t="shared" si="16"/>
        <v>1638400.333813031</v>
      </c>
      <c r="AC29" s="79">
        <f t="shared" si="4"/>
        <v>263.69390210931903</v>
      </c>
      <c r="AD29" s="63">
        <f t="shared" si="17"/>
        <v>22122.495525436068</v>
      </c>
      <c r="AE29" s="56">
        <f t="shared" si="18"/>
        <v>5833567.1694981866</v>
      </c>
      <c r="AG29" s="56">
        <f t="shared" si="36"/>
        <v>0</v>
      </c>
      <c r="AH29" s="54">
        <f t="shared" si="19"/>
        <v>27875</v>
      </c>
      <c r="AI29" s="56">
        <f t="shared" si="20"/>
        <v>0</v>
      </c>
      <c r="AK29" s="58">
        <f t="shared" si="21"/>
        <v>0.54</v>
      </c>
      <c r="AL29" s="60">
        <f t="shared" si="22"/>
        <v>0</v>
      </c>
      <c r="AM29" s="10"/>
      <c r="AN29" s="65">
        <f t="shared" si="24"/>
        <v>15052.500000000002</v>
      </c>
      <c r="AO29" s="60">
        <f t="shared" si="25"/>
        <v>0</v>
      </c>
      <c r="AP29" s="58">
        <f t="shared" si="5"/>
        <v>0.24948969243910574</v>
      </c>
      <c r="AQ29" s="60">
        <f t="shared" si="6"/>
        <v>0</v>
      </c>
      <c r="AR29" s="60"/>
      <c r="AS29" s="65">
        <f t="shared" si="27"/>
        <v>6954.5251767400723</v>
      </c>
      <c r="AT29" s="60">
        <f t="shared" si="28"/>
        <v>0</v>
      </c>
      <c r="AU29" s="106">
        <f t="shared" si="7"/>
        <v>0.21051030756089428</v>
      </c>
      <c r="AV29" s="60">
        <f t="shared" si="8"/>
        <v>0</v>
      </c>
      <c r="AW29" s="60">
        <f t="shared" si="9"/>
        <v>-20</v>
      </c>
      <c r="AX29" s="63">
        <f t="shared" si="29"/>
        <v>5867.9748232599277</v>
      </c>
      <c r="AY29" s="60">
        <f t="shared" si="30"/>
        <v>-117359.49646519855</v>
      </c>
      <c r="AZ29" s="10"/>
      <c r="BA29" s="77">
        <f t="shared" si="31"/>
        <v>-117359.49646519855</v>
      </c>
      <c r="BC29">
        <f t="shared" si="32"/>
        <v>2039</v>
      </c>
      <c r="BD29" s="11">
        <f t="shared" si="33"/>
        <v>27875</v>
      </c>
      <c r="BE29" s="56">
        <f t="shared" si="34"/>
        <v>7354608.0068460191</v>
      </c>
      <c r="BF29" s="112"/>
      <c r="BG29" s="112"/>
    </row>
    <row r="30" spans="3:59" x14ac:dyDescent="0.3">
      <c r="C30">
        <f>'Multiyear Analysis Benefits'!A43</f>
        <v>2040</v>
      </c>
      <c r="D30" s="11">
        <f>'Multiyear Analysis Benefits'!B43</f>
        <v>27735</v>
      </c>
      <c r="E30" s="9">
        <f t="shared" si="10"/>
        <v>22011.387027729841</v>
      </c>
      <c r="F30" s="9">
        <f t="shared" si="10"/>
        <v>5723.6129722701571</v>
      </c>
      <c r="H30" s="9">
        <f t="shared" si="11"/>
        <v>9039.2879844567233</v>
      </c>
      <c r="I30" s="9">
        <f t="shared" si="11"/>
        <v>3384.7613857798196</v>
      </c>
      <c r="J30" s="9">
        <f t="shared" si="11"/>
        <v>5654.5265986769027</v>
      </c>
      <c r="L30" s="9">
        <f t="shared" si="12"/>
        <v>14310.214917588688</v>
      </c>
      <c r="M30" s="9">
        <f t="shared" si="12"/>
        <v>13886.632556028066</v>
      </c>
      <c r="N30" s="9">
        <f t="shared" si="12"/>
        <v>423.58236156062355</v>
      </c>
      <c r="P30" s="9">
        <f t="shared" si="37"/>
        <v>4385.4970979545906</v>
      </c>
      <c r="Q30" s="9">
        <f t="shared" si="37"/>
        <v>4739.9930859219576</v>
      </c>
      <c r="R30" s="9">
        <f t="shared" si="37"/>
        <v>-354.49598796736706</v>
      </c>
      <c r="S30" s="63"/>
      <c r="T30" s="55">
        <f t="shared" si="1"/>
        <v>0.28894521786035576</v>
      </c>
      <c r="U30" s="55">
        <f t="shared" si="2"/>
        <v>0.26650004674962513</v>
      </c>
      <c r="V30" s="55">
        <f t="shared" si="3"/>
        <v>0.2037283281630497</v>
      </c>
      <c r="X30" s="56">
        <f t="shared" si="13"/>
        <v>1633848.4199518741</v>
      </c>
      <c r="Y30" s="56">
        <f t="shared" si="14"/>
        <v>112884.7191582228</v>
      </c>
      <c r="Z30" s="56">
        <f t="shared" si="15"/>
        <v>-72220.874969100274</v>
      </c>
      <c r="AA30" s="56">
        <f t="shared" si="16"/>
        <v>1674512.2641409966</v>
      </c>
      <c r="AC30" s="79">
        <f t="shared" si="4"/>
        <v>270.86637624669248</v>
      </c>
      <c r="AD30" s="63">
        <f t="shared" si="17"/>
        <v>22011.387027729841</v>
      </c>
      <c r="AE30" s="56">
        <f t="shared" si="18"/>
        <v>5962144.6403646376</v>
      </c>
      <c r="AG30" s="56">
        <f t="shared" si="36"/>
        <v>0</v>
      </c>
      <c r="AH30" s="54">
        <f t="shared" si="19"/>
        <v>27735</v>
      </c>
      <c r="AI30" s="56">
        <f t="shared" si="20"/>
        <v>0</v>
      </c>
      <c r="AK30" s="58">
        <f t="shared" si="21"/>
        <v>0.54</v>
      </c>
      <c r="AL30" s="60">
        <f t="shared" si="22"/>
        <v>0</v>
      </c>
      <c r="AM30" s="10"/>
      <c r="AN30" s="65">
        <f t="shared" si="24"/>
        <v>14976.900000000001</v>
      </c>
      <c r="AO30" s="60">
        <f t="shared" si="25"/>
        <v>0</v>
      </c>
      <c r="AP30" s="58">
        <f t="shared" si="5"/>
        <v>0.24948969243910574</v>
      </c>
      <c r="AQ30" s="60">
        <f t="shared" si="6"/>
        <v>0</v>
      </c>
      <c r="AR30" s="60"/>
      <c r="AS30" s="65">
        <f t="shared" si="27"/>
        <v>6919.5966197985972</v>
      </c>
      <c r="AT30" s="60">
        <f t="shared" si="28"/>
        <v>0</v>
      </c>
      <c r="AU30" s="106">
        <f t="shared" si="7"/>
        <v>0.21051030756089428</v>
      </c>
      <c r="AV30" s="60">
        <f t="shared" si="8"/>
        <v>0</v>
      </c>
      <c r="AW30" s="60">
        <f t="shared" si="9"/>
        <v>-20</v>
      </c>
      <c r="AX30" s="63">
        <f t="shared" si="29"/>
        <v>5838.5033802014032</v>
      </c>
      <c r="AY30" s="60">
        <f t="shared" si="30"/>
        <v>-116770.06760402807</v>
      </c>
      <c r="AZ30" s="10"/>
      <c r="BA30" s="77">
        <f t="shared" si="31"/>
        <v>-116770.06760402807</v>
      </c>
      <c r="BC30">
        <f t="shared" si="32"/>
        <v>2040</v>
      </c>
      <c r="BD30" s="11">
        <f t="shared" si="33"/>
        <v>27735</v>
      </c>
      <c r="BE30" s="56">
        <f t="shared" si="34"/>
        <v>7519886.836901607</v>
      </c>
      <c r="BF30" s="112"/>
      <c r="BG30" s="112"/>
    </row>
    <row r="31" spans="3:59" x14ac:dyDescent="0.3">
      <c r="C31">
        <f>'Multiyear Analysis Benefits'!A44</f>
        <v>2041</v>
      </c>
      <c r="D31" s="11">
        <f>'Multiyear Analysis Benefits'!B44</f>
        <v>27597</v>
      </c>
      <c r="E31" s="9">
        <f t="shared" si="10"/>
        <v>21901.865794276564</v>
      </c>
      <c r="F31" s="9">
        <f t="shared" si="10"/>
        <v>5695.1342057234369</v>
      </c>
      <c r="H31" s="9">
        <f t="shared" si="11"/>
        <v>8994.3115380224335</v>
      </c>
      <c r="I31" s="9">
        <f t="shared" si="11"/>
        <v>3367.9199554124998</v>
      </c>
      <c r="J31" s="9">
        <f t="shared" si="11"/>
        <v>5626.3915826099328</v>
      </c>
      <c r="L31" s="9">
        <f t="shared" si="12"/>
        <v>14239.012117566073</v>
      </c>
      <c r="M31" s="9">
        <f t="shared" si="12"/>
        <v>13817.537358886118</v>
      </c>
      <c r="N31" s="9">
        <f t="shared" si="12"/>
        <v>421.47475867995416</v>
      </c>
      <c r="P31" s="9">
        <f t="shared" si="37"/>
        <v>4363.6763444114958</v>
      </c>
      <c r="Q31" s="9">
        <f t="shared" si="37"/>
        <v>4716.4084799779439</v>
      </c>
      <c r="R31" s="9">
        <f t="shared" si="37"/>
        <v>-352.73213556644777</v>
      </c>
      <c r="S31" s="63"/>
      <c r="T31" s="55">
        <f t="shared" si="1"/>
        <v>0.2968045277861574</v>
      </c>
      <c r="U31" s="55">
        <f t="shared" si="2"/>
        <v>0.27374884802121491</v>
      </c>
      <c r="V31" s="55">
        <f t="shared" si="3"/>
        <v>0.20926973868908463</v>
      </c>
      <c r="X31" s="56">
        <f t="shared" si="13"/>
        <v>1669938.4968165518</v>
      </c>
      <c r="Y31" s="56">
        <f t="shared" si="14"/>
        <v>115378.22965865699</v>
      </c>
      <c r="Z31" s="56">
        <f t="shared" si="15"/>
        <v>-73816.161837233303</v>
      </c>
      <c r="AA31" s="56">
        <f t="shared" si="16"/>
        <v>1711500.5646379755</v>
      </c>
      <c r="AC31" s="79">
        <f t="shared" si="4"/>
        <v>278.23394168060247</v>
      </c>
      <c r="AD31" s="63">
        <f t="shared" si="17"/>
        <v>21901.865794276564</v>
      </c>
      <c r="AE31" s="56">
        <f t="shared" si="18"/>
        <v>6093842.4501011278</v>
      </c>
      <c r="AG31" s="56">
        <f t="shared" si="36"/>
        <v>0</v>
      </c>
      <c r="AH31" s="54">
        <f t="shared" si="19"/>
        <v>27597</v>
      </c>
      <c r="AI31" s="56">
        <f t="shared" si="20"/>
        <v>0</v>
      </c>
      <c r="AK31" s="58">
        <f t="shared" si="21"/>
        <v>0.54</v>
      </c>
      <c r="AL31" s="60">
        <f t="shared" si="22"/>
        <v>0</v>
      </c>
      <c r="AM31" s="10"/>
      <c r="AN31" s="65">
        <f t="shared" si="24"/>
        <v>14902.380000000001</v>
      </c>
      <c r="AO31" s="60">
        <f t="shared" si="25"/>
        <v>0</v>
      </c>
      <c r="AP31" s="58">
        <f t="shared" si="5"/>
        <v>0.24948969243910574</v>
      </c>
      <c r="AQ31" s="60">
        <f t="shared" si="6"/>
        <v>0</v>
      </c>
      <c r="AR31" s="60"/>
      <c r="AS31" s="65">
        <f t="shared" si="27"/>
        <v>6885.1670422420011</v>
      </c>
      <c r="AT31" s="60">
        <f t="shared" si="28"/>
        <v>0</v>
      </c>
      <c r="AU31" s="106">
        <f t="shared" si="7"/>
        <v>0.21051030756089428</v>
      </c>
      <c r="AV31" s="60">
        <f t="shared" si="8"/>
        <v>0</v>
      </c>
      <c r="AW31" s="60">
        <f t="shared" si="9"/>
        <v>-20</v>
      </c>
      <c r="AX31" s="63">
        <f t="shared" si="29"/>
        <v>5809.4529577579997</v>
      </c>
      <c r="AY31" s="60">
        <f t="shared" si="30"/>
        <v>-116189.05915515999</v>
      </c>
      <c r="AZ31" s="10"/>
      <c r="BA31" s="77">
        <f t="shared" si="31"/>
        <v>-116189.05915515999</v>
      </c>
      <c r="BC31">
        <f t="shared" si="32"/>
        <v>2041</v>
      </c>
      <c r="BD31" s="11">
        <f t="shared" si="33"/>
        <v>27597</v>
      </c>
      <c r="BE31" s="56">
        <f t="shared" si="34"/>
        <v>7689153.955583944</v>
      </c>
      <c r="BF31" s="112"/>
      <c r="BG31" s="112"/>
    </row>
    <row r="32" spans="3:59" x14ac:dyDescent="0.3">
      <c r="C32">
        <f>'Multiyear Analysis Benefits'!A45</f>
        <v>2042</v>
      </c>
      <c r="D32" s="11">
        <f>'Multiyear Analysis Benefits'!B45</f>
        <v>27459</v>
      </c>
      <c r="E32" s="9">
        <f t="shared" si="10"/>
        <v>21792.344560823283</v>
      </c>
      <c r="F32" s="9">
        <f t="shared" si="10"/>
        <v>5666.6554391767168</v>
      </c>
      <c r="H32" s="9">
        <f t="shared" si="11"/>
        <v>8949.3350915881419</v>
      </c>
      <c r="I32" s="9">
        <f t="shared" si="11"/>
        <v>3351.07852504518</v>
      </c>
      <c r="J32" s="9">
        <f t="shared" si="11"/>
        <v>5598.2565665429629</v>
      </c>
      <c r="L32" s="9">
        <f t="shared" si="12"/>
        <v>14167.809317543457</v>
      </c>
      <c r="M32" s="9">
        <f t="shared" si="12"/>
        <v>13748.442161744173</v>
      </c>
      <c r="N32" s="9">
        <f t="shared" si="12"/>
        <v>419.36715579928472</v>
      </c>
      <c r="P32" s="9">
        <f t="shared" si="37"/>
        <v>4341.8555908684011</v>
      </c>
      <c r="Q32" s="9">
        <f t="shared" si="37"/>
        <v>4692.8238740339293</v>
      </c>
      <c r="R32" s="9">
        <f t="shared" si="37"/>
        <v>-350.96828316552848</v>
      </c>
      <c r="S32" s="63"/>
      <c r="T32" s="55">
        <f t="shared" si="1"/>
        <v>0.30487761094194082</v>
      </c>
      <c r="U32" s="55">
        <f t="shared" si="2"/>
        <v>0.28119481668739194</v>
      </c>
      <c r="V32" s="55">
        <f t="shared" si="3"/>
        <v>0.21496187558142771</v>
      </c>
      <c r="X32" s="56">
        <f t="shared" si="13"/>
        <v>1706783.087447651</v>
      </c>
      <c r="Y32" s="56">
        <f t="shared" si="14"/>
        <v>117923.8704996928</v>
      </c>
      <c r="Z32" s="56">
        <f t="shared" si="15"/>
        <v>-75444.800418855622</v>
      </c>
      <c r="AA32" s="56">
        <f t="shared" si="16"/>
        <v>1749262.1575284882</v>
      </c>
      <c r="AC32" s="79">
        <f t="shared" si="4"/>
        <v>285.80190489431482</v>
      </c>
      <c r="AD32" s="63">
        <f t="shared" si="17"/>
        <v>21792.344560823283</v>
      </c>
      <c r="AE32" s="56">
        <f t="shared" si="18"/>
        <v>6228293.5875965552</v>
      </c>
      <c r="AG32" s="56">
        <f t="shared" si="36"/>
        <v>0</v>
      </c>
      <c r="AH32" s="54">
        <f t="shared" si="19"/>
        <v>27459</v>
      </c>
      <c r="AI32" s="56">
        <f t="shared" si="20"/>
        <v>0</v>
      </c>
      <c r="AK32" s="58">
        <f t="shared" si="21"/>
        <v>0.54</v>
      </c>
      <c r="AL32" s="60">
        <f t="shared" si="22"/>
        <v>0</v>
      </c>
      <c r="AM32" s="10"/>
      <c r="AN32" s="65">
        <f t="shared" si="24"/>
        <v>14827.86</v>
      </c>
      <c r="AO32" s="60">
        <f t="shared" si="25"/>
        <v>0</v>
      </c>
      <c r="AP32" s="58">
        <f t="shared" si="5"/>
        <v>0.24948969243910574</v>
      </c>
      <c r="AQ32" s="60">
        <f t="shared" si="6"/>
        <v>0</v>
      </c>
      <c r="AR32" s="60"/>
      <c r="AS32" s="65">
        <f t="shared" si="27"/>
        <v>6850.7374646854041</v>
      </c>
      <c r="AT32" s="60">
        <f t="shared" si="28"/>
        <v>0</v>
      </c>
      <c r="AU32" s="106">
        <f t="shared" si="7"/>
        <v>0.21051030756089428</v>
      </c>
      <c r="AV32" s="60">
        <f t="shared" si="8"/>
        <v>0</v>
      </c>
      <c r="AW32" s="60">
        <f t="shared" si="9"/>
        <v>-20</v>
      </c>
      <c r="AX32" s="63">
        <f t="shared" si="29"/>
        <v>5780.4025353145962</v>
      </c>
      <c r="AY32" s="60">
        <f t="shared" si="30"/>
        <v>-115608.05070629192</v>
      </c>
      <c r="AZ32" s="10"/>
      <c r="BA32" s="77">
        <f t="shared" si="31"/>
        <v>-115608.05070629192</v>
      </c>
      <c r="BC32">
        <f t="shared" si="32"/>
        <v>2042</v>
      </c>
      <c r="BD32" s="11">
        <f t="shared" si="33"/>
        <v>27459</v>
      </c>
      <c r="BE32" s="56">
        <f t="shared" si="34"/>
        <v>7861947.6944187516</v>
      </c>
      <c r="BF32" s="112"/>
      <c r="BG32" s="112"/>
    </row>
    <row r="33" spans="3:59" x14ac:dyDescent="0.3">
      <c r="C33">
        <f>'Multiyear Analysis Benefits'!A46</f>
        <v>2043</v>
      </c>
      <c r="D33" s="11">
        <f>'Multiyear Analysis Benefits'!B46</f>
        <v>27321</v>
      </c>
      <c r="E33" s="9">
        <f t="shared" si="10"/>
        <v>21682.823327370003</v>
      </c>
      <c r="F33" s="9">
        <f t="shared" si="10"/>
        <v>5638.1766726299975</v>
      </c>
      <c r="H33" s="9">
        <f t="shared" si="11"/>
        <v>8904.3586451538522</v>
      </c>
      <c r="I33" s="9">
        <f t="shared" si="11"/>
        <v>3334.2370946778601</v>
      </c>
      <c r="J33" s="9">
        <f t="shared" si="11"/>
        <v>5570.1215504759921</v>
      </c>
      <c r="L33" s="9">
        <f t="shared" si="12"/>
        <v>14096.606517520842</v>
      </c>
      <c r="M33" s="9">
        <f t="shared" si="12"/>
        <v>13679.346964602228</v>
      </c>
      <c r="N33" s="9">
        <f t="shared" si="12"/>
        <v>417.25955291861533</v>
      </c>
      <c r="P33" s="9">
        <f t="shared" si="37"/>
        <v>4320.0348373253064</v>
      </c>
      <c r="Q33" s="9">
        <f t="shared" si="37"/>
        <v>4669.2392680899156</v>
      </c>
      <c r="R33" s="9">
        <f t="shared" si="37"/>
        <v>-349.20443076460919</v>
      </c>
      <c r="S33" s="63"/>
      <c r="T33" s="55">
        <f t="shared" si="1"/>
        <v>0.31317028195956159</v>
      </c>
      <c r="U33" s="55">
        <f t="shared" si="2"/>
        <v>0.28884331570128896</v>
      </c>
      <c r="V33" s="55">
        <f t="shared" si="3"/>
        <v>0.22080883859724251</v>
      </c>
      <c r="X33" s="56">
        <f t="shared" si="13"/>
        <v>1744396.5365115968</v>
      </c>
      <c r="Y33" s="56">
        <f t="shared" si="14"/>
        <v>120522.63277305031</v>
      </c>
      <c r="Z33" s="56">
        <f t="shared" si="15"/>
        <v>-77107.424790144534</v>
      </c>
      <c r="AA33" s="56">
        <f t="shared" si="16"/>
        <v>1787811.7444945027</v>
      </c>
      <c r="AC33" s="79">
        <f t="shared" si="4"/>
        <v>293.57571670744017</v>
      </c>
      <c r="AD33" s="63">
        <f t="shared" si="17"/>
        <v>21682.823327370003</v>
      </c>
      <c r="AE33" s="56">
        <f t="shared" si="18"/>
        <v>6365550.3985734507</v>
      </c>
      <c r="AG33" s="56">
        <f t="shared" si="36"/>
        <v>0</v>
      </c>
      <c r="AH33" s="54">
        <f t="shared" si="19"/>
        <v>27321</v>
      </c>
      <c r="AI33" s="56">
        <f t="shared" si="20"/>
        <v>0</v>
      </c>
      <c r="AK33" s="58">
        <f t="shared" si="21"/>
        <v>0.54</v>
      </c>
      <c r="AL33" s="60">
        <f t="shared" si="22"/>
        <v>0</v>
      </c>
      <c r="AM33" s="10"/>
      <c r="AN33" s="65">
        <f t="shared" si="24"/>
        <v>14753.34</v>
      </c>
      <c r="AO33" s="60">
        <f t="shared" si="25"/>
        <v>0</v>
      </c>
      <c r="AP33" s="58">
        <f t="shared" si="5"/>
        <v>0.24948969243910574</v>
      </c>
      <c r="AQ33" s="60">
        <f t="shared" si="6"/>
        <v>0</v>
      </c>
      <c r="AR33" s="60"/>
      <c r="AS33" s="65">
        <f t="shared" si="27"/>
        <v>6816.307887128808</v>
      </c>
      <c r="AT33" s="60">
        <f t="shared" si="28"/>
        <v>0</v>
      </c>
      <c r="AU33" s="106">
        <f t="shared" si="7"/>
        <v>0.21051030756089428</v>
      </c>
      <c r="AV33" s="60">
        <f t="shared" si="8"/>
        <v>0</v>
      </c>
      <c r="AW33" s="60">
        <f t="shared" si="9"/>
        <v>-20</v>
      </c>
      <c r="AX33" s="63">
        <f t="shared" si="29"/>
        <v>5751.3521128711927</v>
      </c>
      <c r="AY33" s="60">
        <f t="shared" si="30"/>
        <v>-115027.04225742386</v>
      </c>
      <c r="AZ33" s="10"/>
      <c r="BA33" s="77">
        <f t="shared" si="31"/>
        <v>-115027.04225742386</v>
      </c>
      <c r="BC33">
        <f t="shared" si="32"/>
        <v>2043</v>
      </c>
      <c r="BD33" s="11">
        <f t="shared" si="33"/>
        <v>27321</v>
      </c>
      <c r="BE33" s="56">
        <f t="shared" si="34"/>
        <v>8038335.1008105297</v>
      </c>
      <c r="BF33" s="112"/>
      <c r="BG33" s="112"/>
    </row>
    <row r="34" spans="3:59" x14ac:dyDescent="0.3">
      <c r="C34">
        <f>'Multiyear Analysis Benefits'!A47</f>
        <v>2044</v>
      </c>
      <c r="D34" s="11">
        <f>'Multiyear Analysis Benefits'!B47</f>
        <v>27185</v>
      </c>
      <c r="E34" s="9">
        <f t="shared" si="10"/>
        <v>21574.889358169668</v>
      </c>
      <c r="F34" s="9">
        <f t="shared" si="10"/>
        <v>5610.1106418303307</v>
      </c>
      <c r="H34" s="9">
        <f t="shared" si="11"/>
        <v>8860.034031276582</v>
      </c>
      <c r="I34" s="9">
        <f t="shared" si="11"/>
        <v>3317.6397430115162</v>
      </c>
      <c r="J34" s="9">
        <f t="shared" si="11"/>
        <v>5542.3942882650654</v>
      </c>
      <c r="L34" s="9">
        <f t="shared" si="12"/>
        <v>14026.435642136235</v>
      </c>
      <c r="M34" s="9">
        <f t="shared" si="12"/>
        <v>13611.253147129004</v>
      </c>
      <c r="N34" s="9">
        <f t="shared" si="12"/>
        <v>415.18249500723101</v>
      </c>
      <c r="P34" s="9">
        <f t="shared" si="37"/>
        <v>4298.5303265871835</v>
      </c>
      <c r="Q34" s="9">
        <f t="shared" si="37"/>
        <v>4645.9964680291478</v>
      </c>
      <c r="R34" s="9">
        <f t="shared" si="37"/>
        <v>-347.46614144196406</v>
      </c>
      <c r="S34" s="63"/>
      <c r="T34" s="55">
        <f t="shared" si="1"/>
        <v>0.32168851362886164</v>
      </c>
      <c r="U34" s="55">
        <f t="shared" si="2"/>
        <v>0.29669985388836401</v>
      </c>
      <c r="V34" s="55">
        <f t="shared" si="3"/>
        <v>0.22681483900708749</v>
      </c>
      <c r="X34" s="56">
        <f t="shared" si="13"/>
        <v>1782924.5805370815</v>
      </c>
      <c r="Y34" s="56">
        <f t="shared" si="14"/>
        <v>123184.58560565187</v>
      </c>
      <c r="Z34" s="56">
        <f t="shared" si="15"/>
        <v>-78810.476931572965</v>
      </c>
      <c r="AA34" s="56">
        <f t="shared" si="16"/>
        <v>1827298.6892111604</v>
      </c>
      <c r="AC34" s="79">
        <f t="shared" si="4"/>
        <v>301.56097620188251</v>
      </c>
      <c r="AD34" s="63">
        <f t="shared" si="17"/>
        <v>21574.889358169668</v>
      </c>
      <c r="AE34" s="56">
        <f t="shared" si="18"/>
        <v>6506144.6962972516</v>
      </c>
      <c r="AG34" s="56">
        <f t="shared" si="36"/>
        <v>0</v>
      </c>
      <c r="AH34" s="54">
        <f t="shared" si="19"/>
        <v>27185</v>
      </c>
      <c r="AI34" s="56">
        <f t="shared" si="20"/>
        <v>0</v>
      </c>
      <c r="AK34" s="58">
        <f t="shared" si="21"/>
        <v>0.54</v>
      </c>
      <c r="AL34" s="60">
        <f t="shared" si="22"/>
        <v>0</v>
      </c>
      <c r="AM34" s="10"/>
      <c r="AN34" s="65">
        <f t="shared" si="24"/>
        <v>14679.900000000001</v>
      </c>
      <c r="AO34" s="60">
        <f t="shared" si="25"/>
        <v>0</v>
      </c>
      <c r="AP34" s="58">
        <f t="shared" si="5"/>
        <v>0.24948969243910574</v>
      </c>
      <c r="AQ34" s="60">
        <f t="shared" si="6"/>
        <v>0</v>
      </c>
      <c r="AR34" s="60"/>
      <c r="AS34" s="65">
        <f t="shared" si="27"/>
        <v>6782.3772889570891</v>
      </c>
      <c r="AT34" s="60">
        <f t="shared" si="28"/>
        <v>0</v>
      </c>
      <c r="AU34" s="106">
        <f t="shared" si="7"/>
        <v>0.21051030756089428</v>
      </c>
      <c r="AV34" s="60">
        <f t="shared" si="8"/>
        <v>0</v>
      </c>
      <c r="AW34" s="60">
        <f t="shared" si="9"/>
        <v>-20</v>
      </c>
      <c r="AX34" s="63">
        <f t="shared" si="29"/>
        <v>5722.7227110429112</v>
      </c>
      <c r="AY34" s="60">
        <f t="shared" si="30"/>
        <v>-114454.45422085823</v>
      </c>
      <c r="AZ34" s="10"/>
      <c r="BA34" s="77">
        <f t="shared" si="31"/>
        <v>-114454.45422085823</v>
      </c>
      <c r="BC34">
        <f t="shared" si="32"/>
        <v>2044</v>
      </c>
      <c r="BD34" s="11">
        <f t="shared" si="33"/>
        <v>27185</v>
      </c>
      <c r="BE34" s="56">
        <f t="shared" si="34"/>
        <v>8218988.9312875541</v>
      </c>
      <c r="BF34" s="112"/>
      <c r="BG34" s="112"/>
    </row>
    <row r="35" spans="3:59" ht="15" thickBot="1" x14ac:dyDescent="0.35">
      <c r="BE35" s="100"/>
    </row>
    <row r="36" spans="3:59" ht="15" thickBot="1" x14ac:dyDescent="0.35">
      <c r="D36" s="2">
        <f>NPV(0.0619,D10:D34)</f>
        <v>368215.18013090017</v>
      </c>
      <c r="E36" s="2">
        <f t="shared" ref="E36:F36" si="38">NPV(0.0619,E10:E34)</f>
        <v>292227.39640694077</v>
      </c>
      <c r="F36" s="2">
        <f t="shared" si="38"/>
        <v>75987.783723959365</v>
      </c>
      <c r="AA36" s="60">
        <f>NPV(0.0619,AA10:AA34)</f>
        <v>16722693.162508555</v>
      </c>
      <c r="AC36" s="10"/>
      <c r="AD36" s="10"/>
      <c r="AE36" s="60">
        <f>NPV(0.0619,AE10:AE34)</f>
        <v>59541585.658352412</v>
      </c>
      <c r="AG36" s="10"/>
      <c r="AH36" s="10"/>
      <c r="AI36" s="60">
        <f>NPV(0.0619,AI10:AI34)</f>
        <v>2192175.0196822966</v>
      </c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60">
        <f>NPV(0.0619,BA10:BA34)</f>
        <v>-366487.30573047785</v>
      </c>
      <c r="BE36" s="110">
        <f>NPV(0.0619,BE10:BE34)</f>
        <v>78089966.534812778</v>
      </c>
    </row>
    <row r="37" spans="3:59" x14ac:dyDescent="0.3">
      <c r="AA37" s="115">
        <f>+AA36/$D$36</f>
        <v>45.415545216152282</v>
      </c>
      <c r="AE37" s="115">
        <f>+AE36/$D$36</f>
        <v>161.70323460642072</v>
      </c>
      <c r="AI37" s="115">
        <f>+AI36/$D$36</f>
        <v>5.9535161448340617</v>
      </c>
      <c r="BA37" s="115">
        <f>+BA36/$D$36</f>
        <v>-0.99530743300749291</v>
      </c>
    </row>
    <row r="38" spans="3:59" x14ac:dyDescent="0.3">
      <c r="AE38" s="116"/>
    </row>
  </sheetData>
  <mergeCells count="11">
    <mergeCell ref="E7:F7"/>
    <mergeCell ref="H7:J7"/>
    <mergeCell ref="L7:N7"/>
    <mergeCell ref="P7:R7"/>
    <mergeCell ref="AK6:BA6"/>
    <mergeCell ref="AC7:AE7"/>
    <mergeCell ref="AG7:AI7"/>
    <mergeCell ref="AK7:AO7"/>
    <mergeCell ref="AP7:AT7"/>
    <mergeCell ref="AU7:AY7"/>
    <mergeCell ref="AG4:AI6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V57"/>
  <sheetViews>
    <sheetView topLeftCell="A3" workbookViewId="0">
      <pane xSplit="2" ySplit="11" topLeftCell="C17" activePane="bottomRight" state="frozen"/>
      <selection activeCell="A3" sqref="A3"/>
      <selection pane="topRight" activeCell="C3" sqref="C3"/>
      <selection pane="bottomLeft" activeCell="A14" sqref="A14"/>
      <selection pane="bottomRight" activeCell="U39" sqref="U39"/>
    </sheetView>
  </sheetViews>
  <sheetFormatPr defaultRowHeight="14.4" x14ac:dyDescent="0.3"/>
  <cols>
    <col min="3" max="3" width="13.77734375" customWidth="1"/>
    <col min="4" max="4" width="2.6640625" customWidth="1"/>
    <col min="5" max="5" width="12.33203125" customWidth="1"/>
    <col min="6" max="6" width="2.6640625" customWidth="1"/>
    <col min="7" max="7" width="12.44140625" bestFit="1" customWidth="1"/>
    <col min="8" max="8" width="2.6640625" customWidth="1"/>
    <col min="9" max="9" width="12.44140625" bestFit="1" customWidth="1"/>
    <col min="10" max="10" width="2.6640625" customWidth="1"/>
    <col min="11" max="11" width="12.44140625" bestFit="1" customWidth="1"/>
    <col min="12" max="12" width="2.6640625" customWidth="1"/>
    <col min="13" max="13" width="13.6640625" customWidth="1"/>
    <col min="14" max="14" width="2.6640625" customWidth="1"/>
    <col min="15" max="15" width="13.44140625" bestFit="1" customWidth="1"/>
    <col min="16" max="16" width="2.6640625" customWidth="1"/>
    <col min="17" max="17" width="16.109375" bestFit="1" customWidth="1"/>
    <col min="18" max="18" width="2.6640625" customWidth="1"/>
    <col min="19" max="19" width="12.77734375" customWidth="1"/>
    <col min="20" max="20" width="2.33203125" customWidth="1"/>
    <col min="21" max="21" width="14.77734375" bestFit="1" customWidth="1"/>
    <col min="22" max="22" width="12.77734375" customWidth="1"/>
  </cols>
  <sheetData>
    <row r="3" spans="1:22" ht="25.8" x14ac:dyDescent="0.5">
      <c r="C3" s="59" t="s">
        <v>108</v>
      </c>
    </row>
    <row r="5" spans="1:22" x14ac:dyDescent="0.3">
      <c r="C5" t="s">
        <v>26</v>
      </c>
      <c r="R5" s="1"/>
    </row>
    <row r="6" spans="1:22" s="1" customFormat="1" x14ac:dyDescent="0.3">
      <c r="C6" s="85" t="s">
        <v>27</v>
      </c>
    </row>
    <row r="7" spans="1:22" x14ac:dyDescent="0.3">
      <c r="C7" t="s">
        <v>120</v>
      </c>
    </row>
    <row r="9" spans="1:22" x14ac:dyDescent="0.3">
      <c r="C9" s="155" t="s">
        <v>138</v>
      </c>
      <c r="D9" s="155"/>
      <c r="F9" s="13"/>
      <c r="G9" s="13"/>
      <c r="M9" s="155" t="s">
        <v>19</v>
      </c>
      <c r="N9" s="12"/>
      <c r="O9" s="12"/>
    </row>
    <row r="10" spans="1:22" x14ac:dyDescent="0.3">
      <c r="E10" s="13"/>
      <c r="F10" s="13"/>
      <c r="G10" s="13"/>
      <c r="M10" s="10"/>
      <c r="N10" s="10"/>
    </row>
    <row r="11" spans="1:22" ht="15" thickBot="1" x14ac:dyDescent="0.35">
      <c r="C11" s="8"/>
      <c r="D11" s="8"/>
      <c r="E11" s="8"/>
      <c r="F11" s="8"/>
      <c r="G11" s="8"/>
      <c r="H11" s="8"/>
      <c r="I11" s="8"/>
      <c r="J11" s="8"/>
      <c r="K11" s="8"/>
      <c r="O11" s="10"/>
    </row>
    <row r="12" spans="1:22" ht="15" thickBot="1" x14ac:dyDescent="0.35">
      <c r="C12" s="14" t="s">
        <v>139</v>
      </c>
      <c r="D12" s="8"/>
      <c r="E12" s="13"/>
      <c r="F12" s="13"/>
      <c r="G12" s="13"/>
      <c r="H12" s="13"/>
      <c r="I12" s="13"/>
      <c r="J12" s="8"/>
      <c r="K12" s="14" t="s">
        <v>0</v>
      </c>
      <c r="L12" s="94"/>
      <c r="M12" s="95"/>
      <c r="N12" s="94"/>
      <c r="O12" s="153" t="s">
        <v>20</v>
      </c>
      <c r="P12" s="31"/>
      <c r="Q12" s="153" t="s">
        <v>32</v>
      </c>
      <c r="R12" s="94"/>
      <c r="S12" s="15" t="s">
        <v>0</v>
      </c>
      <c r="T12" s="94"/>
      <c r="U12" s="144" t="s">
        <v>14</v>
      </c>
    </row>
    <row r="13" spans="1:22" x14ac:dyDescent="0.3">
      <c r="A13" s="97" t="s">
        <v>4</v>
      </c>
      <c r="C13" s="16" t="s">
        <v>140</v>
      </c>
      <c r="D13" s="28"/>
      <c r="E13" s="150" t="s">
        <v>115</v>
      </c>
      <c r="F13" s="25"/>
      <c r="G13" s="150" t="s">
        <v>30</v>
      </c>
      <c r="H13" s="28"/>
      <c r="I13" s="150" t="s">
        <v>11</v>
      </c>
      <c r="J13" s="151"/>
      <c r="K13" s="16" t="s">
        <v>23</v>
      </c>
      <c r="L13" s="152"/>
      <c r="M13" s="153" t="s">
        <v>28</v>
      </c>
      <c r="N13" s="152"/>
      <c r="O13" s="154" t="s">
        <v>21</v>
      </c>
      <c r="P13" s="31"/>
      <c r="Q13" s="154" t="s">
        <v>22</v>
      </c>
      <c r="R13" s="95"/>
      <c r="S13" s="17" t="s">
        <v>24</v>
      </c>
      <c r="T13" s="94"/>
      <c r="U13" s="145" t="s">
        <v>25</v>
      </c>
    </row>
    <row r="14" spans="1:22" x14ac:dyDescent="0.3">
      <c r="C14" s="18"/>
      <c r="D14" s="13"/>
      <c r="E14" s="18"/>
      <c r="F14" s="8"/>
      <c r="G14" s="18"/>
      <c r="H14" s="19"/>
      <c r="I14" s="18"/>
      <c r="J14" s="13"/>
      <c r="K14" s="18"/>
      <c r="L14" s="10"/>
      <c r="M14" s="20"/>
      <c r="N14" s="10"/>
      <c r="O14" s="20"/>
      <c r="P14" s="10"/>
      <c r="Q14" s="20"/>
      <c r="R14" s="10"/>
      <c r="S14" s="20"/>
      <c r="U14" s="146"/>
    </row>
    <row r="15" spans="1:22" x14ac:dyDescent="0.3">
      <c r="A15">
        <v>2020</v>
      </c>
      <c r="C15" s="132">
        <f>'Multiyear Analysis Cost'!AA10</f>
        <v>1082261.2238696346</v>
      </c>
      <c r="D15" s="133"/>
      <c r="E15" s="132">
        <f>'Multiyear Analysis Cost'!BA10</f>
        <v>36479.07940365962</v>
      </c>
      <c r="F15" s="133"/>
      <c r="G15" s="132">
        <f>'Multiyear Analysis Cost'!AI10</f>
        <v>306600</v>
      </c>
      <c r="H15" s="133"/>
      <c r="I15" s="132">
        <f>'Multiyear Analysis Cost'!AE10</f>
        <v>3853419.3469636464</v>
      </c>
      <c r="J15" s="133"/>
      <c r="K15" s="132">
        <f>E15+C15+G15+I15</f>
        <v>5278759.65023694</v>
      </c>
      <c r="L15" s="133"/>
      <c r="M15" s="134">
        <f>-'Multiyear Analysis Benefits'!M23</f>
        <v>-919800</v>
      </c>
      <c r="N15" s="133"/>
      <c r="O15" s="134">
        <f>-'Multiyear Analysis Benefits'!E23</f>
        <v>-1276782.0450000002</v>
      </c>
      <c r="P15" s="133"/>
      <c r="Q15" s="134">
        <f>-('Multiyear Analysis Benefits'!H23+'Multiyear Analysis Benefits'!K23)</f>
        <v>-669103.03002332</v>
      </c>
      <c r="R15" s="133"/>
      <c r="S15" s="134">
        <f>M15+O15+Q15</f>
        <v>-2865685.07502332</v>
      </c>
      <c r="T15" s="133"/>
      <c r="U15" s="147">
        <f>K15+S15</f>
        <v>2413074.57521362</v>
      </c>
      <c r="V15" s="66"/>
    </row>
    <row r="16" spans="1:22" x14ac:dyDescent="0.3">
      <c r="A16">
        <f>A15+1</f>
        <v>2021</v>
      </c>
      <c r="C16" s="132">
        <f>'Multiyear Analysis Cost'!AA11</f>
        <v>1106151.1131914617</v>
      </c>
      <c r="D16" s="135"/>
      <c r="E16" s="132">
        <f>'Multiyear Analysis Cost'!BA11</f>
        <v>36297.040944795983</v>
      </c>
      <c r="F16" s="136"/>
      <c r="G16" s="132">
        <f>'Multiyear Analysis Cost'!AI11</f>
        <v>305070</v>
      </c>
      <c r="H16" s="135"/>
      <c r="I16" s="132">
        <f>'Multiyear Analysis Cost'!AE11</f>
        <v>3938479.9216929106</v>
      </c>
      <c r="J16" s="135"/>
      <c r="K16" s="132">
        <f t="shared" ref="K16:K40" si="0">E16+C16+G16+I16</f>
        <v>5385998.0758291688</v>
      </c>
      <c r="L16" s="137"/>
      <c r="M16" s="134">
        <f>-'Multiyear Analysis Benefits'!M24</f>
        <v>-915210</v>
      </c>
      <c r="N16" s="137"/>
      <c r="O16" s="134">
        <f>-'Multiyear Analysis Benefits'!E24</f>
        <v>-1257021.1054499999</v>
      </c>
      <c r="P16" s="137"/>
      <c r="Q16" s="134">
        <f>-('Multiyear Analysis Benefits'!H24+'Multiyear Analysis Benefits'!K24)</f>
        <v>-517671.21014102944</v>
      </c>
      <c r="R16" s="137"/>
      <c r="S16" s="134">
        <f t="shared" ref="S16:S40" si="1">M16+O16+Q16</f>
        <v>-2689902.3155910289</v>
      </c>
      <c r="T16" s="138"/>
      <c r="U16" s="147">
        <f t="shared" ref="U16:U40" si="2">K16+S16</f>
        <v>2696095.7602381399</v>
      </c>
      <c r="V16" s="66"/>
    </row>
    <row r="17" spans="1:22" x14ac:dyDescent="0.3">
      <c r="A17">
        <f t="shared" ref="A17:A39" si="3">A16+1</f>
        <v>2022</v>
      </c>
      <c r="C17" s="132">
        <f>'Multiyear Analysis Cost'!AA12</f>
        <v>1130539.9123485282</v>
      </c>
      <c r="D17" s="135"/>
      <c r="E17" s="132">
        <f>'Multiyear Analysis Cost'!BA12</f>
        <v>36115.002485932302</v>
      </c>
      <c r="F17" s="136"/>
      <c r="G17" s="132">
        <f>'Multiyear Analysis Cost'!AI12</f>
        <v>303540</v>
      </c>
      <c r="H17" s="135"/>
      <c r="I17" s="132">
        <f>'Multiyear Analysis Cost'!AE12</f>
        <v>4025316.8779177894</v>
      </c>
      <c r="J17" s="135"/>
      <c r="K17" s="132">
        <f t="shared" si="0"/>
        <v>5495511.7927522501</v>
      </c>
      <c r="L17" s="137"/>
      <c r="M17" s="134">
        <f>-'Multiyear Analysis Benefits'!M25</f>
        <v>-910620</v>
      </c>
      <c r="N17" s="137"/>
      <c r="O17" s="134">
        <f>-'Multiyear Analysis Benefits'!E25</f>
        <v>-1193303.7665999997</v>
      </c>
      <c r="P17" s="137"/>
      <c r="Q17" s="134">
        <f>-('Multiyear Analysis Benefits'!H25+'Multiyear Analysis Benefits'!K25)</f>
        <v>-428903.47309133341</v>
      </c>
      <c r="R17" s="137"/>
      <c r="S17" s="134">
        <f t="shared" si="1"/>
        <v>-2532827.2396913329</v>
      </c>
      <c r="T17" s="138"/>
      <c r="U17" s="147">
        <f t="shared" si="2"/>
        <v>2962684.5530609172</v>
      </c>
      <c r="V17" s="66"/>
    </row>
    <row r="18" spans="1:22" x14ac:dyDescent="0.3">
      <c r="A18">
        <f t="shared" si="3"/>
        <v>2023</v>
      </c>
      <c r="C18" s="132">
        <f>'Multiyear Analysis Cost'!AA13</f>
        <v>1155475.3455795303</v>
      </c>
      <c r="D18" s="135"/>
      <c r="E18" s="132">
        <f>'Multiyear Analysis Cost'!BA13</f>
        <v>35934.153820917432</v>
      </c>
      <c r="F18" s="136"/>
      <c r="G18" s="132">
        <f>'Multiyear Analysis Cost'!AI13</f>
        <v>302020</v>
      </c>
      <c r="H18" s="135"/>
      <c r="I18" s="132">
        <f>'Multiyear Analysis Cost'!AE13</f>
        <v>4114100.1390363052</v>
      </c>
      <c r="J18" s="135"/>
      <c r="K18" s="132">
        <f t="shared" si="0"/>
        <v>5607529.6384367533</v>
      </c>
      <c r="L18" s="137"/>
      <c r="M18" s="134">
        <f>-'Multiyear Analysis Benefits'!M26</f>
        <v>-906060</v>
      </c>
      <c r="N18" s="137"/>
      <c r="O18" s="134">
        <f>-'Multiyear Analysis Benefits'!E26</f>
        <v>-1142511.4580000001</v>
      </c>
      <c r="P18" s="137"/>
      <c r="Q18" s="134">
        <f>-('Multiyear Analysis Benefits'!H26+'Multiyear Analysis Benefits'!K26)</f>
        <v>-401132.38213366311</v>
      </c>
      <c r="R18" s="137"/>
      <c r="S18" s="134">
        <f t="shared" si="1"/>
        <v>-2449703.8401336633</v>
      </c>
      <c r="T18" s="138"/>
      <c r="U18" s="147">
        <f t="shared" si="2"/>
        <v>3157825.79830309</v>
      </c>
      <c r="V18" s="66"/>
    </row>
    <row r="19" spans="1:22" x14ac:dyDescent="0.3">
      <c r="A19">
        <f t="shared" si="3"/>
        <v>2024</v>
      </c>
      <c r="C19" s="132">
        <f>'Multiyear Analysis Cost'!AA14</f>
        <v>1180970.1465930317</v>
      </c>
      <c r="D19" s="135"/>
      <c r="E19" s="132">
        <f>'Multiyear Analysis Cost'!BA14</f>
        <v>35754.494949751344</v>
      </c>
      <c r="F19" s="136"/>
      <c r="G19" s="132">
        <f>'Multiyear Analysis Cost'!AI14</f>
        <v>300510</v>
      </c>
      <c r="H19" s="135"/>
      <c r="I19" s="132">
        <f>'Multiyear Analysis Cost'!AE14</f>
        <v>4204875.0437502982</v>
      </c>
      <c r="J19" s="135"/>
      <c r="K19" s="132">
        <f t="shared" si="0"/>
        <v>5722109.6852930812</v>
      </c>
      <c r="L19" s="137"/>
      <c r="M19" s="134">
        <f>-'Multiyear Analysis Benefits'!M27</f>
        <v>-480816</v>
      </c>
      <c r="N19" s="137"/>
      <c r="O19" s="134">
        <f>-'Multiyear Analysis Benefits'!E27</f>
        <v>-1142451.8721</v>
      </c>
      <c r="P19" s="137"/>
      <c r="Q19" s="134">
        <f>-('Multiyear Analysis Benefits'!H27+'Multiyear Analysis Benefits'!K27)</f>
        <v>-435770.9965962533</v>
      </c>
      <c r="R19" s="137"/>
      <c r="S19" s="134">
        <f t="shared" si="1"/>
        <v>-2059038.8686962533</v>
      </c>
      <c r="T19" s="138"/>
      <c r="U19" s="147">
        <f t="shared" si="2"/>
        <v>3663070.8165968279</v>
      </c>
      <c r="V19" s="66"/>
    </row>
    <row r="20" spans="1:22" x14ac:dyDescent="0.3">
      <c r="A20">
        <f t="shared" si="3"/>
        <v>2025</v>
      </c>
      <c r="C20" s="132">
        <f>'Multiyear Analysis Cost'!AA15</f>
        <v>1207037.3656945659</v>
      </c>
      <c r="D20" s="135"/>
      <c r="E20" s="132">
        <f>'Multiyear Analysis Cost'!BA15</f>
        <v>35576.025872434024</v>
      </c>
      <c r="F20" s="136"/>
      <c r="G20" s="132">
        <f>'Multiyear Analysis Cost'!AI15</f>
        <v>299010</v>
      </c>
      <c r="H20" s="135"/>
      <c r="I20" s="132">
        <f>'Multiyear Analysis Cost'!AE15</f>
        <v>4297688.0580133796</v>
      </c>
      <c r="J20" s="135"/>
      <c r="K20" s="132">
        <f t="shared" si="0"/>
        <v>5839311.4495803798</v>
      </c>
      <c r="L20" s="137"/>
      <c r="M20" s="134">
        <f>-'Multiyear Analysis Benefits'!M28</f>
        <v>-463465.5</v>
      </c>
      <c r="N20" s="137"/>
      <c r="O20" s="134">
        <f>-'Multiyear Analysis Benefits'!E28</f>
        <v>-1171120.5066</v>
      </c>
      <c r="P20" s="137"/>
      <c r="Q20" s="134">
        <f>-('Multiyear Analysis Benefits'!H28+'Multiyear Analysis Benefits'!K28)</f>
        <v>-432449.88906449586</v>
      </c>
      <c r="R20" s="137"/>
      <c r="S20" s="134">
        <f t="shared" si="1"/>
        <v>-2067035.8956644959</v>
      </c>
      <c r="T20" s="138"/>
      <c r="U20" s="147">
        <f t="shared" si="2"/>
        <v>3772275.5539158839</v>
      </c>
      <c r="V20" s="66"/>
    </row>
    <row r="21" spans="1:22" x14ac:dyDescent="0.3">
      <c r="A21">
        <f t="shared" si="3"/>
        <v>2026</v>
      </c>
      <c r="C21" s="132">
        <f>'Multiyear Analysis Cost'!AA16</f>
        <v>1233690.3783584982</v>
      </c>
      <c r="D21" s="135"/>
      <c r="E21" s="132">
        <f>'Multiyear Analysis Cost'!BA16</f>
        <v>35398.74658896547</v>
      </c>
      <c r="F21" s="136"/>
      <c r="G21" s="132">
        <f>'Multiyear Analysis Cost'!AI16</f>
        <v>297520</v>
      </c>
      <c r="H21" s="135"/>
      <c r="I21" s="132">
        <f>'Multiyear Analysis Cost'!AE16</f>
        <v>4392586.8055512803</v>
      </c>
      <c r="J21" s="135"/>
      <c r="K21" s="132">
        <f t="shared" si="0"/>
        <v>5959195.9304987434</v>
      </c>
      <c r="L21" s="137"/>
      <c r="M21" s="134">
        <f>-'Multiyear Analysis Benefits'!M29</f>
        <v>-446280</v>
      </c>
      <c r="N21" s="137"/>
      <c r="O21" s="134">
        <f>-'Multiyear Analysis Benefits'!E29</f>
        <v>-1203526.4164</v>
      </c>
      <c r="P21" s="137"/>
      <c r="Q21" s="134">
        <f>-('Multiyear Analysis Benefits'!H29+'Multiyear Analysis Benefits'!K29)</f>
        <v>-438162.9422542433</v>
      </c>
      <c r="R21" s="137"/>
      <c r="S21" s="134">
        <f t="shared" si="1"/>
        <v>-2087969.3586542434</v>
      </c>
      <c r="T21" s="138"/>
      <c r="U21" s="147">
        <f t="shared" si="2"/>
        <v>3871226.5718445</v>
      </c>
      <c r="V21" s="66"/>
    </row>
    <row r="22" spans="1:22" x14ac:dyDescent="0.3">
      <c r="A22">
        <f t="shared" si="3"/>
        <v>2027</v>
      </c>
      <c r="C22" s="132">
        <f>'Multiyear Analysis Cost'!AA17</f>
        <v>1260900.3003867131</v>
      </c>
      <c r="D22" s="135"/>
      <c r="E22" s="132">
        <f>'Multiyear Analysis Cost'!BA17</f>
        <v>35221.467305496946</v>
      </c>
      <c r="F22" s="136"/>
      <c r="G22" s="132">
        <f>'Multiyear Analysis Cost'!AI17</f>
        <v>296030</v>
      </c>
      <c r="H22" s="135"/>
      <c r="I22" s="132">
        <f>'Multiyear Analysis Cost'!AE17</f>
        <v>4489468.4434224023</v>
      </c>
      <c r="J22" s="135"/>
      <c r="K22" s="132">
        <f t="shared" si="0"/>
        <v>6081620.2111146124</v>
      </c>
      <c r="L22" s="137"/>
      <c r="M22" s="134">
        <f>-'Multiyear Analysis Benefits'!M30</f>
        <v>-444045</v>
      </c>
      <c r="N22" s="137"/>
      <c r="O22" s="134">
        <f>-'Multiyear Analysis Benefits'!E30</f>
        <v>-1233074.4810999997</v>
      </c>
      <c r="P22" s="137"/>
      <c r="Q22" s="134">
        <f>-('Multiyear Analysis Benefits'!H30+'Multiyear Analysis Benefits'!K30)</f>
        <v>-464584.89171390934</v>
      </c>
      <c r="R22" s="137"/>
      <c r="S22" s="134">
        <f t="shared" si="1"/>
        <v>-2141704.3728139093</v>
      </c>
      <c r="T22" s="138"/>
      <c r="U22" s="147">
        <f t="shared" si="2"/>
        <v>3939915.8383007031</v>
      </c>
      <c r="V22" s="66"/>
    </row>
    <row r="23" spans="1:22" x14ac:dyDescent="0.3">
      <c r="A23">
        <f t="shared" si="3"/>
        <v>2028</v>
      </c>
      <c r="C23" s="132">
        <f>'Multiyear Analysis Cost'!AA18</f>
        <v>1288721.4608976541</v>
      </c>
      <c r="D23" s="135"/>
      <c r="E23" s="132">
        <f>'Multiyear Analysis Cost'!BA18</f>
        <v>35045.377815877175</v>
      </c>
      <c r="F23" s="136"/>
      <c r="G23" s="132">
        <f>'Multiyear Analysis Cost'!AI18</f>
        <v>294550</v>
      </c>
      <c r="H23" s="135"/>
      <c r="I23" s="132">
        <f>'Multiyear Analysis Cost'!AE18</f>
        <v>4588526.4118715758</v>
      </c>
      <c r="J23" s="135"/>
      <c r="K23" s="132">
        <f t="shared" si="0"/>
        <v>6206843.2505851071</v>
      </c>
      <c r="L23" s="137"/>
      <c r="M23" s="134">
        <f>-'Multiyear Analysis Benefits'!M31</f>
        <v>-441825</v>
      </c>
      <c r="N23" s="137"/>
      <c r="O23" s="134">
        <f>-'Multiyear Analysis Benefits'!E31</f>
        <v>-1263846.3034999999</v>
      </c>
      <c r="P23" s="137"/>
      <c r="Q23" s="134">
        <f>-('Multiyear Analysis Benefits'!H31+'Multiyear Analysis Benefits'!K31)</f>
        <v>-497450.57274447032</v>
      </c>
      <c r="R23" s="137"/>
      <c r="S23" s="134">
        <f t="shared" si="1"/>
        <v>-2203121.8762444705</v>
      </c>
      <c r="T23" s="138"/>
      <c r="U23" s="147">
        <f t="shared" si="2"/>
        <v>4003721.3743406367</v>
      </c>
      <c r="V23" s="66"/>
    </row>
    <row r="24" spans="1:22" x14ac:dyDescent="0.3">
      <c r="A24">
        <f t="shared" si="3"/>
        <v>2029</v>
      </c>
      <c r="C24" s="132">
        <f>'Multiyear Analysis Cost'!AA19</f>
        <v>1317168.170336287</v>
      </c>
      <c r="D24" s="135"/>
      <c r="E24" s="132">
        <f>'Multiyear Analysis Cost'!BA19</f>
        <v>34870.478120106214</v>
      </c>
      <c r="F24" s="136"/>
      <c r="G24" s="132">
        <f>'Multiyear Analysis Cost'!AI19</f>
        <v>293080</v>
      </c>
      <c r="H24" s="135"/>
      <c r="I24" s="132">
        <f>'Multiyear Analysis Cost'!AE19</f>
        <v>4689811.6636117641</v>
      </c>
      <c r="J24" s="135"/>
      <c r="K24" s="132">
        <f t="shared" si="0"/>
        <v>6334930.3120681569</v>
      </c>
      <c r="L24" s="137"/>
      <c r="M24" s="134">
        <f>-'Multiyear Analysis Benefits'!M32</f>
        <v>-439620</v>
      </c>
      <c r="N24" s="137"/>
      <c r="O24" s="134">
        <f>-'Multiyear Analysis Benefits'!E32</f>
        <v>-1299191.4012</v>
      </c>
      <c r="P24" s="137"/>
      <c r="Q24" s="134">
        <f>-('Multiyear Analysis Benefits'!H32+'Multiyear Analysis Benefits'!K32)</f>
        <v>-526770.93535742373</v>
      </c>
      <c r="R24" s="137"/>
      <c r="S24" s="134">
        <f t="shared" si="1"/>
        <v>-2265582.3365574237</v>
      </c>
      <c r="T24" s="138"/>
      <c r="U24" s="147">
        <f t="shared" si="2"/>
        <v>4069347.9755107332</v>
      </c>
      <c r="V24" s="66"/>
    </row>
    <row r="25" spans="1:22" x14ac:dyDescent="0.3">
      <c r="A25">
        <f t="shared" si="3"/>
        <v>2030</v>
      </c>
      <c r="C25" s="132">
        <f>'Multiyear Analysis Cost'!AA20</f>
        <v>1346208.9330827508</v>
      </c>
      <c r="D25" s="135"/>
      <c r="E25" s="132">
        <f>'Multiyear Analysis Cost'!BA20</f>
        <v>-122773.82157566477</v>
      </c>
      <c r="F25" s="136"/>
      <c r="G25" s="132">
        <f>'Multiyear Analysis Cost'!AI20</f>
        <v>0</v>
      </c>
      <c r="H25" s="135"/>
      <c r="I25" s="132">
        <f>'Multiyear Analysis Cost'!AE20</f>
        <v>4793212.0576660605</v>
      </c>
      <c r="J25" s="135"/>
      <c r="K25" s="132">
        <f t="shared" si="0"/>
        <v>6016647.1691731466</v>
      </c>
      <c r="L25" s="137"/>
      <c r="M25" s="134">
        <f>-'Multiyear Analysis Benefits'!M33</f>
        <v>-437415</v>
      </c>
      <c r="N25" s="137"/>
      <c r="O25" s="134">
        <f>-'Multiyear Analysis Benefits'!E33</f>
        <v>-1334728.1309999998</v>
      </c>
      <c r="P25" s="137"/>
      <c r="Q25" s="134">
        <f>-('Multiyear Analysis Benefits'!H33+'Multiyear Analysis Benefits'!K33)</f>
        <v>-547809.32990854734</v>
      </c>
      <c r="R25" s="137"/>
      <c r="S25" s="134">
        <f t="shared" si="1"/>
        <v>-2319952.460908547</v>
      </c>
      <c r="T25" s="138"/>
      <c r="U25" s="147">
        <f t="shared" si="2"/>
        <v>3696694.7082645996</v>
      </c>
      <c r="V25" s="66"/>
    </row>
    <row r="26" spans="1:22" x14ac:dyDescent="0.3">
      <c r="A26">
        <f t="shared" si="3"/>
        <v>2031</v>
      </c>
      <c r="C26" s="132">
        <f>'Multiyear Analysis Cost'!AA21</f>
        <v>1375902.4400074203</v>
      </c>
      <c r="D26" s="135"/>
      <c r="E26" s="132">
        <f>'Multiyear Analysis Cost'!BA21</f>
        <v>-122159.13147758695</v>
      </c>
      <c r="F26" s="136"/>
      <c r="G26" s="132">
        <f>'Multiyear Analysis Cost'!AI21</f>
        <v>0</v>
      </c>
      <c r="H26" s="135"/>
      <c r="I26" s="132">
        <f>'Multiyear Analysis Cost'!AE21</f>
        <v>4898936.5644109342</v>
      </c>
      <c r="J26" s="135"/>
      <c r="K26" s="132">
        <f t="shared" si="0"/>
        <v>6152679.8729407676</v>
      </c>
      <c r="L26" s="137"/>
      <c r="M26" s="134">
        <f>-'Multiyear Analysis Benefits'!M34</f>
        <v>-435225</v>
      </c>
      <c r="N26" s="137"/>
      <c r="O26" s="134">
        <f>-'Multiyear Analysis Benefits'!E34</f>
        <v>-1372616.95725</v>
      </c>
      <c r="P26" s="137"/>
      <c r="Q26" s="134">
        <f>-('Multiyear Analysis Benefits'!H34+'Multiyear Analysis Benefits'!K34)</f>
        <v>-553814.0180867702</v>
      </c>
      <c r="R26" s="137"/>
      <c r="S26" s="134">
        <f t="shared" si="1"/>
        <v>-2361655.9753367701</v>
      </c>
      <c r="T26" s="138"/>
      <c r="U26" s="147">
        <f t="shared" si="2"/>
        <v>3791023.8976039975</v>
      </c>
      <c r="V26" s="66"/>
    </row>
    <row r="27" spans="1:22" x14ac:dyDescent="0.3">
      <c r="A27">
        <f t="shared" si="3"/>
        <v>2032</v>
      </c>
      <c r="C27" s="132">
        <f>'Multiyear Analysis Cost'!AA22</f>
        <v>1406264.0047101227</v>
      </c>
      <c r="D27" s="135"/>
      <c r="E27" s="132">
        <f>'Multiyear Analysis Cost'!BA22</f>
        <v>-121548.65158566035</v>
      </c>
      <c r="F27" s="136"/>
      <c r="G27" s="132">
        <f>'Multiyear Analysis Cost'!AI22</f>
        <v>0</v>
      </c>
      <c r="H27" s="135"/>
      <c r="I27" s="132">
        <f>'Multiyear Analysis Cost'!AE22</f>
        <v>5007039.70831843</v>
      </c>
      <c r="J27" s="135"/>
      <c r="K27" s="132">
        <f t="shared" si="0"/>
        <v>6291755.0614428921</v>
      </c>
      <c r="L27" s="137"/>
      <c r="M27" s="134">
        <f>-'Multiyear Analysis Benefits'!M35</f>
        <v>-433050</v>
      </c>
      <c r="N27" s="137"/>
      <c r="O27" s="134">
        <f>-'Multiyear Analysis Benefits'!E35</f>
        <v>-1413424.6775</v>
      </c>
      <c r="P27" s="137"/>
      <c r="Q27" s="134">
        <f>-('Multiyear Analysis Benefits'!H35+'Multiyear Analysis Benefits'!K35)</f>
        <v>-542691.91007742286</v>
      </c>
      <c r="R27" s="137"/>
      <c r="S27" s="134">
        <f t="shared" si="1"/>
        <v>-2389166.5875774231</v>
      </c>
      <c r="T27" s="138"/>
      <c r="U27" s="147">
        <f t="shared" si="2"/>
        <v>3902588.473865469</v>
      </c>
      <c r="V27" s="66"/>
    </row>
    <row r="28" spans="1:22" x14ac:dyDescent="0.3">
      <c r="A28">
        <f t="shared" si="3"/>
        <v>2033</v>
      </c>
      <c r="C28" s="132">
        <f>'Multiyear Analysis Cost'!AA23</f>
        <v>1437309.3260077594</v>
      </c>
      <c r="D28" s="135"/>
      <c r="E28" s="132">
        <f>'Multiyear Analysis Cost'!BA23</f>
        <v>-120942.38189988499</v>
      </c>
      <c r="F28" s="136"/>
      <c r="G28" s="132">
        <f>'Multiyear Analysis Cost'!AI23</f>
        <v>0</v>
      </c>
      <c r="H28" s="135"/>
      <c r="I28" s="132">
        <f>'Multiyear Analysis Cost'!AE23</f>
        <v>5117577.3854360441</v>
      </c>
      <c r="J28" s="135"/>
      <c r="K28" s="132">
        <f t="shared" si="0"/>
        <v>6433944.3295439184</v>
      </c>
      <c r="L28" s="137"/>
      <c r="M28" s="134">
        <f>-'Multiyear Analysis Benefits'!M36</f>
        <v>-430890</v>
      </c>
      <c r="N28" s="137"/>
      <c r="O28" s="134">
        <f>-'Multiyear Analysis Benefits'!E36</f>
        <v>-1452603.4412999998</v>
      </c>
      <c r="P28" s="137"/>
      <c r="Q28" s="134">
        <f>-('Multiyear Analysis Benefits'!H36+'Multiyear Analysis Benefits'!K36)</f>
        <v>-531796.58489338681</v>
      </c>
      <c r="R28" s="137"/>
      <c r="S28" s="134">
        <f t="shared" si="1"/>
        <v>-2415290.0261933869</v>
      </c>
      <c r="T28" s="138"/>
      <c r="U28" s="147">
        <f t="shared" si="2"/>
        <v>4018654.3033505315</v>
      </c>
      <c r="V28" s="66"/>
    </row>
    <row r="29" spans="1:22" x14ac:dyDescent="0.3">
      <c r="A29">
        <f t="shared" si="3"/>
        <v>2034</v>
      </c>
      <c r="C29" s="132">
        <f>'Multiyear Analysis Cost'!AA24</f>
        <v>1469003.1024227433</v>
      </c>
      <c r="D29" s="135"/>
      <c r="E29" s="132">
        <f>'Multiyear Analysis Cost'!BA24</f>
        <v>-120336.11221410961</v>
      </c>
      <c r="F29" s="136"/>
      <c r="G29" s="132">
        <f>'Multiyear Analysis Cost'!AI24</f>
        <v>0</v>
      </c>
      <c r="H29" s="135"/>
      <c r="I29" s="132">
        <f>'Multiyear Analysis Cost'!AE24</f>
        <v>5230423.9039310561</v>
      </c>
      <c r="J29" s="135"/>
      <c r="K29" s="132">
        <f t="shared" si="0"/>
        <v>6579090.8941396903</v>
      </c>
      <c r="L29" s="137"/>
      <c r="M29" s="134">
        <f>-'Multiyear Analysis Benefits'!M37</f>
        <v>-428730</v>
      </c>
      <c r="N29" s="137"/>
      <c r="O29" s="134">
        <f>-'Multiyear Analysis Benefits'!E37</f>
        <v>-1497292.3647</v>
      </c>
      <c r="P29" s="137"/>
      <c r="Q29" s="134">
        <f>-('Multiyear Analysis Benefits'!H37+'Multiyear Analysis Benefits'!K37)</f>
        <v>-521123.38809913147</v>
      </c>
      <c r="R29" s="137"/>
      <c r="S29" s="134">
        <f t="shared" si="1"/>
        <v>-2447145.7527991314</v>
      </c>
      <c r="T29" s="138"/>
      <c r="U29" s="147">
        <f t="shared" si="2"/>
        <v>4131945.1413405589</v>
      </c>
      <c r="V29" s="66"/>
    </row>
    <row r="30" spans="1:22" x14ac:dyDescent="0.3">
      <c r="A30">
        <f t="shared" si="3"/>
        <v>2035</v>
      </c>
      <c r="C30" s="132">
        <f>'Multiyear Analysis Cost'!AA25</f>
        <v>1501410.4354086823</v>
      </c>
      <c r="D30" s="135"/>
      <c r="E30" s="132">
        <f>'Multiyear Analysis Cost'!BA25</f>
        <v>-119734.05273448545</v>
      </c>
      <c r="F30" s="136"/>
      <c r="G30" s="132">
        <f>'Multiyear Analysis Cost'!AI25</f>
        <v>0</v>
      </c>
      <c r="H30" s="135"/>
      <c r="I30" s="132">
        <f>'Multiyear Analysis Cost'!AE25</f>
        <v>5345811.0592289278</v>
      </c>
      <c r="J30" s="135"/>
      <c r="K30" s="132">
        <f t="shared" si="0"/>
        <v>6727487.4419031246</v>
      </c>
      <c r="L30" s="137"/>
      <c r="M30" s="134">
        <f>-'Multiyear Analysis Benefits'!M38</f>
        <v>-426585</v>
      </c>
      <c r="N30" s="137"/>
      <c r="O30" s="134">
        <f>-'Multiyear Analysis Benefits'!E38</f>
        <v>-1545969.6351000001</v>
      </c>
      <c r="P30" s="137"/>
      <c r="Q30" s="134">
        <f>-('Multiyear Analysis Benefits'!H38+'Multiyear Analysis Benefits'!K38)</f>
        <v>-510667.76104950876</v>
      </c>
      <c r="R30" s="137"/>
      <c r="S30" s="134">
        <f t="shared" si="1"/>
        <v>-2483222.3961495087</v>
      </c>
      <c r="T30" s="138"/>
      <c r="U30" s="147">
        <f t="shared" si="2"/>
        <v>4244265.0457536159</v>
      </c>
      <c r="V30" s="66"/>
    </row>
    <row r="31" spans="1:22" x14ac:dyDescent="0.3">
      <c r="A31">
        <f t="shared" si="3"/>
        <v>2036</v>
      </c>
      <c r="C31" s="132">
        <f>'Multiyear Analysis Cost'!AA26</f>
        <v>1534548.1301180823</v>
      </c>
      <c r="D31" s="135"/>
      <c r="E31" s="132">
        <f>'Multiyear Analysis Cost'!BA26</f>
        <v>-119136.20346101251</v>
      </c>
      <c r="F31" s="136"/>
      <c r="G31" s="132">
        <f>'Multiyear Analysis Cost'!AI26</f>
        <v>0</v>
      </c>
      <c r="H31" s="135"/>
      <c r="I31" s="132">
        <f>'Multiyear Analysis Cost'!AE26</f>
        <v>5463798.6865139632</v>
      </c>
      <c r="J31" s="135"/>
      <c r="K31" s="132">
        <f t="shared" si="0"/>
        <v>6879210.6131710326</v>
      </c>
      <c r="L31" s="137"/>
      <c r="M31" s="134">
        <f>-'Multiyear Analysis Benefits'!M39</f>
        <v>-424455</v>
      </c>
      <c r="N31" s="137"/>
      <c r="O31" s="134">
        <f>-'Multiyear Analysis Benefits'!E39</f>
        <v>-1597982.5245999999</v>
      </c>
      <c r="P31" s="137"/>
      <c r="Q31" s="134">
        <f>-('Multiyear Analysis Benefits'!H39+'Multiyear Analysis Benefits'!K39)</f>
        <v>-500425.23891605774</v>
      </c>
      <c r="R31" s="137"/>
      <c r="S31" s="134">
        <f t="shared" si="1"/>
        <v>-2522862.7635160577</v>
      </c>
      <c r="T31" s="138"/>
      <c r="U31" s="147">
        <f t="shared" si="2"/>
        <v>4356347.8496549744</v>
      </c>
      <c r="V31" s="66"/>
    </row>
    <row r="32" spans="1:22" x14ac:dyDescent="0.3">
      <c r="A32">
        <f t="shared" si="3"/>
        <v>2037</v>
      </c>
      <c r="C32" s="132">
        <f>'Multiyear Analysis Cost'!AA27</f>
        <v>1568433.4170452119</v>
      </c>
      <c r="D32" s="135"/>
      <c r="E32" s="132">
        <f>'Multiyear Analysis Cost'!BA27</f>
        <v>-118542.56439369079</v>
      </c>
      <c r="F32" s="136"/>
      <c r="G32" s="132">
        <f>'Multiyear Analysis Cost'!AI27</f>
        <v>0</v>
      </c>
      <c r="H32" s="135"/>
      <c r="I32" s="132">
        <f>'Multiyear Analysis Cost'!AE27</f>
        <v>5584448.1354109189</v>
      </c>
      <c r="J32" s="135"/>
      <c r="K32" s="132">
        <f t="shared" si="0"/>
        <v>7034338.9880624395</v>
      </c>
      <c r="L32" s="137"/>
      <c r="M32" s="134">
        <f>-'Multiyear Analysis Benefits'!M40</f>
        <v>-422340</v>
      </c>
      <c r="N32" s="137"/>
      <c r="O32" s="134">
        <f>-'Multiyear Analysis Benefits'!E40</f>
        <v>-1649454.5011999998</v>
      </c>
      <c r="P32" s="137"/>
      <c r="Q32" s="134">
        <f>-('Multiyear Analysis Benefits'!H40+'Multiyear Analysis Benefits'!K40)</f>
        <v>-490391.44875399733</v>
      </c>
      <c r="R32" s="137"/>
      <c r="S32" s="134">
        <f t="shared" si="1"/>
        <v>-2562185.949953997</v>
      </c>
      <c r="T32" s="138"/>
      <c r="U32" s="147">
        <f t="shared" si="2"/>
        <v>4472153.038108442</v>
      </c>
      <c r="V32" s="66"/>
    </row>
    <row r="33" spans="1:22" x14ac:dyDescent="0.3">
      <c r="A33">
        <f t="shared" si="3"/>
        <v>2038</v>
      </c>
      <c r="C33" s="132">
        <f>'Multiyear Analysis Cost'!AA28</f>
        <v>1603026.7434925907</v>
      </c>
      <c r="D33" s="135"/>
      <c r="E33" s="132">
        <f>'Multiyear Analysis Cost'!BA28</f>
        <v>-117948.92532636906</v>
      </c>
      <c r="F33" s="136"/>
      <c r="G33" s="132">
        <f>'Multiyear Analysis Cost'!AI28</f>
        <v>0</v>
      </c>
      <c r="H33" s="135"/>
      <c r="I33" s="132">
        <f>'Multiyear Analysis Cost'!AE28</f>
        <v>5707618.5775076384</v>
      </c>
      <c r="J33" s="135"/>
      <c r="K33" s="132">
        <f t="shared" si="0"/>
        <v>7192696.3956738599</v>
      </c>
      <c r="L33" s="137"/>
      <c r="M33" s="134">
        <f>-'Multiyear Analysis Benefits'!M41</f>
        <v>-420225</v>
      </c>
      <c r="N33" s="137"/>
      <c r="O33" s="134">
        <f>-'Multiyear Analysis Benefits'!E41</f>
        <v>-1703844.2849999999</v>
      </c>
      <c r="P33" s="137"/>
      <c r="Q33" s="134">
        <f>-('Multiyear Analysis Benefits'!H41+'Multiyear Analysis Benefits'!K41)</f>
        <v>-480562.1076090649</v>
      </c>
      <c r="R33" s="137"/>
      <c r="S33" s="134">
        <f t="shared" si="1"/>
        <v>-2604631.3926090649</v>
      </c>
      <c r="T33" s="138"/>
      <c r="U33" s="147">
        <f t="shared" si="2"/>
        <v>4588065.0030647945</v>
      </c>
      <c r="V33" s="66"/>
    </row>
    <row r="34" spans="1:22" x14ac:dyDescent="0.3">
      <c r="A34">
        <f t="shared" si="3"/>
        <v>2039</v>
      </c>
      <c r="C34" s="132">
        <f>'Multiyear Analysis Cost'!AA29</f>
        <v>1638400.333813031</v>
      </c>
      <c r="D34" s="135"/>
      <c r="E34" s="132">
        <f>'Multiyear Analysis Cost'!BA29</f>
        <v>-117359.49646519855</v>
      </c>
      <c r="F34" s="136"/>
      <c r="G34" s="132">
        <f>'Multiyear Analysis Cost'!AI29</f>
        <v>0</v>
      </c>
      <c r="H34" s="135"/>
      <c r="I34" s="132">
        <f>'Multiyear Analysis Cost'!AE29</f>
        <v>5833567.1694981866</v>
      </c>
      <c r="J34" s="135"/>
      <c r="K34" s="132">
        <f t="shared" si="0"/>
        <v>7354608.0068460191</v>
      </c>
      <c r="L34" s="137"/>
      <c r="M34" s="134">
        <f>-'Multiyear Analysis Benefits'!M42</f>
        <v>-418125</v>
      </c>
      <c r="N34" s="137"/>
      <c r="O34" s="134">
        <f>-'Multiyear Analysis Benefits'!E42</f>
        <v>-1761162.0125</v>
      </c>
      <c r="P34" s="137"/>
      <c r="Q34" s="134">
        <f>-('Multiyear Analysis Benefits'!H42+'Multiyear Analysis Benefits'!K42)</f>
        <v>-470933.02066338231</v>
      </c>
      <c r="R34" s="137"/>
      <c r="S34" s="134">
        <f t="shared" si="1"/>
        <v>-2650220.0331633827</v>
      </c>
      <c r="T34" s="138"/>
      <c r="U34" s="147">
        <f t="shared" si="2"/>
        <v>4704387.9736826364</v>
      </c>
      <c r="V34" s="66"/>
    </row>
    <row r="35" spans="1:22" x14ac:dyDescent="0.3">
      <c r="A35">
        <f t="shared" si="3"/>
        <v>2040</v>
      </c>
      <c r="C35" s="132">
        <f>'Multiyear Analysis Cost'!AA30</f>
        <v>1674512.2641409966</v>
      </c>
      <c r="D35" s="135"/>
      <c r="E35" s="132">
        <f>'Multiyear Analysis Cost'!BA30</f>
        <v>-116770.06760402807</v>
      </c>
      <c r="F35" s="136"/>
      <c r="G35" s="132">
        <f>'Multiyear Analysis Cost'!AI30</f>
        <v>0</v>
      </c>
      <c r="H35" s="135"/>
      <c r="I35" s="132">
        <f>'Multiyear Analysis Cost'!AE30</f>
        <v>5962144.6403646376</v>
      </c>
      <c r="J35" s="135"/>
      <c r="K35" s="132">
        <f t="shared" si="0"/>
        <v>7519886.8369016061</v>
      </c>
      <c r="L35" s="137"/>
      <c r="M35" s="134">
        <f>-'Multiyear Analysis Benefits'!M43</f>
        <v>-416025</v>
      </c>
      <c r="N35" s="137"/>
      <c r="O35" s="134">
        <f>-'Multiyear Analysis Benefits'!E43</f>
        <v>-1822745.58675</v>
      </c>
      <c r="P35" s="137"/>
      <c r="Q35" s="134">
        <f>-('Multiyear Analysis Benefits'!H43+'Multiyear Analysis Benefits'!K43)</f>
        <v>-461500.07941954094</v>
      </c>
      <c r="R35" s="137"/>
      <c r="S35" s="134">
        <f t="shared" si="1"/>
        <v>-2700270.666169541</v>
      </c>
      <c r="T35" s="138"/>
      <c r="U35" s="147">
        <f t="shared" si="2"/>
        <v>4819616.1707320651</v>
      </c>
      <c r="V35" s="66"/>
    </row>
    <row r="36" spans="1:22" x14ac:dyDescent="0.3">
      <c r="A36">
        <f t="shared" si="3"/>
        <v>2041</v>
      </c>
      <c r="C36" s="132">
        <f>'Multiyear Analysis Cost'!AA31</f>
        <v>1711500.5646379755</v>
      </c>
      <c r="D36" s="135"/>
      <c r="E36" s="132">
        <f>'Multiyear Analysis Cost'!BA31</f>
        <v>-116189.05915515999</v>
      </c>
      <c r="F36" s="136"/>
      <c r="G36" s="132">
        <f>'Multiyear Analysis Cost'!AI31</f>
        <v>0</v>
      </c>
      <c r="H36" s="135"/>
      <c r="I36" s="132">
        <f>'Multiyear Analysis Cost'!AE31</f>
        <v>6093842.4501011278</v>
      </c>
      <c r="J36" s="135"/>
      <c r="K36" s="132">
        <f t="shared" si="0"/>
        <v>7689153.9555839431</v>
      </c>
      <c r="L36" s="137"/>
      <c r="M36" s="134">
        <f>-'Multiyear Analysis Benefits'!M44</f>
        <v>-413955</v>
      </c>
      <c r="N36" s="137"/>
      <c r="O36" s="134">
        <f>-'Multiyear Analysis Benefits'!E44</f>
        <v>-1887503.7142500002</v>
      </c>
      <c r="P36" s="137"/>
      <c r="Q36" s="134">
        <f>-('Multiyear Analysis Benefits'!H44+'Multiyear Analysis Benefits'!K44)</f>
        <v>-452259.25992212223</v>
      </c>
      <c r="R36" s="137"/>
      <c r="S36" s="134">
        <f t="shared" si="1"/>
        <v>-2753717.9741721223</v>
      </c>
      <c r="T36" s="138"/>
      <c r="U36" s="147">
        <f t="shared" si="2"/>
        <v>4935435.9814118203</v>
      </c>
      <c r="V36" s="66"/>
    </row>
    <row r="37" spans="1:22" x14ac:dyDescent="0.3">
      <c r="A37">
        <f t="shared" si="3"/>
        <v>2042</v>
      </c>
      <c r="C37" s="132">
        <f>'Multiyear Analysis Cost'!AA32</f>
        <v>1749262.1575284882</v>
      </c>
      <c r="D37" s="135"/>
      <c r="E37" s="132">
        <f>'Multiyear Analysis Cost'!BA32</f>
        <v>-115608.05070629192</v>
      </c>
      <c r="F37" s="136"/>
      <c r="G37" s="132">
        <f>'Multiyear Analysis Cost'!AI32</f>
        <v>0</v>
      </c>
      <c r="H37" s="135"/>
      <c r="I37" s="132">
        <f>'Multiyear Analysis Cost'!AE32</f>
        <v>6228293.5875965552</v>
      </c>
      <c r="J37" s="135"/>
      <c r="K37" s="132">
        <f t="shared" si="0"/>
        <v>7861947.6944187516</v>
      </c>
      <c r="L37" s="137"/>
      <c r="M37" s="134">
        <f>-'Multiyear Analysis Benefits'!M45</f>
        <v>-411885</v>
      </c>
      <c r="N37" s="137"/>
      <c r="O37" s="134">
        <f>-'Multiyear Analysis Benefits'!E45</f>
        <v>-1955253.7916999999</v>
      </c>
      <c r="P37" s="137"/>
      <c r="Q37" s="134">
        <f>-('Multiyear Analysis Benefits'!H45+'Multiyear Analysis Benefits'!K45)</f>
        <v>-443206.62101587775</v>
      </c>
      <c r="R37" s="137"/>
      <c r="S37" s="134">
        <f t="shared" si="1"/>
        <v>-2810345.4127158779</v>
      </c>
      <c r="T37" s="138"/>
      <c r="U37" s="147">
        <f t="shared" si="2"/>
        <v>5051602.2817028742</v>
      </c>
      <c r="V37" s="66"/>
    </row>
    <row r="38" spans="1:22" x14ac:dyDescent="0.3">
      <c r="A38">
        <f t="shared" si="3"/>
        <v>2043</v>
      </c>
      <c r="C38" s="132">
        <f>'Multiyear Analysis Cost'!AA33</f>
        <v>1787811.7444945027</v>
      </c>
      <c r="D38" s="139"/>
      <c r="E38" s="132">
        <f>'Multiyear Analysis Cost'!BA33</f>
        <v>-115027.04225742386</v>
      </c>
      <c r="F38" s="136"/>
      <c r="G38" s="132">
        <f>'Multiyear Analysis Cost'!AI33</f>
        <v>0</v>
      </c>
      <c r="H38" s="136"/>
      <c r="I38" s="132">
        <f>'Multiyear Analysis Cost'!AE33</f>
        <v>6365550.3985734507</v>
      </c>
      <c r="J38" s="136"/>
      <c r="K38" s="132">
        <f t="shared" si="0"/>
        <v>8038335.1008105297</v>
      </c>
      <c r="L38" s="138"/>
      <c r="M38" s="134">
        <f>-'Multiyear Analysis Benefits'!M46</f>
        <v>-409815</v>
      </c>
      <c r="N38" s="138"/>
      <c r="O38" s="134">
        <f>-'Multiyear Analysis Benefits'!E46</f>
        <v>-2027652.6038999998</v>
      </c>
      <c r="P38" s="138"/>
      <c r="Q38" s="134">
        <f>-('Multiyear Analysis Benefits'!H46+'Multiyear Analysis Benefits'!K46)</f>
        <v>-434338.30263981619</v>
      </c>
      <c r="R38" s="138"/>
      <c r="S38" s="134">
        <f t="shared" si="1"/>
        <v>-2871805.9065398155</v>
      </c>
      <c r="T38" s="138"/>
      <c r="U38" s="147">
        <f t="shared" si="2"/>
        <v>5166529.1942707142</v>
      </c>
      <c r="V38" s="66"/>
    </row>
    <row r="39" spans="1:22" ht="15" thickBot="1" x14ac:dyDescent="0.35">
      <c r="A39">
        <f t="shared" si="3"/>
        <v>2044</v>
      </c>
      <c r="C39" s="140">
        <f>'Multiyear Analysis Cost'!AA34</f>
        <v>1827298.6892111604</v>
      </c>
      <c r="D39" s="138"/>
      <c r="E39" s="140">
        <f>'Multiyear Analysis Cost'!BA34</f>
        <v>-114454.45422085823</v>
      </c>
      <c r="F39" s="138"/>
      <c r="G39" s="132">
        <f>'Multiyear Analysis Cost'!AI34</f>
        <v>0</v>
      </c>
      <c r="H39" s="138"/>
      <c r="I39" s="140">
        <f>'Multiyear Analysis Cost'!AE34</f>
        <v>6506144.6962972516</v>
      </c>
      <c r="J39" s="138"/>
      <c r="K39" s="132">
        <f t="shared" si="0"/>
        <v>8218988.9312875541</v>
      </c>
      <c r="L39" s="138"/>
      <c r="M39" s="141">
        <f>-'Multiyear Analysis Benefits'!M47</f>
        <v>-407775</v>
      </c>
      <c r="N39" s="138"/>
      <c r="O39" s="141">
        <f>-'Multiyear Analysis Benefits'!E47</f>
        <v>-2099659.3007499995</v>
      </c>
      <c r="P39" s="138"/>
      <c r="Q39" s="141">
        <f>-('Multiyear Analysis Benefits'!H47+'Multiyear Analysis Benefits'!K47)</f>
        <v>-425650.52415645437</v>
      </c>
      <c r="R39" s="138"/>
      <c r="S39" s="134">
        <f t="shared" si="1"/>
        <v>-2933084.824906454</v>
      </c>
      <c r="T39" s="138"/>
      <c r="U39" s="148">
        <f t="shared" si="2"/>
        <v>5285904.1063810997</v>
      </c>
      <c r="V39" s="66"/>
    </row>
    <row r="40" spans="1:22" ht="15" thickBot="1" x14ac:dyDescent="0.35">
      <c r="A40" t="s">
        <v>104</v>
      </c>
      <c r="C40" s="142">
        <f>SUM(C15:C39)</f>
        <v>35593807.703377426</v>
      </c>
      <c r="D40" s="138"/>
      <c r="E40" s="142">
        <f>SUM(E15:E39)</f>
        <v>-1421838.1477694886</v>
      </c>
      <c r="F40" s="138"/>
      <c r="G40" s="142">
        <f>SUM(G15:G39)</f>
        <v>2997930</v>
      </c>
      <c r="H40" s="138"/>
      <c r="I40" s="142">
        <f>SUM(I15:I39)</f>
        <v>126732681.73268652</v>
      </c>
      <c r="J40" s="138"/>
      <c r="K40" s="142">
        <f t="shared" si="0"/>
        <v>163902581.28829446</v>
      </c>
      <c r="L40" s="138"/>
      <c r="M40" s="143">
        <f>SUM(M15:M39)</f>
        <v>-12704236.5</v>
      </c>
      <c r="N40" s="138"/>
      <c r="O40" s="143">
        <f>SUM(O15:O39)</f>
        <v>-37304722.883450001</v>
      </c>
      <c r="P40" s="138"/>
      <c r="Q40" s="143">
        <f>SUM(Q15:Q39)</f>
        <v>-12179169.918331224</v>
      </c>
      <c r="R40" s="138"/>
      <c r="S40" s="143">
        <f t="shared" si="1"/>
        <v>-62188129.301781222</v>
      </c>
      <c r="T40" s="138"/>
      <c r="U40" s="149">
        <f t="shared" si="2"/>
        <v>101714451.98651324</v>
      </c>
      <c r="V40" s="66"/>
    </row>
    <row r="41" spans="1:22" x14ac:dyDescent="0.3">
      <c r="C41" s="19"/>
      <c r="D41" s="10"/>
      <c r="E41" s="19"/>
      <c r="U41" s="99"/>
    </row>
    <row r="42" spans="1:22" x14ac:dyDescent="0.3">
      <c r="A42" t="s">
        <v>121</v>
      </c>
      <c r="C42" s="60">
        <f>NPV(0.0619,C15:C39)</f>
        <v>16722693.162508555</v>
      </c>
      <c r="E42" s="60">
        <f>NPV(0.0619,E15:E39)</f>
        <v>-366487.30573047785</v>
      </c>
      <c r="G42" s="60">
        <f>NPV(0.0619,G15:G39)</f>
        <v>2192175.0196822966</v>
      </c>
      <c r="I42" s="60">
        <f>NPV(0.0619,I15:I39)</f>
        <v>59541585.658352412</v>
      </c>
      <c r="K42" s="57">
        <f>NPV(0.0619,K15:K39)</f>
        <v>78089966.534812778</v>
      </c>
      <c r="M42" s="60">
        <f>NPV(0.0619,M15:M39)</f>
        <v>-7131332.1608528551</v>
      </c>
      <c r="O42" s="60">
        <f>NPV(0.0619,O15:O39)</f>
        <v>-17375428.506456189</v>
      </c>
      <c r="Q42" s="60">
        <f>NPV(0.0619,Q15:Q39)</f>
        <v>-6180412.5809045443</v>
      </c>
      <c r="S42" s="57">
        <f>NPV(0.0619,S15:S39)</f>
        <v>-30687173.248213585</v>
      </c>
      <c r="U42" s="57">
        <f>NPV(0.0619,U15:U39)</f>
        <v>47402793.286599211</v>
      </c>
    </row>
    <row r="43" spans="1:22" s="10" customFormat="1" x14ac:dyDescent="0.3">
      <c r="C43" s="60"/>
      <c r="E43" s="60"/>
      <c r="G43" s="60"/>
      <c r="I43" s="60"/>
      <c r="M43" s="60"/>
      <c r="O43" s="60"/>
      <c r="Q43" s="60"/>
      <c r="U43" s="60"/>
    </row>
    <row r="44" spans="1:22" s="10" customFormat="1" ht="18" x14ac:dyDescent="0.35">
      <c r="C44" s="107"/>
      <c r="K44" s="60"/>
      <c r="S44" s="60"/>
      <c r="U44" s="102"/>
    </row>
    <row r="45" spans="1:22" s="10" customFormat="1" x14ac:dyDescent="0.3">
      <c r="C45" s="96"/>
      <c r="L45" s="13"/>
      <c r="M45" s="13"/>
      <c r="N45" s="13"/>
      <c r="O45" s="13"/>
      <c r="P45" s="13"/>
      <c r="Q45" s="13"/>
      <c r="R45" s="13"/>
      <c r="S45" s="13"/>
      <c r="T45" s="13"/>
      <c r="U45" s="92"/>
    </row>
    <row r="46" spans="1:22" x14ac:dyDescent="0.3">
      <c r="C46" t="s">
        <v>29</v>
      </c>
      <c r="E46" t="s">
        <v>107</v>
      </c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2" x14ac:dyDescent="0.3">
      <c r="C47" s="10" t="s">
        <v>115</v>
      </c>
      <c r="E47" s="13" t="s">
        <v>119</v>
      </c>
      <c r="F47" s="13"/>
      <c r="G47" s="13"/>
      <c r="H47" s="13"/>
      <c r="I47" s="13"/>
      <c r="J47" s="13"/>
      <c r="K47" s="13"/>
      <c r="L47" s="13"/>
      <c r="M47" s="10"/>
      <c r="N47" s="10"/>
      <c r="O47" s="10"/>
      <c r="P47" s="10"/>
      <c r="Q47" s="10"/>
      <c r="R47" s="10"/>
      <c r="S47" s="10"/>
      <c r="T47" s="13"/>
      <c r="U47" s="93"/>
    </row>
    <row r="48" spans="1:22" x14ac:dyDescent="0.3">
      <c r="C48" t="s">
        <v>30</v>
      </c>
      <c r="E48" t="s">
        <v>34</v>
      </c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2:20" x14ac:dyDescent="0.3">
      <c r="C49" t="s">
        <v>11</v>
      </c>
      <c r="E49" t="s">
        <v>35</v>
      </c>
      <c r="M49" s="10"/>
      <c r="N49" s="10"/>
      <c r="O49" s="10"/>
      <c r="P49" s="10"/>
      <c r="Q49" s="10"/>
      <c r="R49" s="10"/>
      <c r="S49" s="10"/>
      <c r="T49" s="10"/>
    </row>
    <row r="51" spans="2:20" x14ac:dyDescent="0.3">
      <c r="C51" s="21" t="s">
        <v>24</v>
      </c>
    </row>
    <row r="52" spans="2:20" x14ac:dyDescent="0.3">
      <c r="C52" t="s">
        <v>28</v>
      </c>
      <c r="E52" t="s">
        <v>36</v>
      </c>
    </row>
    <row r="53" spans="2:20" x14ac:dyDescent="0.3">
      <c r="C53" t="s">
        <v>31</v>
      </c>
      <c r="E53" t="s">
        <v>37</v>
      </c>
    </row>
    <row r="54" spans="2:20" x14ac:dyDescent="0.3">
      <c r="C54" t="s">
        <v>33</v>
      </c>
      <c r="E54" t="s">
        <v>38</v>
      </c>
    </row>
    <row r="57" spans="2:20" x14ac:dyDescent="0.3">
      <c r="B57" s="10"/>
      <c r="C57" s="96"/>
      <c r="D57" s="10"/>
      <c r="E57" s="10"/>
      <c r="F57" s="10"/>
      <c r="J57" t="s">
        <v>103</v>
      </c>
    </row>
  </sheetData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G9" sqref="G9:G15"/>
    </sheetView>
  </sheetViews>
  <sheetFormatPr defaultRowHeight="14.4" x14ac:dyDescent="0.3"/>
  <cols>
    <col min="3" max="3" width="10.6640625" bestFit="1" customWidth="1"/>
    <col min="4" max="4" width="9.44140625" bestFit="1" customWidth="1"/>
    <col min="5" max="5" width="9.5546875" customWidth="1"/>
    <col min="6" max="6" width="3.6640625" customWidth="1"/>
    <col min="7" max="7" width="12.44140625" bestFit="1" customWidth="1"/>
    <col min="8" max="8" width="3.6640625" customWidth="1"/>
  </cols>
  <sheetData>
    <row r="1" spans="1:8" ht="18" x14ac:dyDescent="0.35">
      <c r="A1" s="172" t="s">
        <v>49</v>
      </c>
      <c r="B1" s="172"/>
      <c r="C1" s="172"/>
      <c r="D1" s="172"/>
      <c r="E1" s="172"/>
      <c r="F1" s="172"/>
      <c r="G1" s="172"/>
      <c r="H1" s="27"/>
    </row>
    <row r="2" spans="1:8" ht="18" x14ac:dyDescent="0.35">
      <c r="A2" s="172" t="s">
        <v>50</v>
      </c>
      <c r="B2" s="172"/>
      <c r="C2" s="172"/>
      <c r="D2" s="172"/>
      <c r="E2" s="172"/>
      <c r="F2" s="172"/>
      <c r="G2" s="172"/>
      <c r="H2" s="27"/>
    </row>
    <row r="4" spans="1:8" x14ac:dyDescent="0.3">
      <c r="A4" s="1"/>
      <c r="B4" s="25" t="s">
        <v>42</v>
      </c>
      <c r="C4" s="25" t="s">
        <v>43</v>
      </c>
      <c r="D4" s="25" t="s">
        <v>44</v>
      </c>
      <c r="E4" s="25" t="s">
        <v>40</v>
      </c>
    </row>
    <row r="5" spans="1:8" x14ac:dyDescent="0.3">
      <c r="A5" s="26" t="s">
        <v>4</v>
      </c>
      <c r="B5" s="26" t="s">
        <v>39</v>
      </c>
      <c r="C5" s="26" t="s">
        <v>45</v>
      </c>
      <c r="D5" s="26" t="s">
        <v>46</v>
      </c>
      <c r="E5" s="26" t="s">
        <v>39</v>
      </c>
      <c r="G5" s="29" t="s">
        <v>51</v>
      </c>
    </row>
    <row r="6" spans="1:8" x14ac:dyDescent="0.3">
      <c r="A6">
        <v>2020</v>
      </c>
      <c r="B6" s="48">
        <v>42.075351775956278</v>
      </c>
      <c r="C6" s="48">
        <v>6.309166666666667</v>
      </c>
      <c r="D6" s="48">
        <v>118.37787500000002</v>
      </c>
      <c r="E6" s="48">
        <v>30</v>
      </c>
      <c r="G6" s="22" t="s">
        <v>47</v>
      </c>
    </row>
    <row r="7" spans="1:8" x14ac:dyDescent="0.3">
      <c r="A7">
        <f>A6+1</f>
        <v>2021</v>
      </c>
      <c r="B7" s="48">
        <v>41.757447488584475</v>
      </c>
      <c r="C7" s="48">
        <v>5.020833333333333</v>
      </c>
      <c r="D7" s="48">
        <v>123.789435</v>
      </c>
      <c r="E7" s="48">
        <v>30</v>
      </c>
      <c r="G7" s="24" t="s">
        <v>48</v>
      </c>
    </row>
    <row r="8" spans="1:8" x14ac:dyDescent="0.3">
      <c r="A8">
        <f t="shared" ref="A8:A30" si="0">A7+1</f>
        <v>2022</v>
      </c>
      <c r="B8" s="48">
        <v>39.962146118721456</v>
      </c>
      <c r="C8" s="48">
        <v>4.2841666666666667</v>
      </c>
      <c r="D8" s="48">
        <v>128.60910562500001</v>
      </c>
      <c r="E8" s="48">
        <v>30</v>
      </c>
    </row>
    <row r="9" spans="1:8" x14ac:dyDescent="0.3">
      <c r="A9">
        <f t="shared" si="0"/>
        <v>2023</v>
      </c>
      <c r="B9" s="48">
        <v>38.567272149683888</v>
      </c>
      <c r="C9" s="49">
        <v>4.1551897916666656</v>
      </c>
      <c r="D9" s="48">
        <v>133.29509380687503</v>
      </c>
      <c r="E9" s="48">
        <v>30</v>
      </c>
    </row>
    <row r="10" spans="1:8" x14ac:dyDescent="0.3">
      <c r="A10">
        <f t="shared" si="0"/>
        <v>2024</v>
      </c>
      <c r="B10" s="48">
        <v>38.87892521046696</v>
      </c>
      <c r="C10" s="48">
        <v>4.7299964249999995</v>
      </c>
      <c r="D10" s="48">
        <v>137.81877894628596</v>
      </c>
      <c r="E10" s="48">
        <v>16</v>
      </c>
    </row>
    <row r="11" spans="1:8" x14ac:dyDescent="0.3">
      <c r="A11">
        <f t="shared" si="0"/>
        <v>2025</v>
      </c>
      <c r="B11" s="48">
        <v>40.172678174006599</v>
      </c>
      <c r="C11" s="48">
        <v>4.8889553212499992</v>
      </c>
      <c r="D11" s="48">
        <v>142.29788926204026</v>
      </c>
      <c r="E11" s="48">
        <v>15.5</v>
      </c>
    </row>
    <row r="12" spans="1:8" x14ac:dyDescent="0.3">
      <c r="A12">
        <f t="shared" si="0"/>
        <v>2026</v>
      </c>
      <c r="B12" s="48">
        <v>41.615462246460339</v>
      </c>
      <c r="C12" s="48">
        <v>5.1661641281249988</v>
      </c>
      <c r="D12" s="23">
        <f>D11*1.0325</f>
        <v>146.92257066305658</v>
      </c>
      <c r="E12" s="48">
        <v>15</v>
      </c>
    </row>
    <row r="13" spans="1:8" x14ac:dyDescent="0.3">
      <c r="A13">
        <f t="shared" si="0"/>
        <v>2027</v>
      </c>
      <c r="B13" s="48">
        <v>42.976139917657903</v>
      </c>
      <c r="C13" s="48">
        <v>5.7282427852649986</v>
      </c>
      <c r="D13" s="23">
        <f t="shared" ref="D13:D30" si="1">D12*1.0325</f>
        <v>151.6975542096059</v>
      </c>
      <c r="E13" s="48">
        <v>15</v>
      </c>
    </row>
    <row r="14" spans="1:8" x14ac:dyDescent="0.3">
      <c r="A14">
        <f t="shared" si="0"/>
        <v>2028</v>
      </c>
      <c r="B14" s="48">
        <v>44.404332112103852</v>
      </c>
      <c r="C14" s="48">
        <v>6.415631919496799</v>
      </c>
      <c r="D14" s="23">
        <f t="shared" si="1"/>
        <v>156.62772472141808</v>
      </c>
      <c r="E14" s="48">
        <v>15</v>
      </c>
    </row>
    <row r="15" spans="1:8" x14ac:dyDescent="0.3">
      <c r="A15">
        <f t="shared" si="0"/>
        <v>2029</v>
      </c>
      <c r="B15" s="48">
        <v>46.012312849037947</v>
      </c>
      <c r="C15" s="48">
        <v>7.0999659909097916</v>
      </c>
      <c r="D15" s="23">
        <f t="shared" si="1"/>
        <v>161.71812577486415</v>
      </c>
      <c r="E15" s="23">
        <v>15</v>
      </c>
      <c r="G15" s="99"/>
    </row>
    <row r="16" spans="1:8" x14ac:dyDescent="0.3">
      <c r="A16">
        <f t="shared" si="0"/>
        <v>2030</v>
      </c>
      <c r="B16" s="48">
        <v>47.659724319729449</v>
      </c>
      <c r="C16" s="48">
        <v>7.7078827576816673</v>
      </c>
      <c r="D16" s="23">
        <f t="shared" si="1"/>
        <v>166.97396486254723</v>
      </c>
      <c r="E16" s="23">
        <v>15</v>
      </c>
    </row>
    <row r="17" spans="1:5" x14ac:dyDescent="0.3">
      <c r="A17">
        <f t="shared" si="0"/>
        <v>2031</v>
      </c>
      <c r="B17" s="48">
        <v>49.402044200602454</v>
      </c>
      <c r="C17" s="48">
        <v>8.123113861079359</v>
      </c>
      <c r="D17" s="23">
        <f t="shared" si="1"/>
        <v>172.40061872058001</v>
      </c>
      <c r="E17" s="23">
        <f>E16</f>
        <v>15</v>
      </c>
    </row>
    <row r="18" spans="1:5" x14ac:dyDescent="0.3">
      <c r="A18">
        <f t="shared" si="0"/>
        <v>2032</v>
      </c>
      <c r="B18" s="48">
        <v>51.280887627626377</v>
      </c>
      <c r="C18" s="48">
        <v>8.2855761383009465</v>
      </c>
      <c r="D18" s="23">
        <f t="shared" si="1"/>
        <v>178.00363882899885</v>
      </c>
      <c r="E18" s="23">
        <f t="shared" ref="E18:E30" si="2">E17</f>
        <v>15</v>
      </c>
    </row>
    <row r="19" spans="1:5" x14ac:dyDescent="0.3">
      <c r="A19">
        <f t="shared" si="0"/>
        <v>2033</v>
      </c>
      <c r="B19" s="48">
        <v>53.120968024056992</v>
      </c>
      <c r="C19" s="48">
        <v>8.4512876610669654</v>
      </c>
      <c r="D19" s="23">
        <f t="shared" si="1"/>
        <v>183.78875709094132</v>
      </c>
      <c r="E19" s="23">
        <f t="shared" si="2"/>
        <v>15</v>
      </c>
    </row>
    <row r="20" spans="1:5" x14ac:dyDescent="0.3">
      <c r="A20">
        <f t="shared" si="0"/>
        <v>2034</v>
      </c>
      <c r="B20" s="48">
        <v>55.20062842067837</v>
      </c>
      <c r="C20" s="48">
        <v>8.6203134142883044</v>
      </c>
      <c r="D20" s="23">
        <f t="shared" si="1"/>
        <v>189.7618916963969</v>
      </c>
      <c r="E20" s="23">
        <f t="shared" si="2"/>
        <v>15</v>
      </c>
    </row>
    <row r="21" spans="1:5" x14ac:dyDescent="0.3">
      <c r="A21">
        <f t="shared" si="0"/>
        <v>2035</v>
      </c>
      <c r="B21" s="48">
        <v>57.457522261942074</v>
      </c>
      <c r="C21" s="48">
        <v>8.7927196825740719</v>
      </c>
      <c r="D21" s="23">
        <f t="shared" si="1"/>
        <v>195.92915317652981</v>
      </c>
      <c r="E21" s="23">
        <f t="shared" si="2"/>
        <v>15</v>
      </c>
    </row>
    <row r="22" spans="1:5" x14ac:dyDescent="0.3">
      <c r="A22">
        <f t="shared" si="0"/>
        <v>2036</v>
      </c>
      <c r="B22" s="48">
        <v>59.862852484070693</v>
      </c>
      <c r="C22" s="48">
        <v>8.9685740762255524</v>
      </c>
      <c r="D22" s="23">
        <f t="shared" si="1"/>
        <v>202.29685065476701</v>
      </c>
      <c r="E22" s="23">
        <f t="shared" si="2"/>
        <v>15</v>
      </c>
    </row>
    <row r="23" spans="1:5" x14ac:dyDescent="0.3">
      <c r="A23">
        <f t="shared" si="0"/>
        <v>2037</v>
      </c>
      <c r="B23" s="48">
        <v>62.291066970349448</v>
      </c>
      <c r="C23" s="48">
        <v>9.1479455577500648</v>
      </c>
      <c r="D23" s="23">
        <f t="shared" si="1"/>
        <v>208.87149830104693</v>
      </c>
      <c r="E23" s="23">
        <f t="shared" si="2"/>
        <v>15</v>
      </c>
    </row>
    <row r="24" spans="1:5" x14ac:dyDescent="0.3">
      <c r="A24">
        <f t="shared" si="0"/>
        <v>2038</v>
      </c>
      <c r="B24" s="48">
        <v>64.862222070433077</v>
      </c>
      <c r="C24" s="48">
        <v>9.3309044689050662</v>
      </c>
      <c r="D24" s="23">
        <f t="shared" si="1"/>
        <v>215.65982199583095</v>
      </c>
      <c r="E24" s="23">
        <f t="shared" si="2"/>
        <v>15</v>
      </c>
    </row>
    <row r="25" spans="1:5" x14ac:dyDescent="0.3">
      <c r="A25">
        <f t="shared" si="0"/>
        <v>2039</v>
      </c>
      <c r="B25" s="48">
        <v>67.581132790862881</v>
      </c>
      <c r="C25" s="48">
        <v>9.5175225582831686</v>
      </c>
      <c r="D25" s="23">
        <f t="shared" si="1"/>
        <v>222.66876621069545</v>
      </c>
      <c r="E25" s="23">
        <f t="shared" si="2"/>
        <v>15</v>
      </c>
    </row>
    <row r="26" spans="1:5" x14ac:dyDescent="0.3">
      <c r="A26">
        <f t="shared" si="0"/>
        <v>2040</v>
      </c>
      <c r="B26" s="48">
        <v>70.515799608955305</v>
      </c>
      <c r="C26" s="48">
        <v>9.7078730094488321</v>
      </c>
      <c r="D26" s="23">
        <f t="shared" si="1"/>
        <v>229.90550111254305</v>
      </c>
      <c r="E26" s="23">
        <f t="shared" si="2"/>
        <v>15</v>
      </c>
    </row>
    <row r="27" spans="1:5" x14ac:dyDescent="0.3">
      <c r="A27">
        <f t="shared" si="0"/>
        <v>2041</v>
      </c>
      <c r="B27" s="48">
        <v>73.605786917017909</v>
      </c>
      <c r="C27" s="48">
        <v>9.9020304696378076</v>
      </c>
      <c r="D27" s="23">
        <f t="shared" si="1"/>
        <v>237.37742989870068</v>
      </c>
      <c r="E27" s="23">
        <f t="shared" si="2"/>
        <v>15</v>
      </c>
    </row>
    <row r="28" spans="1:5" x14ac:dyDescent="0.3">
      <c r="A28">
        <f t="shared" si="0"/>
        <v>2042</v>
      </c>
      <c r="B28" s="48">
        <v>76.855174015077239</v>
      </c>
      <c r="C28" s="48">
        <v>10.100071079030565</v>
      </c>
      <c r="D28" s="23">
        <f t="shared" si="1"/>
        <v>245.09219637040846</v>
      </c>
      <c r="E28" s="23">
        <f t="shared" si="2"/>
        <v>15</v>
      </c>
    </row>
    <row r="29" spans="1:5" x14ac:dyDescent="0.3">
      <c r="A29">
        <f t="shared" si="0"/>
        <v>2043</v>
      </c>
      <c r="B29" s="48">
        <v>80.347587850583267</v>
      </c>
      <c r="C29" s="48">
        <v>10.302072500611175</v>
      </c>
      <c r="D29" s="23">
        <f t="shared" si="1"/>
        <v>253.05769275244674</v>
      </c>
      <c r="E29" s="23">
        <f t="shared" si="2"/>
        <v>15</v>
      </c>
    </row>
    <row r="30" spans="1:5" x14ac:dyDescent="0.3">
      <c r="A30">
        <f t="shared" si="0"/>
        <v>2044</v>
      </c>
      <c r="B30" s="48">
        <v>83.874242731611261</v>
      </c>
      <c r="C30" s="48">
        <v>10.508113950623398</v>
      </c>
      <c r="D30" s="23">
        <f t="shared" si="1"/>
        <v>261.28206776690126</v>
      </c>
      <c r="E30" s="23">
        <f t="shared" si="2"/>
        <v>15</v>
      </c>
    </row>
    <row r="33" spans="1:8" x14ac:dyDescent="0.3">
      <c r="A33" s="68" t="s">
        <v>113</v>
      </c>
      <c r="B33" s="10"/>
      <c r="C33" s="10"/>
      <c r="D33" s="10"/>
      <c r="E33" s="10"/>
      <c r="F33" s="10"/>
      <c r="G33" s="10"/>
      <c r="H33" s="10"/>
    </row>
    <row r="34" spans="1:8" x14ac:dyDescent="0.3">
      <c r="A34" s="68" t="s">
        <v>112</v>
      </c>
      <c r="B34" s="10"/>
      <c r="C34" s="10"/>
      <c r="D34" s="10"/>
      <c r="E34" s="10"/>
      <c r="F34" s="10"/>
      <c r="G34" s="10"/>
      <c r="H34" s="10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Summary</vt:lpstr>
      <vt:lpstr>Multiyear Analysis Benefits</vt:lpstr>
      <vt:lpstr>Multiyear Analysis Cost</vt:lpstr>
      <vt:lpstr>Multiyear Summary</vt:lpstr>
      <vt:lpstr>Avoided Costs</vt:lpstr>
      <vt:lpstr>EnergyLosses</vt:lpstr>
      <vt:lpstr>LMPScalar</vt:lpstr>
      <vt:lpstr>LMPShapeAdj</vt:lpstr>
      <vt:lpstr>StartScalar</vt:lpstr>
    </vt:vector>
  </TitlesOfParts>
  <Company>Green Mountain 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Watts, Charles</dc:creator>
  <cp:lastModifiedBy>Andrew Quint</cp:lastModifiedBy>
  <dcterms:created xsi:type="dcterms:W3CDTF">2019-08-29T16:21:39Z</dcterms:created>
  <dcterms:modified xsi:type="dcterms:W3CDTF">2019-10-30T20:18:47Z</dcterms:modified>
</cp:coreProperties>
</file>