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84" windowWidth="9600" windowHeight="2496"/>
  </bookViews>
  <sheets>
    <sheet name="Summary" sheetId="6" r:id="rId1"/>
    <sheet name="Total Solar Impact" sheetId="3" r:id="rId2"/>
    <sheet name="Own Use Summary" sheetId="4" r:id="rId3"/>
    <sheet name="Energy Avoided Cost" sheetId="7" r:id="rId4"/>
    <sheet name="Peak Shaving" sheetId="8" r:id="rId5"/>
    <sheet name="Rate Case data" sheetId="5" r:id="rId6"/>
  </sheets>
  <calcPr calcId="145621"/>
</workbook>
</file>

<file path=xl/calcChain.xml><?xml version="1.0" encoding="utf-8"?>
<calcChain xmlns="http://schemas.openxmlformats.org/spreadsheetml/2006/main">
  <c r="E28" i="6" l="1"/>
  <c r="E29" i="6"/>
  <c r="D29" i="6"/>
  <c r="D28" i="6"/>
  <c r="C29" i="6"/>
  <c r="C28" i="6"/>
  <c r="E20" i="6" l="1"/>
  <c r="E19" i="6"/>
  <c r="E16" i="6"/>
  <c r="E15" i="6"/>
  <c r="E14" i="6"/>
  <c r="E13" i="6"/>
  <c r="C7" i="8"/>
  <c r="B17" i="8" l="1"/>
  <c r="B8" i="8" s="1"/>
  <c r="B23" i="8" l="1"/>
  <c r="B25" i="8"/>
  <c r="B27" i="8" s="1"/>
  <c r="C17" i="8" l="1"/>
  <c r="C8" i="8" s="1"/>
  <c r="N9" i="7"/>
  <c r="M9" i="7"/>
  <c r="L9" i="7"/>
  <c r="K9" i="7"/>
  <c r="J9" i="7"/>
  <c r="I9" i="7"/>
  <c r="H9" i="7"/>
  <c r="G9" i="7"/>
  <c r="F9" i="7"/>
  <c r="E9" i="7"/>
  <c r="D9" i="7"/>
  <c r="C9" i="7"/>
  <c r="B9" i="7"/>
  <c r="N8" i="7"/>
  <c r="N7" i="7"/>
  <c r="D21" i="7"/>
  <c r="D23" i="7" s="1"/>
  <c r="N14" i="7"/>
  <c r="D25" i="7" s="1"/>
  <c r="D27" i="7" s="1"/>
  <c r="N13" i="7"/>
  <c r="N12" i="7"/>
  <c r="B9" i="8" l="1"/>
  <c r="C9" i="8"/>
  <c r="C11" i="8" s="1"/>
  <c r="D28" i="7"/>
  <c r="B11" i="8" l="1"/>
  <c r="D11" i="8" s="1"/>
  <c r="B31" i="8" s="1"/>
  <c r="B29" i="8"/>
  <c r="M13" i="3"/>
  <c r="B30" i="8" l="1"/>
  <c r="B32" i="8"/>
  <c r="K29" i="5"/>
  <c r="K28" i="5"/>
  <c r="K27" i="5"/>
  <c r="F10" i="5" l="1"/>
  <c r="G10" i="5"/>
  <c r="Q13" i="3" l="1"/>
  <c r="C20" i="6" s="1"/>
  <c r="I170" i="5" l="1"/>
  <c r="I161" i="5"/>
  <c r="L159" i="5"/>
  <c r="L165" i="5" s="1"/>
  <c r="I159" i="5"/>
  <c r="I165" i="5" s="1"/>
  <c r="L158" i="5"/>
  <c r="L164" i="5" s="1"/>
  <c r="I158" i="5"/>
  <c r="I164" i="5" s="1"/>
  <c r="L157" i="5"/>
  <c r="L163" i="5" s="1"/>
  <c r="I157" i="5"/>
  <c r="I163" i="5" s="1"/>
  <c r="L155" i="5"/>
  <c r="L153" i="5"/>
  <c r="P153" i="5" s="1"/>
  <c r="I153" i="5"/>
  <c r="P152" i="5"/>
  <c r="L152" i="5"/>
  <c r="I152" i="5"/>
  <c r="P151" i="5"/>
  <c r="L151" i="5"/>
  <c r="I151" i="5"/>
  <c r="I155" i="5" s="1"/>
  <c r="I173" i="5" s="1"/>
  <c r="P148" i="5"/>
  <c r="P155" i="5" s="1"/>
  <c r="I148" i="5"/>
  <c r="Q146" i="5"/>
  <c r="L146" i="5"/>
  <c r="L171" i="5" s="1"/>
  <c r="I146" i="5"/>
  <c r="I171" i="5" s="1"/>
  <c r="Q145" i="5"/>
  <c r="L145" i="5"/>
  <c r="L170" i="5" s="1"/>
  <c r="I145" i="5"/>
  <c r="P144" i="5"/>
  <c r="O144" i="5"/>
  <c r="O148" i="5" s="1"/>
  <c r="Q148" i="5" s="1"/>
  <c r="L144" i="5"/>
  <c r="L169" i="5" s="1"/>
  <c r="I144" i="5"/>
  <c r="I169" i="5" s="1"/>
  <c r="Q121" i="5"/>
  <c r="P121" i="5"/>
  <c r="L119" i="5"/>
  <c r="I119" i="5"/>
  <c r="L118" i="5"/>
  <c r="I118" i="5"/>
  <c r="L117" i="5"/>
  <c r="L121" i="5" s="1"/>
  <c r="I117" i="5"/>
  <c r="I121" i="5" s="1"/>
  <c r="Q114" i="5"/>
  <c r="P114" i="5"/>
  <c r="H106" i="5"/>
  <c r="L106" i="5" s="1"/>
  <c r="L112" i="5" s="1"/>
  <c r="L105" i="5"/>
  <c r="L111" i="5" s="1"/>
  <c r="H105" i="5"/>
  <c r="I105" i="5" s="1"/>
  <c r="L104" i="5"/>
  <c r="I104" i="5"/>
  <c r="I123" i="5" s="1"/>
  <c r="H104" i="5"/>
  <c r="L99" i="5"/>
  <c r="L137" i="5" s="1"/>
  <c r="I99" i="5"/>
  <c r="L98" i="5"/>
  <c r="I98" i="5"/>
  <c r="P99" i="5" s="1"/>
  <c r="L97" i="5"/>
  <c r="I97" i="5"/>
  <c r="L95" i="5"/>
  <c r="L131" i="5" s="1"/>
  <c r="I95" i="5"/>
  <c r="L94" i="5"/>
  <c r="L130" i="5" s="1"/>
  <c r="I94" i="5"/>
  <c r="L93" i="5"/>
  <c r="L123" i="5" s="1"/>
  <c r="I93" i="5"/>
  <c r="P95" i="5" s="1"/>
  <c r="P101" i="5" s="1"/>
  <c r="L88" i="5"/>
  <c r="I88" i="5"/>
  <c r="L87" i="5"/>
  <c r="I87" i="5"/>
  <c r="L85" i="5"/>
  <c r="I85" i="5"/>
  <c r="G8" i="5"/>
  <c r="F8" i="5"/>
  <c r="G7" i="5"/>
  <c r="G9" i="5" s="1"/>
  <c r="F7" i="5"/>
  <c r="F9" i="5" s="1"/>
  <c r="I124" i="5" l="1"/>
  <c r="I111" i="5"/>
  <c r="I136" i="5" s="1"/>
  <c r="I130" i="5"/>
  <c r="I131" i="5"/>
  <c r="L136" i="5"/>
  <c r="I167" i="5"/>
  <c r="I137" i="5"/>
  <c r="L108" i="5"/>
  <c r="L133" i="5" s="1"/>
  <c r="L167" i="5"/>
  <c r="Q95" i="5"/>
  <c r="Q101" i="5" s="1"/>
  <c r="Q99" i="5"/>
  <c r="I106" i="5"/>
  <c r="I112" i="5" s="1"/>
  <c r="P108" i="5"/>
  <c r="I110" i="5"/>
  <c r="I114" i="5" s="1"/>
  <c r="I139" i="5" s="1"/>
  <c r="I129" i="5"/>
  <c r="Q144" i="5"/>
  <c r="L148" i="5"/>
  <c r="L173" i="5" s="1"/>
  <c r="L101" i="5"/>
  <c r="L127" i="5" s="1"/>
  <c r="I101" i="5"/>
  <c r="Q108" i="5"/>
  <c r="L110" i="5"/>
  <c r="L114" i="5" s="1"/>
  <c r="L139" i="5" s="1"/>
  <c r="L125" i="5"/>
  <c r="L129" i="5"/>
  <c r="I108" i="5"/>
  <c r="I133" i="5" s="1"/>
  <c r="L124" i="5"/>
  <c r="L161" i="5"/>
  <c r="I135" i="5" l="1"/>
  <c r="L135" i="5"/>
  <c r="I127" i="5"/>
  <c r="I125" i="5"/>
  <c r="V48" i="3" l="1"/>
  <c r="V49" i="3" s="1"/>
  <c r="V50" i="3" s="1"/>
  <c r="R48" i="3"/>
  <c r="R50" i="3" s="1"/>
  <c r="R46" i="3"/>
  <c r="G13" i="3" l="1"/>
  <c r="D13" i="3"/>
  <c r="E13" i="3"/>
  <c r="E12" i="3"/>
  <c r="D12" i="3"/>
  <c r="E19" i="3"/>
  <c r="E18" i="3"/>
  <c r="D18" i="3"/>
  <c r="C15" i="6" l="1"/>
  <c r="G14" i="3"/>
  <c r="E20" i="3"/>
  <c r="E23" i="3"/>
  <c r="C14" i="6"/>
  <c r="D19" i="3"/>
  <c r="D20" i="3" s="1"/>
  <c r="E24" i="3"/>
  <c r="B18" i="3"/>
  <c r="P109" i="5" s="1"/>
  <c r="P110" i="5" s="1"/>
  <c r="B13" i="3"/>
  <c r="B12" i="3"/>
  <c r="E14" i="3"/>
  <c r="D14" i="3"/>
  <c r="D23" i="3"/>
  <c r="K14" i="3" l="1"/>
  <c r="C13" i="3"/>
  <c r="F13" i="3" s="1"/>
  <c r="C8" i="6"/>
  <c r="S13" i="3"/>
  <c r="D24" i="3"/>
  <c r="D25" i="3" s="1"/>
  <c r="C18" i="3"/>
  <c r="F18" i="3" s="1"/>
  <c r="E25" i="3"/>
  <c r="B23" i="3"/>
  <c r="P122" i="5" s="1"/>
  <c r="P123" i="5" s="1"/>
  <c r="P115" i="5"/>
  <c r="Q115" i="5"/>
  <c r="T42" i="3"/>
  <c r="C12" i="3"/>
  <c r="Q14" i="3"/>
  <c r="M14" i="3"/>
  <c r="B19" i="3"/>
  <c r="B14" i="3"/>
  <c r="B13" i="4"/>
  <c r="D13" i="4"/>
  <c r="C13" i="4"/>
  <c r="C14" i="3" l="1"/>
  <c r="U13" i="3"/>
  <c r="B20" i="3"/>
  <c r="C7" i="6"/>
  <c r="D20" i="6"/>
  <c r="D15" i="6"/>
  <c r="M15" i="3"/>
  <c r="C23" i="3"/>
  <c r="F23" i="3" s="1"/>
  <c r="C19" i="3"/>
  <c r="Q109" i="5"/>
  <c r="Q110" i="5" s="1"/>
  <c r="F12" i="3"/>
  <c r="V42" i="3"/>
  <c r="V46" i="3" s="1"/>
  <c r="T46" i="3"/>
  <c r="B24" i="3"/>
  <c r="C6" i="6" s="1"/>
  <c r="C21" i="6" l="1"/>
  <c r="D21" i="6" s="1"/>
  <c r="E21" i="6" s="1"/>
  <c r="U14" i="3"/>
  <c r="D14" i="6"/>
  <c r="S14" i="3"/>
  <c r="C19" i="6"/>
  <c r="D19" i="6" s="1"/>
  <c r="Q122" i="5"/>
  <c r="Q123" i="5" s="1"/>
  <c r="B25" i="3"/>
  <c r="F19" i="3"/>
  <c r="C20" i="3"/>
  <c r="C24" i="3"/>
  <c r="D20" i="4"/>
  <c r="C22" i="6" l="1"/>
  <c r="D22" i="6" s="1"/>
  <c r="E22" i="6" s="1"/>
  <c r="F24" i="3"/>
  <c r="C25" i="3"/>
  <c r="C20" i="4"/>
  <c r="W13" i="3"/>
  <c r="W14" i="3" s="1"/>
  <c r="B20" i="4" l="1"/>
  <c r="G20" i="4" s="1"/>
  <c r="I13" i="3" s="1"/>
  <c r="I14" i="3" s="1"/>
  <c r="G5" i="4"/>
  <c r="O13" i="3" l="1"/>
  <c r="O14" i="3" s="1"/>
  <c r="C13" i="6"/>
  <c r="Y13" i="3"/>
  <c r="Y14" i="3" s="1"/>
  <c r="D13" i="6" l="1"/>
  <c r="C16" i="6"/>
  <c r="D16" i="6" l="1"/>
  <c r="C24" i="6"/>
  <c r="D24" i="6" l="1"/>
  <c r="E24" i="6" s="1"/>
</calcChain>
</file>

<file path=xl/comments1.xml><?xml version="1.0" encoding="utf-8"?>
<comments xmlns="http://schemas.openxmlformats.org/spreadsheetml/2006/main">
  <authors>
    <author>Watts, Charles</author>
  </authors>
  <commentList>
    <comment ref="G11" authorId="0">
      <text>
        <r>
          <rPr>
            <b/>
            <sz val="9"/>
            <color indexed="81"/>
            <rFont val="Tahoma"/>
            <family val="2"/>
          </rPr>
          <t>Watts, Charles:</t>
        </r>
        <r>
          <rPr>
            <sz val="9"/>
            <color indexed="81"/>
            <rFont val="Tahoma"/>
            <family val="2"/>
          </rPr>
          <t xml:space="preserve">
Includes site adjustor(s)
and REC costs transferred out</t>
        </r>
      </text>
    </comment>
    <comment ref="M11" authorId="0">
      <text>
        <r>
          <rPr>
            <b/>
            <sz val="9"/>
            <color indexed="81"/>
            <rFont val="Tahoma"/>
            <family val="2"/>
          </rPr>
          <t>Watts, Charles:</t>
        </r>
        <r>
          <rPr>
            <sz val="9"/>
            <color indexed="81"/>
            <rFont val="Tahoma"/>
            <family val="2"/>
          </rPr>
          <t xml:space="preserve">
Before removing REC costs for NM 2.0 and 2.1</t>
        </r>
      </text>
    </comment>
    <comment ref="G13" authorId="0">
      <text>
        <r>
          <rPr>
            <b/>
            <sz val="9"/>
            <color indexed="81"/>
            <rFont val="Tahoma"/>
            <family val="2"/>
          </rPr>
          <t>Watts, Charles:</t>
        </r>
        <r>
          <rPr>
            <sz val="9"/>
            <color indexed="81"/>
            <rFont val="Tahoma"/>
            <family val="2"/>
          </rPr>
          <t xml:space="preserve">
Estimated NM 1.0 average cost of $46.69 per MWh offset by NM 2.0 and 2.1 for transfer of REC costs to RES. NM 2.0 and 2.1 net siting adjustor value included in net Adder value. Components of total value shown in Rate Case data tab.</t>
        </r>
      </text>
    </comment>
    <comment ref="K13" authorId="0">
      <text>
        <r>
          <rPr>
            <b/>
            <sz val="9"/>
            <color indexed="81"/>
            <rFont val="Tahoma"/>
            <family val="2"/>
          </rPr>
          <t>Watts, Charles:</t>
        </r>
        <r>
          <rPr>
            <sz val="9"/>
            <color indexed="81"/>
            <rFont val="Tahoma"/>
            <family val="2"/>
          </rPr>
          <t xml:space="preserve">
Rate case estimated $53.22 avg price paid for 81,302 RECs transferred</t>
        </r>
      </text>
    </comment>
    <comment ref="M13" authorId="0">
      <text>
        <r>
          <rPr>
            <b/>
            <sz val="9"/>
            <color indexed="81"/>
            <rFont val="Tahoma"/>
            <family val="2"/>
          </rPr>
          <t>Watts, Charles:</t>
        </r>
        <r>
          <rPr>
            <sz val="9"/>
            <color indexed="81"/>
            <rFont val="Tahoma"/>
            <family val="2"/>
          </rPr>
          <t xml:space="preserve">
Total net NM solar cost minus net Adder value</t>
        </r>
      </text>
    </comment>
    <comment ref="Q13" authorId="0">
      <text>
        <r>
          <rPr>
            <b/>
            <sz val="9"/>
            <color indexed="81"/>
            <rFont val="Tahoma"/>
            <family val="2"/>
          </rPr>
          <t>Watts, Charles:</t>
        </r>
        <r>
          <rPr>
            <sz val="9"/>
            <color indexed="81"/>
            <rFont val="Tahoma"/>
            <family val="2"/>
          </rPr>
          <t xml:space="preserve">
Benefit arises from freeing up other premium RECs to sell. Rate case assumed 81,302 solar RECs trasferred. Benefit value includes "lag factor" (-25% of current year volume) to account for average 6-month lag from generation (RES booking) to REC benefit booking. </t>
        </r>
      </text>
    </comment>
    <comment ref="M14" authorId="0">
      <text>
        <r>
          <rPr>
            <b/>
            <sz val="9"/>
            <color indexed="81"/>
            <rFont val="Tahoma"/>
            <family val="2"/>
          </rPr>
          <t>Watts, Charles:</t>
        </r>
        <r>
          <rPr>
            <sz val="9"/>
            <color indexed="81"/>
            <rFont val="Tahoma"/>
            <family val="2"/>
          </rPr>
          <t xml:space="preserve">
Total NM solar booked as power (not RES) cost</t>
        </r>
      </text>
    </comment>
    <comment ref="M15" authorId="0">
      <text>
        <r>
          <rPr>
            <b/>
            <sz val="9"/>
            <color indexed="81"/>
            <rFont val="Tahoma"/>
            <family val="2"/>
          </rPr>
          <t>Watts, Charles:</t>
        </r>
        <r>
          <rPr>
            <sz val="9"/>
            <color indexed="81"/>
            <rFont val="Tahoma"/>
            <family val="2"/>
          </rPr>
          <t xml:space="preserve">
Average unit price for excess solar booked as (energy) power, including net Adder, which includes costs or credits related to solar used by customers.</t>
        </r>
      </text>
    </comment>
    <comment ref="V43" authorId="0">
      <text>
        <r>
          <rPr>
            <b/>
            <sz val="9"/>
            <color indexed="81"/>
            <rFont val="Tahoma"/>
            <family val="2"/>
          </rPr>
          <t>Watts, Charles:</t>
        </r>
        <r>
          <rPr>
            <sz val="9"/>
            <color indexed="81"/>
            <rFont val="Tahoma"/>
            <family val="2"/>
          </rPr>
          <t xml:space="preserve">
Includes estimated value of reduced losses and FCM reserve requirement. </t>
        </r>
      </text>
    </comment>
    <comment ref="T44" authorId="0">
      <text>
        <r>
          <rPr>
            <b/>
            <sz val="9"/>
            <color indexed="81"/>
            <rFont val="Tahoma"/>
            <family val="2"/>
          </rPr>
          <t>Watts, Charles:</t>
        </r>
        <r>
          <rPr>
            <sz val="9"/>
            <color indexed="81"/>
            <rFont val="Tahoma"/>
            <family val="2"/>
          </rPr>
          <t xml:space="preserve">
Includes est weighted avg value vs flat 8760 price plus saved enerrgy losses</t>
        </r>
      </text>
    </comment>
  </commentList>
</comments>
</file>

<file path=xl/comments2.xml><?xml version="1.0" encoding="utf-8"?>
<comments xmlns="http://schemas.openxmlformats.org/spreadsheetml/2006/main">
  <authors>
    <author>Watts, Charles</author>
  </authors>
  <commentList>
    <comment ref="B10" authorId="0">
      <text>
        <r>
          <rPr>
            <b/>
            <sz val="9"/>
            <color indexed="81"/>
            <rFont val="Tahoma"/>
            <family val="2"/>
          </rPr>
          <t>Watts, Charles:</t>
        </r>
        <r>
          <rPr>
            <sz val="9"/>
            <color indexed="81"/>
            <rFont val="Tahoma"/>
            <family val="2"/>
          </rPr>
          <t xml:space="preserve">
Estimated current rate</t>
        </r>
      </text>
    </comment>
    <comment ref="C10" authorId="0">
      <text>
        <r>
          <rPr>
            <b/>
            <sz val="9"/>
            <color indexed="81"/>
            <rFont val="Tahoma"/>
            <family val="2"/>
          </rPr>
          <t>Watts, Charles:</t>
        </r>
        <r>
          <rPr>
            <sz val="9"/>
            <color indexed="81"/>
            <rFont val="Tahoma"/>
            <family val="2"/>
          </rPr>
          <t xml:space="preserve">
Estimated June-Sept 2020 rate</t>
        </r>
      </text>
    </comment>
    <comment ref="B25" authorId="0">
      <text>
        <r>
          <rPr>
            <b/>
            <sz val="9"/>
            <color indexed="81"/>
            <rFont val="Tahoma"/>
            <family val="2"/>
          </rPr>
          <t>Watts, Charles:</t>
        </r>
        <r>
          <rPr>
            <sz val="9"/>
            <color indexed="81"/>
            <rFont val="Tahoma"/>
            <family val="2"/>
          </rPr>
          <t xml:space="preserve">
Estimated 2020 installed MW * 10% potential (time-of-day) * 60% weather * 4 months * 1.089 gross-up for losses</t>
        </r>
      </text>
    </comment>
    <comment ref="B26" authorId="0">
      <text>
        <r>
          <rPr>
            <b/>
            <sz val="9"/>
            <color indexed="81"/>
            <rFont val="Tahoma"/>
            <family val="2"/>
          </rPr>
          <t>Watts, Charles:</t>
        </r>
        <r>
          <rPr>
            <sz val="9"/>
            <color indexed="81"/>
            <rFont val="Tahoma"/>
            <family val="2"/>
          </rPr>
          <t xml:space="preserve">
Assumed summer 2020 (monthly) RNS rate</t>
        </r>
      </text>
    </comment>
  </commentList>
</comments>
</file>

<file path=xl/comments3.xml><?xml version="1.0" encoding="utf-8"?>
<comments xmlns="http://schemas.openxmlformats.org/spreadsheetml/2006/main">
  <authors>
    <author>Watts, Charles</author>
  </authors>
  <commentList>
    <comment ref="C19" authorId="0">
      <text>
        <r>
          <rPr>
            <b/>
            <sz val="9"/>
            <color indexed="81"/>
            <rFont val="Tahoma"/>
            <family val="2"/>
          </rPr>
          <t>Watts, Charles:</t>
        </r>
        <r>
          <rPr>
            <sz val="9"/>
            <color indexed="81"/>
            <rFont val="Tahoma"/>
            <family val="2"/>
          </rPr>
          <t xml:space="preserve">
The formula used is meant to correct to the required MWh to be supplied by other resources in the month. Given a certain level of retail sales (customer consumption), it's the actual NM generation that determines how much other generation is needed, so to get that "other supply volume" correct, the model should use actual NM. Over the course of the year the volume ifference is immaterial</t>
        </r>
      </text>
    </comment>
    <comment ref="C20" authorId="0">
      <text>
        <r>
          <rPr>
            <b/>
            <sz val="9"/>
            <color indexed="81"/>
            <rFont val="Tahoma"/>
            <family val="2"/>
          </rPr>
          <t>Watts, Charles:</t>
        </r>
        <r>
          <rPr>
            <sz val="9"/>
            <color indexed="81"/>
            <rFont val="Tahoma"/>
            <family val="2"/>
          </rPr>
          <t xml:space="preserve">
The formula removes the "actual" non-solar NM, then multiplies the billed solar volume by the actual-to-billed ratio, then adds back the actual non-solar.</t>
        </r>
      </text>
    </comment>
  </commentList>
</comments>
</file>

<file path=xl/sharedStrings.xml><?xml version="1.0" encoding="utf-8"?>
<sst xmlns="http://schemas.openxmlformats.org/spreadsheetml/2006/main" count="354" uniqueCount="286">
  <si>
    <t>Total</t>
  </si>
  <si>
    <t>Total Solar Benefits:</t>
  </si>
  <si>
    <t>Avoided Power</t>
  </si>
  <si>
    <t>Purchases</t>
  </si>
  <si>
    <t>Net</t>
  </si>
  <si>
    <t>Costs</t>
  </si>
  <si>
    <t>Benefits</t>
  </si>
  <si>
    <t>Cost</t>
  </si>
  <si>
    <t>Total MWh Generation</t>
  </si>
  <si>
    <t>Res</t>
  </si>
  <si>
    <t>Com</t>
  </si>
  <si>
    <t>Ind</t>
  </si>
  <si>
    <t>GF</t>
  </si>
  <si>
    <t>StL</t>
  </si>
  <si>
    <t>Approximate Impact of Solar Net Metering on GMP's Cost of Service</t>
  </si>
  <si>
    <t>This file, first developed for the Interim Regulation Plan, was originally named Attachment B GMP.DPS1.Q4.</t>
  </si>
  <si>
    <t>The file has been updated to reflect FY20 projected values.</t>
  </si>
  <si>
    <t>Fiscal Year</t>
  </si>
  <si>
    <t>Average Rate ($/kWh) - Current Rates</t>
  </si>
  <si>
    <t>Average Rate ($/kWh) - With Filed Rate Change Request</t>
  </si>
  <si>
    <t>Average Incremental $/kWh in 2019 $</t>
  </si>
  <si>
    <t>Average Incremental $/kWh in 2020 $</t>
  </si>
  <si>
    <t>FY19</t>
  </si>
  <si>
    <t>FY20</t>
  </si>
  <si>
    <t>NM1.0</t>
  </si>
  <si>
    <t>NM2.0</t>
  </si>
  <si>
    <t>NM2.1</t>
  </si>
  <si>
    <r>
      <rPr>
        <b/>
        <u/>
        <sz val="11"/>
        <color rgb="FF0000FF"/>
        <rFont val="Calibri"/>
        <family val="2"/>
        <scheme val="minor"/>
      </rPr>
      <t>Excess</t>
    </r>
    <r>
      <rPr>
        <b/>
        <u/>
        <sz val="11"/>
        <color theme="1"/>
        <rFont val="Calibri"/>
        <family val="2"/>
        <scheme val="minor"/>
      </rPr>
      <t xml:space="preserve"> MWh Gen</t>
    </r>
  </si>
  <si>
    <t>ok</t>
  </si>
  <si>
    <t>FY2019</t>
  </si>
  <si>
    <t>FY2020</t>
  </si>
  <si>
    <t xml:space="preserve">Net Metered </t>
  </si>
  <si>
    <t>Total Gen incl Non-Solar</t>
  </si>
  <si>
    <r>
      <t xml:space="preserve">Total kW </t>
    </r>
    <r>
      <rPr>
        <b/>
        <sz val="11"/>
        <color rgb="FFFF0000"/>
        <rFont val="Calibri"/>
        <family val="2"/>
        <scheme val="minor"/>
      </rPr>
      <t>SOLAR</t>
    </r>
    <r>
      <rPr>
        <sz val="11"/>
        <color theme="1"/>
        <rFont val="Calibri"/>
        <family val="2"/>
        <scheme val="minor"/>
      </rPr>
      <t xml:space="preserve"> </t>
    </r>
  </si>
  <si>
    <t>Cal Year</t>
  </si>
  <si>
    <t>FY</t>
  </si>
  <si>
    <t>Calendar Month</t>
  </si>
  <si>
    <t>Energy volume</t>
  </si>
  <si>
    <t>on peak</t>
  </si>
  <si>
    <t>MWh</t>
  </si>
  <si>
    <t>off peak</t>
  </si>
  <si>
    <t>$/MWh</t>
  </si>
  <si>
    <t>Cost Calculation</t>
  </si>
  <si>
    <t>Total Solar Adder</t>
  </si>
  <si>
    <t>Total Solar Excess</t>
  </si>
  <si>
    <t>Adder exp. (10-year limit)</t>
  </si>
  <si>
    <t>Expired Credits (annual unused)</t>
  </si>
  <si>
    <t xml:space="preserve">    Total Net Solar</t>
  </si>
  <si>
    <t>Total Non-Solar</t>
  </si>
  <si>
    <t>Total NM Power Cost</t>
  </si>
  <si>
    <t>Energy hours</t>
  </si>
  <si>
    <t>on-peak hours</t>
  </si>
  <si>
    <t>off-peak hours</t>
  </si>
  <si>
    <t>Offpeak days</t>
  </si>
  <si>
    <t>Non-Solar</t>
  </si>
  <si>
    <t>Installed kW</t>
  </si>
  <si>
    <t>Est. Cap Factor</t>
  </si>
  <si>
    <t xml:space="preserve"> MWh</t>
  </si>
  <si>
    <t xml:space="preserve">Total Adder </t>
  </si>
  <si>
    <t xml:space="preserve">Excess MWh </t>
  </si>
  <si>
    <t xml:space="preserve">Excess $ </t>
  </si>
  <si>
    <t>$/XS MWh</t>
  </si>
  <si>
    <t>Actual vs Billed Volume Adjustment Factor</t>
  </si>
  <si>
    <t xml:space="preserve">   Total Billed Excess Volume</t>
  </si>
  <si>
    <t xml:space="preserve">  Actual (projected) Excess volume</t>
  </si>
  <si>
    <t xml:space="preserve">  Solar Billed Excess</t>
  </si>
  <si>
    <t>Actual v Billed</t>
  </si>
  <si>
    <t xml:space="preserve">  Total vs Billed Excess</t>
  </si>
  <si>
    <t xml:space="preserve">  Non Solar Excess</t>
  </si>
  <si>
    <t>Actual Total Check</t>
  </si>
  <si>
    <t>Total Solar gen</t>
  </si>
  <si>
    <t>Cap factor for estimating kW only</t>
  </si>
  <si>
    <t>Total kW (Calced)</t>
  </si>
  <si>
    <t>Total kW (NM Volumes tab)</t>
  </si>
  <si>
    <t>Totals</t>
  </si>
  <si>
    <t>Small Excess $</t>
  </si>
  <si>
    <t>Med Excess $</t>
  </si>
  <si>
    <t>Large Excess $</t>
  </si>
  <si>
    <t>Small Other $</t>
  </si>
  <si>
    <t>Med Other $</t>
  </si>
  <si>
    <t>Large Other $</t>
  </si>
  <si>
    <t>Check total</t>
  </si>
  <si>
    <t>Small Excess MWh</t>
  </si>
  <si>
    <t>Med Excess MWh</t>
  </si>
  <si>
    <t>Large Excess MWh</t>
  </si>
  <si>
    <t>Small Total MWh</t>
  </si>
  <si>
    <t>Med Total MWh</t>
  </si>
  <si>
    <t>Large Total MWh</t>
  </si>
  <si>
    <t>Small Used MWh</t>
  </si>
  <si>
    <t>Med Used MWh</t>
  </si>
  <si>
    <t>Large Used MWh</t>
  </si>
  <si>
    <t>Small $/MWh (Total $/Excess MWh)</t>
  </si>
  <si>
    <t>Med $/MWh</t>
  </si>
  <si>
    <t>Large $/MWh</t>
  </si>
  <si>
    <t>Total$/MWh</t>
  </si>
  <si>
    <t>Small $/MWh Excess</t>
  </si>
  <si>
    <t>Med $/MWh Excess</t>
  </si>
  <si>
    <t>Large $/MWh Excess</t>
  </si>
  <si>
    <t>Total $/MWh Excess</t>
  </si>
  <si>
    <t>Small $/MWh Adders</t>
  </si>
  <si>
    <t>Med $/MWh Adders</t>
  </si>
  <si>
    <t>Large $/MWh Adders</t>
  </si>
  <si>
    <t>Total $/MWh Adders</t>
  </si>
  <si>
    <t>NM 1.0 Total $</t>
  </si>
  <si>
    <t>NM 2.0 Total $</t>
  </si>
  <si>
    <t>NM 2.1 Total $</t>
  </si>
  <si>
    <t>NM 1.0 Excess MWh</t>
  </si>
  <si>
    <t>NM 2.0 Excess MWh</t>
  </si>
  <si>
    <t>NM 2.1 Excess MWh</t>
  </si>
  <si>
    <t>NM 1.0 Total MWh</t>
  </si>
  <si>
    <t>NM 2.0 Total MWh</t>
  </si>
  <si>
    <t>NM 2.1 Total MWh</t>
  </si>
  <si>
    <t>NM 1.0 Used MWh</t>
  </si>
  <si>
    <t>NM 2.0 Used MWh</t>
  </si>
  <si>
    <t>NM 2.1 Used MWh</t>
  </si>
  <si>
    <t>NM 1.0 Total $/MWh</t>
  </si>
  <si>
    <t>NM 2.0 Total $/MWh</t>
  </si>
  <si>
    <t>NM 2.1 Total $/MWh</t>
  </si>
  <si>
    <t xml:space="preserve"> Total w/o non-solar</t>
  </si>
  <si>
    <t xml:space="preserve"> Excess w/o non-solar</t>
  </si>
  <si>
    <t>Data Below per Filing</t>
  </si>
  <si>
    <t xml:space="preserve"> &lt; All Solar</t>
  </si>
  <si>
    <t xml:space="preserve"> &lt; Solar est</t>
  </si>
  <si>
    <t xml:space="preserve"> &lt; All solar est</t>
  </si>
  <si>
    <t xml:space="preserve"> &lt; Just solar est?</t>
  </si>
  <si>
    <t xml:space="preserve"> &lt; Just solar</t>
  </si>
  <si>
    <t xml:space="preserve"> &lt; Check OK</t>
  </si>
  <si>
    <t xml:space="preserve"> Variances are offset</t>
  </si>
  <si>
    <t>Total MWh</t>
  </si>
  <si>
    <t>Used</t>
  </si>
  <si>
    <t>Excess</t>
  </si>
  <si>
    <t xml:space="preserve"> includes non-solar</t>
  </si>
  <si>
    <t xml:space="preserve"> ok</t>
  </si>
  <si>
    <t>S/M/L split</t>
  </si>
  <si>
    <t xml:space="preserve"> &lt; OK Total net Cost</t>
  </si>
  <si>
    <t>RY Other</t>
  </si>
  <si>
    <t>RY Excess</t>
  </si>
  <si>
    <t>Total Check</t>
  </si>
  <si>
    <t xml:space="preserve"> Capacity</t>
  </si>
  <si>
    <t>Notes:</t>
  </si>
  <si>
    <t xml:space="preserve"> MW</t>
  </si>
  <si>
    <t xml:space="preserve"> Potential incl peak migration</t>
  </si>
  <si>
    <t>Coincidence</t>
  </si>
  <si>
    <t>$/kW-month</t>
  </si>
  <si>
    <t>Months</t>
  </si>
  <si>
    <t>Lag</t>
  </si>
  <si>
    <t>Net % lag assuming 50% lag to '19</t>
  </si>
  <si>
    <t>MW Reduction due to 1-2 year lag</t>
  </si>
  <si>
    <t xml:space="preserve">   but adding back 1/2 of that from '17</t>
  </si>
  <si>
    <t>% Reduction</t>
  </si>
  <si>
    <t>Resulting % share</t>
  </si>
  <si>
    <t>RECs</t>
  </si>
  <si>
    <t>Energy</t>
  </si>
  <si>
    <t>FCM/RNS</t>
  </si>
  <si>
    <t>Oct</t>
  </si>
  <si>
    <t>Nov</t>
  </si>
  <si>
    <t>Dec</t>
  </si>
  <si>
    <t>Jan</t>
  </si>
  <si>
    <t>Feb</t>
  </si>
  <si>
    <t>Mar</t>
  </si>
  <si>
    <t>Apr</t>
  </si>
  <si>
    <t>May</t>
  </si>
  <si>
    <t>Jun</t>
  </si>
  <si>
    <t>Jul</t>
  </si>
  <si>
    <t>Aug</t>
  </si>
  <si>
    <t>Sep</t>
  </si>
  <si>
    <t xml:space="preserve"> Weighted avg (resulting) annual benefit/kW</t>
  </si>
  <si>
    <t>Estimated FCM Value calc</t>
  </si>
  <si>
    <t xml:space="preserve"> FCM rate</t>
  </si>
  <si>
    <t>=  Final PUC Order Rate Change</t>
  </si>
  <si>
    <t>(1) Adder = total projected NM 1.0 generation * average adder of 4.9 cents/kWh, plus total NM 2.0 generation * avg -3.0 cents REC reduction plus location (site) adjustment(s)</t>
  </si>
  <si>
    <t>(2) NM 2.0 = RES Tier II expense for 2018 NM 2.0 generation @ $60/MWh (difference in price paid for all NM 2.0 generation w/ vs w/o transferred RECs)</t>
  </si>
  <si>
    <t>(3) Lost Revenue = projected reduced retail sales, at retail energy rates (mostly residential), at weighted average 14.95 cents/kWh).</t>
  </si>
  <si>
    <t>(4) Excess = projected excess NM generation, * average projected residential energy rate of 15.13 cents/kWh).</t>
  </si>
  <si>
    <t>(5) NM2.0 REC = estimated value of REC sales made possible by using NM2.0 RECs to meet part of GMP's RES Tier II requirement.  Approximated at $30/MWh.</t>
  </si>
  <si>
    <t>(6) Avoided Energy Purchases = market value of avoided purchase requirements, at LMP.  Approximated at $40/MWh including value of saved losses.</t>
  </si>
  <si>
    <t>(7) Lagged FCM/TBO Reductions = peak-driven reductions in GMP capacity (FCM) and TbyO (RNS) expenses.  Approximated at $45/MWh</t>
  </si>
  <si>
    <t>FY20 vs FY19</t>
  </si>
  <si>
    <t>Total Solar Costs:</t>
  </si>
  <si>
    <t>Net Cost:</t>
  </si>
  <si>
    <t>Oct-May Ben.</t>
  </si>
  <si>
    <t>Jun-Sep Ben.</t>
  </si>
  <si>
    <t xml:space="preserve"> Avg saved MW based on 2018 (2/3) and 2019 (1/3) installed solar NM</t>
  </si>
  <si>
    <t xml:space="preserve">Lagged FCM and </t>
  </si>
  <si>
    <t>RNS Reductions</t>
  </si>
  <si>
    <t>Old (last year) notes</t>
  </si>
  <si>
    <t>Own Use</t>
  </si>
  <si>
    <t>Excess Generation</t>
  </si>
  <si>
    <t>Net Metering Output in MWh</t>
  </si>
  <si>
    <t>Total Output</t>
  </si>
  <si>
    <t>Total Cost</t>
  </si>
  <si>
    <t>Avoided Power Cost</t>
  </si>
  <si>
    <t>Transferred RECs</t>
  </si>
  <si>
    <t>Avoided Capacity/RNS</t>
  </si>
  <si>
    <t>Rate Year 2020</t>
  </si>
  <si>
    <t>$ 000s</t>
  </si>
  <si>
    <t>Costs $000s</t>
  </si>
  <si>
    <t>Net Cost/(Benefit) $000s</t>
  </si>
  <si>
    <t>Own Use by NM Customers</t>
  </si>
  <si>
    <t>Own Use Percentage</t>
  </si>
  <si>
    <t xml:space="preserve"> Net MW Delivered</t>
  </si>
  <si>
    <t>Loss/Reserve Gross up</t>
  </si>
  <si>
    <t>Coincidence Factor</t>
  </si>
  <si>
    <t>FCM Reserve Margin</t>
  </si>
  <si>
    <t>Calculation of FCM Gross Up</t>
  </si>
  <si>
    <t>2020 MW</t>
  </si>
  <si>
    <t>Annual Volume</t>
  </si>
  <si>
    <t>Months of benefit</t>
  </si>
  <si>
    <t>Table 1.1  - Summary of Rate Year 2020 NM Impact</t>
  </si>
  <si>
    <t>Sales Offset by Own Use</t>
  </si>
  <si>
    <t xml:space="preserve"> Average $/MWh</t>
  </si>
  <si>
    <t>Adders/Adjustors (includes RECs)</t>
  </si>
  <si>
    <t>Total Power Supply Benefits</t>
  </si>
  <si>
    <t>Power Supply Benefits $000s</t>
  </si>
  <si>
    <t>Sales Offset</t>
  </si>
  <si>
    <t>Sales Offset by Own Use in $$$ due to Solar</t>
  </si>
  <si>
    <t xml:space="preserve">Based on calendar month data </t>
  </si>
  <si>
    <t>Solar Own Use Volumes</t>
  </si>
  <si>
    <t>Offset Sales (MWh)</t>
  </si>
  <si>
    <t>Offset Sales ($)</t>
  </si>
  <si>
    <t>Rates Applicable to Analysis:</t>
  </si>
  <si>
    <t>Growth factor for 2019 - 2020 rates based on PUC Order</t>
  </si>
  <si>
    <t>A</t>
  </si>
  <si>
    <t>B</t>
  </si>
  <si>
    <t>Cell G13 on Total Solar Impact Tab</t>
  </si>
  <si>
    <t>Cell M13 on Total Solar Impact Tab</t>
  </si>
  <si>
    <t>Total Adder (Sum A)</t>
  </si>
  <si>
    <t>Solar Excess (Sum B)</t>
  </si>
  <si>
    <t>Adders (A)</t>
  </si>
  <si>
    <t>(C ) on Total Solar Impact tab</t>
  </si>
  <si>
    <t>by Own Use (B)</t>
  </si>
  <si>
    <t>NM 2.0 &amp; 2.1(C):</t>
  </si>
  <si>
    <t>Excess (D):</t>
  </si>
  <si>
    <t>(C) Based on Rate Case estimate of 81,302 RECs purchased for approximately $53.22/MWh.</t>
  </si>
  <si>
    <t>(D) See cell K28 on Rate Case Tab.</t>
  </si>
  <si>
    <t>(A) See cell K27 on Rate Case Tab.</t>
  </si>
  <si>
    <t>Generation volumes from rate case model:</t>
  </si>
  <si>
    <t>Peak Hours</t>
  </si>
  <si>
    <t>Off-Peak Hours</t>
  </si>
  <si>
    <t>RNS Rate</t>
  </si>
  <si>
    <t>Energy Value</t>
  </si>
  <si>
    <t>RNS Value</t>
  </si>
  <si>
    <t>RNS</t>
  </si>
  <si>
    <t>FCM Volume</t>
  </si>
  <si>
    <t>Annual Price</t>
  </si>
  <si>
    <t>FCM Value</t>
  </si>
  <si>
    <t>FCM</t>
  </si>
  <si>
    <t>Total Peak Value</t>
  </si>
  <si>
    <t xml:space="preserve">Loss gross up </t>
  </si>
  <si>
    <t>Loss adjusted energy volume</t>
  </si>
  <si>
    <t>Energy Volume</t>
  </si>
  <si>
    <t>All Hours Average Energy Price</t>
  </si>
  <si>
    <t>Shaping Adjustment</t>
  </si>
  <si>
    <t>Effective Value of Solar Shaped Energy</t>
  </si>
  <si>
    <t>Green Mountain Power</t>
  </si>
  <si>
    <t>Analysis of Value of Solar Shaped Energy</t>
  </si>
  <si>
    <t>On Peak</t>
  </si>
  <si>
    <t>Off Peak</t>
  </si>
  <si>
    <t>Average</t>
  </si>
  <si>
    <t>Energy Forecast Value</t>
  </si>
  <si>
    <t>Total Hours</t>
  </si>
  <si>
    <t>Total Solar Impact Tab cell B13</t>
  </si>
  <si>
    <t>GMP assumption of average line losses</t>
  </si>
  <si>
    <t>Cell N14 above</t>
  </si>
  <si>
    <t xml:space="preserve">GMP current solar shape adjustment </t>
  </si>
  <si>
    <t>Cell B23 * cell B27</t>
  </si>
  <si>
    <t>Installed MW at Peak</t>
  </si>
  <si>
    <t>Adjustment to reflect value of avoided losses and FCM Reserve Margin</t>
  </si>
  <si>
    <t>Total Value</t>
  </si>
  <si>
    <t>Est. Coincidence</t>
  </si>
  <si>
    <t>Loss Adjustment</t>
  </si>
  <si>
    <t>Analysis of Peak Shaving Avoided Costs</t>
  </si>
  <si>
    <t>Based on GMP general assumptions - actual FCA#10 Reserve Margin is 42%.</t>
  </si>
  <si>
    <t>Estimated marginal losses during peak conditions with high loads and temperatures.</t>
  </si>
  <si>
    <t>Marginal Losses</t>
  </si>
  <si>
    <t>(B) Calculated on Own Use Summary Tab in cell G20.</t>
  </si>
  <si>
    <t>(E) Assumes 75% of RECs delivered at $25/MWh avoided cost based on total Tier II volume of 81,302 reflecting lag factor associated with settling RECs</t>
  </si>
  <si>
    <t>NM 2.0 REC (E)</t>
  </si>
  <si>
    <t>($42 / MWh)(F)</t>
  </si>
  <si>
    <t>($23 / MWh)(G)</t>
  </si>
  <si>
    <r>
      <rPr>
        <b/>
        <u/>
        <sz val="11"/>
        <color rgb="FF0000FF"/>
        <rFont val="Calibri"/>
        <family val="2"/>
        <scheme val="minor"/>
      </rPr>
      <t>Used</t>
    </r>
    <r>
      <rPr>
        <b/>
        <u/>
        <sz val="11"/>
        <color theme="1"/>
        <rFont val="Calibri"/>
        <family val="2"/>
        <scheme val="minor"/>
      </rPr>
      <t xml:space="preserve"> MWh Gen(H)</t>
    </r>
  </si>
  <si>
    <t>(H) Based on billing cycles so there is a small timing difference between this and the calendar month data used in the Revenue Impact tab - pass/immaterial</t>
  </si>
  <si>
    <t>(G) See Peak Shaving Tab</t>
  </si>
  <si>
    <t>(F) See Energy Avoided Cost Tab</t>
  </si>
  <si>
    <t>Rate case assumption</t>
  </si>
  <si>
    <t xml:space="preserve"> Average cents/kWh</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</si>
</sst>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5" formatCode="&quot;$&quot;#,##0_);\(&quot;$&quot;#,##0\)"/>
    <numFmt numFmtId="7" formatCode="&quot;$&quot;#,##0.00_);\(&quot;$&quot;#,##0.00\)"/>
    <numFmt numFmtId="44" formatCode="_(&quot;$&quot;* #,##0.00_);_(&quot;$&quot;* \(#,##0.00\);_(&quot;$&quot;* &quot;-&quot;??_);_(@_)"/>
    <numFmt numFmtId="43" formatCode="_(* #,##0.00_);_(* \(#,##0.00\);_(* &quot;-&quot;??_);_(@_)"/>
    <numFmt numFmtId="164" formatCode="&quot;$&quot;#,##0"/>
    <numFmt numFmtId="165" formatCode="_(* #,##0.0000_);_(* \(#,##0.0000\);_(* &quot;-&quot;??_);_(@_)"/>
    <numFmt numFmtId="166" formatCode="0.0000"/>
    <numFmt numFmtId="167" formatCode="_(* #,##0.0_);_(* \(#,##0.0\);_(* &quot;-&quot;??_);_(@_)"/>
    <numFmt numFmtId="168" formatCode="_(* #,##0_);_(* \(#,##0\);_(* &quot;-&quot;??_);_(@_)"/>
    <numFmt numFmtId="169" formatCode="_(&quot;$&quot;* #,##0_);_(&quot;$&quot;* \(#,##0\);_(&quot;$&quot;* &quot;-&quot;??_);_(@_)"/>
    <numFmt numFmtId="170" formatCode="0.0%"/>
    <numFmt numFmtId="171" formatCode="#,##0,_);\(#,##0,\)"/>
  </numFmts>
  <fonts count="29" x14ac:knownFonts="1">
    <font>
      <sz val="11"/>
      <color theme="1"/>
      <name val="Calibri"/>
      <family val="2"/>
      <scheme val="minor"/>
    </font>
    <font>
      <b/>
      <sz val="11"/>
      <color theme="1"/>
      <name val="Calibri"/>
      <family val="2"/>
      <scheme val="minor"/>
    </font>
    <font>
      <b/>
      <sz val="10"/>
      <name val="Arial"/>
      <family val="2"/>
    </font>
    <font>
      <b/>
      <sz val="16"/>
      <color theme="1"/>
      <name val="Calibri"/>
      <family val="2"/>
      <scheme val="minor"/>
    </font>
    <font>
      <sz val="10"/>
      <name val="Arial"/>
      <family val="2"/>
    </font>
    <font>
      <b/>
      <sz val="11"/>
      <name val="Arial"/>
      <family val="2"/>
    </font>
    <font>
      <u/>
      <sz val="11"/>
      <color theme="1"/>
      <name val="Calibri"/>
      <family val="2"/>
      <scheme val="minor"/>
    </font>
    <font>
      <sz val="11"/>
      <color theme="1"/>
      <name val="Calibri"/>
      <family val="2"/>
      <scheme val="minor"/>
    </font>
    <font>
      <sz val="11"/>
      <color rgb="FF0000FF"/>
      <name val="Calibri"/>
      <family val="2"/>
      <scheme val="minor"/>
    </font>
    <font>
      <b/>
      <u/>
      <sz val="11"/>
      <color theme="1"/>
      <name val="Calibri"/>
      <family val="2"/>
      <scheme val="minor"/>
    </font>
    <font>
      <b/>
      <u/>
      <sz val="11"/>
      <color rgb="FF0000FF"/>
      <name val="Calibri"/>
      <family val="2"/>
      <scheme val="minor"/>
    </font>
    <font>
      <b/>
      <sz val="11"/>
      <color rgb="FFFF0000"/>
      <name val="Calibri"/>
      <family val="2"/>
      <scheme val="minor"/>
    </font>
    <font>
      <b/>
      <sz val="11"/>
      <color rgb="FF0000FF"/>
      <name val="Calibri"/>
      <family val="2"/>
      <scheme val="minor"/>
    </font>
    <font>
      <sz val="11"/>
      <name val="Calibri"/>
      <family val="2"/>
      <scheme val="minor"/>
    </font>
    <font>
      <i/>
      <sz val="10"/>
      <color theme="1"/>
      <name val="Calibri"/>
      <family val="2"/>
      <scheme val="minor"/>
    </font>
    <font>
      <b/>
      <u/>
      <sz val="11"/>
      <name val="Calibri"/>
      <family val="2"/>
      <scheme val="minor"/>
    </font>
    <font>
      <b/>
      <u/>
      <sz val="14"/>
      <color theme="1"/>
      <name val="Calibri"/>
      <family val="2"/>
      <scheme val="minor"/>
    </font>
    <font>
      <b/>
      <sz val="11"/>
      <name val="Calibri"/>
      <family val="2"/>
      <scheme val="minor"/>
    </font>
    <font>
      <b/>
      <sz val="9"/>
      <color indexed="81"/>
      <name val="Tahoma"/>
      <family val="2"/>
    </font>
    <font>
      <sz val="9"/>
      <color indexed="81"/>
      <name val="Tahoma"/>
      <family val="2"/>
    </font>
    <font>
      <u val="singleAccounting"/>
      <sz val="11"/>
      <color theme="1"/>
      <name val="Calibri"/>
      <family val="2"/>
      <scheme val="minor"/>
    </font>
    <font>
      <b/>
      <u val="singleAccounting"/>
      <sz val="11"/>
      <color theme="1"/>
      <name val="Calibri"/>
      <family val="2"/>
      <scheme val="minor"/>
    </font>
    <font>
      <sz val="14"/>
      <color rgb="FF0000FF"/>
      <name val="Calibri"/>
      <family val="2"/>
      <scheme val="minor"/>
    </font>
    <font>
      <sz val="9"/>
      <color theme="1"/>
      <name val="Calibri"/>
      <family val="2"/>
      <scheme val="minor"/>
    </font>
    <font>
      <u val="singleAccounting"/>
      <sz val="11"/>
      <color rgb="FF0000FF"/>
      <name val="Calibri"/>
      <family val="2"/>
      <scheme val="minor"/>
    </font>
    <font>
      <i/>
      <sz val="9"/>
      <color theme="1"/>
      <name val="Calibri"/>
      <family val="2"/>
      <scheme val="minor"/>
    </font>
    <font>
      <b/>
      <sz val="14"/>
      <color theme="1"/>
      <name val="Calibri"/>
      <family val="2"/>
      <scheme val="minor"/>
    </font>
    <font>
      <b/>
      <sz val="10"/>
      <color theme="1"/>
      <name val="Calibri"/>
      <family val="2"/>
      <scheme val="minor"/>
    </font>
    <font>
      <b/>
      <i/>
      <sz val="11"/>
      <color theme="1"/>
      <name val="Calibri"/>
      <family val="2"/>
      <scheme val="minor"/>
    </font>
  </fonts>
  <fills count="14">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00FF0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FFFF99"/>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00B0F0"/>
        <bgColor indexed="64"/>
      </patternFill>
    </fill>
    <fill>
      <patternFill patternType="solid">
        <fgColor theme="9" tint="0.79998168889431442"/>
        <bgColor indexed="64"/>
      </patternFill>
    </fill>
  </fills>
  <borders count="2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right/>
      <top/>
      <bottom style="double">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s>
  <cellStyleXfs count="4">
    <xf numFmtId="0" fontId="0"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cellStyleXfs>
  <cellXfs count="310">
    <xf numFmtId="0" fontId="0" fillId="0" borderId="0" xfId="0"/>
    <xf numFmtId="0" fontId="0" fillId="0" borderId="0" xfId="0" applyBorder="1"/>
    <xf numFmtId="0" fontId="0" fillId="2" borderId="0" xfId="0" applyFill="1"/>
    <xf numFmtId="0" fontId="0" fillId="0" borderId="0" xfId="0" applyFill="1"/>
    <xf numFmtId="0" fontId="0" fillId="0" borderId="0" xfId="0" applyFill="1" applyBorder="1"/>
    <xf numFmtId="164" fontId="0" fillId="4" borderId="2" xfId="0" applyNumberFormat="1" applyFill="1" applyBorder="1"/>
    <xf numFmtId="164" fontId="0" fillId="3" borderId="2" xfId="0" applyNumberFormat="1" applyFill="1" applyBorder="1"/>
    <xf numFmtId="164" fontId="0" fillId="0" borderId="0" xfId="0" applyNumberFormat="1" applyFill="1" applyBorder="1"/>
    <xf numFmtId="0" fontId="0" fillId="5" borderId="0" xfId="0" applyFill="1"/>
    <xf numFmtId="0" fontId="0" fillId="0" borderId="4" xfId="0" applyFill="1" applyBorder="1" applyAlignment="1">
      <alignment horizontal="left"/>
    </xf>
    <xf numFmtId="0" fontId="2" fillId="0" borderId="0" xfId="0" applyFont="1" applyFill="1" applyAlignment="1">
      <alignment horizontal="left"/>
    </xf>
    <xf numFmtId="0" fontId="2" fillId="0" borderId="0" xfId="0" applyFont="1" applyFill="1" applyAlignment="1">
      <alignment horizontal="center"/>
    </xf>
    <xf numFmtId="3" fontId="0" fillId="0" borderId="0" xfId="0" applyNumberFormat="1" applyFill="1" applyAlignment="1">
      <alignment horizontal="center"/>
    </xf>
    <xf numFmtId="0" fontId="0" fillId="0" borderId="0" xfId="0" applyFill="1" applyAlignment="1">
      <alignment horizontal="left"/>
    </xf>
    <xf numFmtId="0" fontId="0" fillId="6" borderId="0" xfId="0" applyFill="1"/>
    <xf numFmtId="0" fontId="0" fillId="6" borderId="0" xfId="0" applyFill="1" applyAlignment="1">
      <alignment horizontal="left"/>
    </xf>
    <xf numFmtId="0" fontId="6" fillId="6" borderId="0" xfId="0" applyFont="1" applyFill="1"/>
    <xf numFmtId="0" fontId="6" fillId="6" borderId="0" xfId="0" applyFont="1" applyFill="1" applyBorder="1" applyAlignment="1">
      <alignment horizontal="center"/>
    </xf>
    <xf numFmtId="3" fontId="0" fillId="6" borderId="0" xfId="0" applyNumberFormat="1" applyFill="1" applyAlignment="1">
      <alignment horizontal="right"/>
    </xf>
    <xf numFmtId="3" fontId="0" fillId="6" borderId="0" xfId="0" applyNumberFormat="1" applyFill="1" applyBorder="1" applyAlignment="1">
      <alignment horizontal="right"/>
    </xf>
    <xf numFmtId="0" fontId="9" fillId="6" borderId="0" xfId="0" applyFont="1" applyFill="1"/>
    <xf numFmtId="167" fontId="0" fillId="0" borderId="0" xfId="1" applyNumberFormat="1" applyFont="1"/>
    <xf numFmtId="168" fontId="0" fillId="0" borderId="0" xfId="1" applyNumberFormat="1" applyFont="1"/>
    <xf numFmtId="0" fontId="1" fillId="0" borderId="0" xfId="0" applyFont="1"/>
    <xf numFmtId="0" fontId="7" fillId="0" borderId="0" xfId="0" applyFont="1"/>
    <xf numFmtId="0" fontId="7" fillId="0" borderId="0" xfId="0" applyFont="1" applyFill="1" applyBorder="1"/>
    <xf numFmtId="0" fontId="1" fillId="0" borderId="0" xfId="0" applyFont="1" applyFill="1"/>
    <xf numFmtId="0" fontId="7" fillId="0" borderId="0" xfId="0" applyFont="1" applyFill="1"/>
    <xf numFmtId="0" fontId="9" fillId="0" borderId="0" xfId="0" applyFont="1" applyFill="1" applyBorder="1"/>
    <xf numFmtId="5" fontId="8" fillId="0" borderId="0" xfId="2" applyNumberFormat="1" applyFont="1" applyFill="1" applyAlignment="1">
      <alignment horizontal="center"/>
    </xf>
    <xf numFmtId="169" fontId="7" fillId="0" borderId="0" xfId="2" applyNumberFormat="1" applyFont="1"/>
    <xf numFmtId="0" fontId="14" fillId="0" borderId="0" xfId="0" applyNumberFormat="1" applyFont="1"/>
    <xf numFmtId="168" fontId="7" fillId="0" borderId="0" xfId="1" applyNumberFormat="1" applyFont="1" applyFill="1" applyBorder="1"/>
    <xf numFmtId="0" fontId="15" fillId="0" borderId="0" xfId="0" applyFont="1" applyFill="1" applyBorder="1" applyAlignment="1">
      <alignment horizontal="left"/>
    </xf>
    <xf numFmtId="0" fontId="15" fillId="0" borderId="0" xfId="0" applyFont="1" applyAlignment="1">
      <alignment horizontal="left"/>
    </xf>
    <xf numFmtId="0" fontId="7" fillId="0" borderId="0" xfId="0" applyFont="1" applyAlignment="1">
      <alignment horizontal="right"/>
    </xf>
    <xf numFmtId="0" fontId="13" fillId="0" borderId="0" xfId="0" applyFont="1" applyBorder="1" applyAlignment="1">
      <alignment horizontal="center"/>
    </xf>
    <xf numFmtId="0" fontId="6" fillId="0" borderId="0" xfId="0" applyFont="1"/>
    <xf numFmtId="168" fontId="7" fillId="0" borderId="0" xfId="1" applyNumberFormat="1" applyFont="1"/>
    <xf numFmtId="0" fontId="16" fillId="0" borderId="0" xfId="0" applyFont="1" applyFill="1" applyBorder="1"/>
    <xf numFmtId="0" fontId="1" fillId="0" borderId="0" xfId="0" applyFont="1" applyFill="1" applyBorder="1" applyAlignment="1">
      <alignment horizontal="center"/>
    </xf>
    <xf numFmtId="0" fontId="1" fillId="0" borderId="0" xfId="0" applyFont="1" applyFill="1" applyBorder="1" applyAlignment="1">
      <alignment vertical="center" textRotation="90"/>
    </xf>
    <xf numFmtId="0" fontId="7" fillId="7" borderId="0" xfId="0" applyFont="1" applyFill="1" applyBorder="1"/>
    <xf numFmtId="0" fontId="1" fillId="7" borderId="0" xfId="0" applyFont="1" applyFill="1" applyBorder="1" applyAlignment="1">
      <alignment vertical="center" textRotation="90"/>
    </xf>
    <xf numFmtId="0" fontId="13" fillId="0" borderId="0" xfId="0" applyFont="1" applyFill="1" applyBorder="1"/>
    <xf numFmtId="0" fontId="17" fillId="0" borderId="0" xfId="0" applyFont="1" applyFill="1" applyBorder="1" applyAlignment="1">
      <alignment vertical="center" textRotation="90"/>
    </xf>
    <xf numFmtId="0" fontId="7" fillId="0" borderId="0" xfId="0" quotePrefix="1" applyFont="1" applyFill="1" applyBorder="1" applyAlignment="1">
      <alignment horizontal="left"/>
    </xf>
    <xf numFmtId="0" fontId="16" fillId="6" borderId="0" xfId="0" applyFont="1" applyFill="1" applyBorder="1"/>
    <xf numFmtId="0" fontId="7" fillId="6" borderId="0" xfId="0" applyFont="1" applyFill="1" applyBorder="1"/>
    <xf numFmtId="168" fontId="0" fillId="6" borderId="0" xfId="1" applyNumberFormat="1" applyFont="1" applyFill="1"/>
    <xf numFmtId="43" fontId="7" fillId="6" borderId="0" xfId="1" applyFont="1" applyFill="1"/>
    <xf numFmtId="0" fontId="7" fillId="6" borderId="0" xfId="0" applyFont="1" applyFill="1"/>
    <xf numFmtId="0" fontId="7" fillId="6" borderId="0" xfId="0" applyNumberFormat="1" applyFont="1" applyFill="1" applyBorder="1"/>
    <xf numFmtId="0" fontId="7" fillId="6" borderId="0" xfId="0" applyFont="1" applyFill="1" applyBorder="1" applyAlignment="1">
      <alignment horizontal="right"/>
    </xf>
    <xf numFmtId="7" fontId="8" fillId="6" borderId="0" xfId="2" applyNumberFormat="1" applyFont="1" applyFill="1" applyBorder="1" applyAlignment="1">
      <alignment horizontal="center"/>
    </xf>
    <xf numFmtId="9" fontId="8" fillId="6" borderId="0" xfId="3" applyFont="1" applyFill="1" applyBorder="1" applyAlignment="1">
      <alignment horizontal="center"/>
    </xf>
    <xf numFmtId="7" fontId="8" fillId="6" borderId="0" xfId="1" applyNumberFormat="1" applyFont="1" applyFill="1" applyBorder="1" applyAlignment="1">
      <alignment horizontal="center"/>
    </xf>
    <xf numFmtId="3" fontId="0" fillId="0" borderId="0" xfId="0" applyNumberFormat="1"/>
    <xf numFmtId="3" fontId="0" fillId="0" borderId="0" xfId="0" applyNumberFormat="1" applyBorder="1"/>
    <xf numFmtId="168" fontId="0" fillId="0" borderId="0" xfId="0" applyNumberFormat="1" applyBorder="1"/>
    <xf numFmtId="168" fontId="0" fillId="0" borderId="0" xfId="0" applyNumberFormat="1"/>
    <xf numFmtId="168" fontId="1" fillId="0" borderId="0" xfId="0" applyNumberFormat="1" applyFont="1"/>
    <xf numFmtId="168" fontId="21" fillId="0" borderId="0" xfId="0" applyNumberFormat="1" applyFont="1"/>
    <xf numFmtId="0" fontId="22" fillId="0" borderId="0" xfId="0" applyFont="1"/>
    <xf numFmtId="3" fontId="6" fillId="0" borderId="0" xfId="0" applyNumberFormat="1" applyFont="1"/>
    <xf numFmtId="44" fontId="0" fillId="0" borderId="0" xfId="2" applyFont="1"/>
    <xf numFmtId="168" fontId="1" fillId="0" borderId="0" xfId="1" applyNumberFormat="1" applyFont="1"/>
    <xf numFmtId="0" fontId="7" fillId="2" borderId="0" xfId="0" applyFont="1" applyFill="1" applyBorder="1"/>
    <xf numFmtId="0" fontId="1" fillId="0" borderId="0" xfId="0" applyFont="1" applyFill="1" applyBorder="1"/>
    <xf numFmtId="0" fontId="0" fillId="0" borderId="0" xfId="0" applyFont="1" applyFill="1" applyBorder="1"/>
    <xf numFmtId="0" fontId="0" fillId="0" borderId="0" xfId="0" applyFont="1" applyFill="1"/>
    <xf numFmtId="0" fontId="0" fillId="0" borderId="0" xfId="0" applyFont="1"/>
    <xf numFmtId="0" fontId="0" fillId="8" borderId="0" xfId="0" applyFill="1"/>
    <xf numFmtId="43" fontId="0" fillId="0" borderId="0" xfId="0" applyNumberFormat="1"/>
    <xf numFmtId="9" fontId="8" fillId="8" borderId="0" xfId="3" applyFont="1" applyFill="1"/>
    <xf numFmtId="9" fontId="0" fillId="0" borderId="0" xfId="0" applyNumberFormat="1"/>
    <xf numFmtId="168" fontId="0" fillId="0" borderId="4" xfId="0" applyNumberFormat="1" applyBorder="1"/>
    <xf numFmtId="168" fontId="0" fillId="0" borderId="6" xfId="0" applyNumberFormat="1" applyBorder="1"/>
    <xf numFmtId="43" fontId="7" fillId="0" borderId="0" xfId="0" applyNumberFormat="1" applyFont="1" applyFill="1" applyBorder="1"/>
    <xf numFmtId="168" fontId="8" fillId="0" borderId="0" xfId="1" applyNumberFormat="1" applyFont="1"/>
    <xf numFmtId="44" fontId="8" fillId="8" borderId="0" xfId="2" applyFont="1" applyFill="1"/>
    <xf numFmtId="168" fontId="12" fillId="0" borderId="0" xfId="1" applyNumberFormat="1" applyFont="1"/>
    <xf numFmtId="0" fontId="0" fillId="0" borderId="0" xfId="0" quotePrefix="1" applyAlignment="1">
      <alignment horizontal="right"/>
    </xf>
    <xf numFmtId="0" fontId="0" fillId="0" borderId="0" xfId="0" applyAlignment="1">
      <alignment horizontal="right"/>
    </xf>
    <xf numFmtId="168" fontId="0" fillId="9" borderId="0" xfId="1" applyNumberFormat="1" applyFont="1" applyFill="1"/>
    <xf numFmtId="168" fontId="0" fillId="0" borderId="0" xfId="1" applyNumberFormat="1" applyFont="1" applyFill="1"/>
    <xf numFmtId="168" fontId="0" fillId="0" borderId="0" xfId="0" applyNumberFormat="1" applyFill="1"/>
    <xf numFmtId="9" fontId="14" fillId="0" borderId="0" xfId="3" applyFont="1"/>
    <xf numFmtId="168" fontId="8" fillId="0" borderId="0" xfId="1" applyNumberFormat="1" applyFont="1" applyFill="1"/>
    <xf numFmtId="43" fontId="0" fillId="0" borderId="0" xfId="0" applyNumberFormat="1" applyBorder="1"/>
    <xf numFmtId="168" fontId="0" fillId="0" borderId="0" xfId="1" applyNumberFormat="1" applyFont="1" applyBorder="1"/>
    <xf numFmtId="164" fontId="14" fillId="0" borderId="0" xfId="0" applyNumberFormat="1" applyFont="1" applyBorder="1"/>
    <xf numFmtId="0" fontId="6" fillId="0" borderId="0" xfId="0" applyFont="1" applyAlignment="1">
      <alignment horizontal="right"/>
    </xf>
    <xf numFmtId="0" fontId="0" fillId="0" borderId="0" xfId="0" applyBorder="1" applyAlignment="1">
      <alignment horizontal="left"/>
    </xf>
    <xf numFmtId="168" fontId="1" fillId="0" borderId="0" xfId="0" applyNumberFormat="1" applyFont="1" applyBorder="1"/>
    <xf numFmtId="44" fontId="0" fillId="0" borderId="0" xfId="2" applyFont="1" applyBorder="1"/>
    <xf numFmtId="169" fontId="0" fillId="0" borderId="0" xfId="2" applyNumberFormat="1" applyFont="1" applyBorder="1"/>
    <xf numFmtId="169" fontId="20" fillId="0" borderId="0" xfId="2" applyNumberFormat="1" applyFont="1" applyBorder="1"/>
    <xf numFmtId="169" fontId="1" fillId="0" borderId="0" xfId="2" applyNumberFormat="1" applyFont="1"/>
    <xf numFmtId="0" fontId="8" fillId="0" borderId="0" xfId="0" applyFont="1" applyFill="1" applyBorder="1"/>
    <xf numFmtId="168" fontId="7" fillId="0" borderId="0" xfId="1" applyNumberFormat="1" applyFont="1" applyBorder="1"/>
    <xf numFmtId="44" fontId="0" fillId="0" borderId="0" xfId="0" applyNumberFormat="1"/>
    <xf numFmtId="0" fontId="0" fillId="0" borderId="7" xfId="0" applyBorder="1"/>
    <xf numFmtId="0" fontId="0" fillId="0" borderId="8" xfId="0" applyBorder="1"/>
    <xf numFmtId="0" fontId="0" fillId="0" borderId="9" xfId="0" applyBorder="1"/>
    <xf numFmtId="0" fontId="0" fillId="0" borderId="10" xfId="0" applyBorder="1"/>
    <xf numFmtId="9" fontId="0" fillId="0" borderId="0" xfId="0" applyNumberFormat="1" applyBorder="1"/>
    <xf numFmtId="0" fontId="0" fillId="0" borderId="11" xfId="0" applyBorder="1"/>
    <xf numFmtId="0" fontId="0" fillId="0" borderId="13" xfId="0" applyBorder="1"/>
    <xf numFmtId="0" fontId="0" fillId="0" borderId="14" xfId="0" applyBorder="1"/>
    <xf numFmtId="0" fontId="8" fillId="0" borderId="8" xfId="0" applyFont="1" applyBorder="1"/>
    <xf numFmtId="43" fontId="0" fillId="0" borderId="0" xfId="1" applyFont="1" applyFill="1" applyBorder="1"/>
    <xf numFmtId="44" fontId="24" fillId="0" borderId="0" xfId="2" applyFont="1" applyFill="1" applyBorder="1"/>
    <xf numFmtId="168" fontId="0" fillId="0" borderId="5" xfId="0" applyNumberFormat="1" applyBorder="1"/>
    <xf numFmtId="170" fontId="0" fillId="0" borderId="0" xfId="3" applyNumberFormat="1" applyFont="1"/>
    <xf numFmtId="168" fontId="24" fillId="0" borderId="0" xfId="1" applyNumberFormat="1" applyFont="1"/>
    <xf numFmtId="168" fontId="8" fillId="2" borderId="0" xfId="1" applyNumberFormat="1" applyFont="1" applyFill="1"/>
    <xf numFmtId="168" fontId="24" fillId="2" borderId="0" xfId="1" applyNumberFormat="1" applyFont="1" applyFill="1"/>
    <xf numFmtId="168" fontId="8" fillId="6" borderId="0" xfId="1" applyNumberFormat="1" applyFont="1" applyFill="1"/>
    <xf numFmtId="168" fontId="0" fillId="10" borderId="0" xfId="0" applyNumberFormat="1" applyFill="1"/>
    <xf numFmtId="44" fontId="0" fillId="0" borderId="0" xfId="2" applyFont="1" applyAlignment="1">
      <alignment horizontal="right"/>
    </xf>
    <xf numFmtId="168" fontId="8" fillId="11" borderId="0" xfId="1" applyNumberFormat="1" applyFont="1" applyFill="1"/>
    <xf numFmtId="0" fontId="0" fillId="0" borderId="0" xfId="0" applyFill="1" applyAlignment="1">
      <alignment horizontal="right"/>
    </xf>
    <xf numFmtId="0" fontId="0" fillId="9" borderId="0" xfId="0" applyFill="1" applyBorder="1"/>
    <xf numFmtId="3" fontId="4" fillId="6" borderId="0" xfId="0" applyNumberFormat="1" applyFont="1" applyFill="1" applyBorder="1" applyAlignment="1">
      <alignment horizontal="right"/>
    </xf>
    <xf numFmtId="0" fontId="25" fillId="0" borderId="0" xfId="0" applyFont="1"/>
    <xf numFmtId="9" fontId="25" fillId="0" borderId="0" xfId="3" applyFont="1"/>
    <xf numFmtId="44" fontId="0" fillId="9" borderId="0" xfId="2" applyFont="1" applyFill="1" applyBorder="1"/>
    <xf numFmtId="169" fontId="1" fillId="0" borderId="0" xfId="2" applyNumberFormat="1" applyFont="1" applyBorder="1"/>
    <xf numFmtId="0" fontId="8" fillId="0" borderId="0" xfId="0" applyFont="1" applyBorder="1"/>
    <xf numFmtId="0" fontId="0" fillId="0" borderId="0" xfId="0" applyFont="1" applyBorder="1"/>
    <xf numFmtId="0" fontId="1" fillId="0" borderId="0" xfId="0" applyFont="1" applyBorder="1"/>
    <xf numFmtId="0" fontId="0" fillId="9" borderId="7" xfId="0" applyFill="1" applyBorder="1"/>
    <xf numFmtId="0" fontId="0" fillId="9" borderId="8" xfId="0" quotePrefix="1" applyFill="1" applyBorder="1"/>
    <xf numFmtId="0" fontId="0" fillId="9" borderId="8" xfId="0" applyFill="1" applyBorder="1"/>
    <xf numFmtId="0" fontId="0" fillId="9" borderId="9" xfId="0" applyFill="1" applyBorder="1"/>
    <xf numFmtId="168" fontId="12" fillId="9" borderId="7" xfId="1" applyNumberFormat="1" applyFont="1" applyFill="1" applyBorder="1"/>
    <xf numFmtId="3" fontId="17" fillId="9" borderId="8" xfId="0" applyNumberFormat="1" applyFont="1" applyFill="1" applyBorder="1"/>
    <xf numFmtId="3" fontId="0" fillId="9" borderId="8" xfId="0" applyNumberFormat="1" applyFill="1" applyBorder="1"/>
    <xf numFmtId="0" fontId="12" fillId="9" borderId="8" xfId="0" applyFont="1" applyFill="1" applyBorder="1"/>
    <xf numFmtId="0" fontId="23" fillId="9" borderId="8" xfId="0" applyFont="1" applyFill="1" applyBorder="1"/>
    <xf numFmtId="0" fontId="1" fillId="9" borderId="10" xfId="0" applyFont="1" applyFill="1" applyBorder="1"/>
    <xf numFmtId="0" fontId="0" fillId="9" borderId="0" xfId="0" quotePrefix="1" applyFill="1" applyBorder="1"/>
    <xf numFmtId="0" fontId="0" fillId="9" borderId="11" xfId="0" applyFill="1" applyBorder="1"/>
    <xf numFmtId="44" fontId="12" fillId="9" borderId="10" xfId="2" applyFont="1" applyFill="1" applyBorder="1"/>
    <xf numFmtId="0" fontId="8" fillId="9" borderId="0" xfId="0" applyFont="1" applyFill="1" applyBorder="1"/>
    <xf numFmtId="44" fontId="12" fillId="9" borderId="0" xfId="2" applyFont="1" applyFill="1" applyBorder="1"/>
    <xf numFmtId="9" fontId="8" fillId="9" borderId="0" xfId="3" applyFont="1" applyFill="1" applyBorder="1"/>
    <xf numFmtId="0" fontId="23" fillId="9" borderId="0" xfId="0" applyFont="1" applyFill="1" applyBorder="1"/>
    <xf numFmtId="0" fontId="0" fillId="9" borderId="10" xfId="0" applyFill="1" applyBorder="1"/>
    <xf numFmtId="9" fontId="12" fillId="9" borderId="0" xfId="3" applyFont="1" applyFill="1" applyBorder="1"/>
    <xf numFmtId="9" fontId="0" fillId="9" borderId="0" xfId="3" applyFont="1" applyFill="1" applyBorder="1"/>
    <xf numFmtId="44" fontId="8" fillId="9" borderId="0" xfId="2" applyFont="1" applyFill="1" applyBorder="1"/>
    <xf numFmtId="168" fontId="0" fillId="9" borderId="10" xfId="1" applyNumberFormat="1" applyFont="1" applyFill="1" applyBorder="1"/>
    <xf numFmtId="168" fontId="0" fillId="9" borderId="0" xfId="1" applyNumberFormat="1" applyFont="1" applyFill="1" applyBorder="1"/>
    <xf numFmtId="169" fontId="0" fillId="9" borderId="11" xfId="0" applyNumberFormat="1" applyFill="1" applyBorder="1"/>
    <xf numFmtId="0" fontId="9" fillId="9" borderId="10" xfId="0" applyFont="1" applyFill="1" applyBorder="1" applyAlignment="1">
      <alignment horizontal="center"/>
    </xf>
    <xf numFmtId="0" fontId="9" fillId="9" borderId="12" xfId="0" applyFont="1" applyFill="1" applyBorder="1" applyAlignment="1">
      <alignment horizontal="center"/>
    </xf>
    <xf numFmtId="9" fontId="0" fillId="9" borderId="10" xfId="3" applyFont="1" applyFill="1" applyBorder="1" applyAlignment="1">
      <alignment horizontal="center"/>
    </xf>
    <xf numFmtId="3" fontId="8" fillId="9" borderId="0" xfId="1" applyNumberFormat="1" applyFont="1" applyFill="1" applyBorder="1" applyAlignment="1">
      <alignment horizontal="center"/>
    </xf>
    <xf numFmtId="9" fontId="0" fillId="9" borderId="0" xfId="3" applyFont="1" applyFill="1" applyBorder="1" applyAlignment="1">
      <alignment horizontal="center"/>
    </xf>
    <xf numFmtId="0" fontId="0" fillId="9" borderId="13" xfId="0" applyFill="1" applyBorder="1"/>
    <xf numFmtId="0" fontId="0" fillId="9" borderId="14" xfId="0" applyFill="1" applyBorder="1"/>
    <xf numFmtId="0" fontId="0" fillId="9" borderId="15" xfId="0" applyFill="1" applyBorder="1"/>
    <xf numFmtId="9" fontId="0" fillId="9" borderId="13" xfId="3" applyFont="1" applyFill="1" applyBorder="1" applyAlignment="1">
      <alignment horizontal="center"/>
    </xf>
    <xf numFmtId="9" fontId="0" fillId="9" borderId="14" xfId="3" applyFont="1" applyFill="1" applyBorder="1" applyAlignment="1">
      <alignment horizontal="center"/>
    </xf>
    <xf numFmtId="3" fontId="8" fillId="0" borderId="0" xfId="0" applyNumberFormat="1" applyFont="1" applyFill="1" applyAlignment="1">
      <alignment horizontal="center"/>
    </xf>
    <xf numFmtId="3" fontId="0" fillId="0" borderId="16" xfId="0" applyNumberFormat="1" applyBorder="1"/>
    <xf numFmtId="0" fontId="9" fillId="0" borderId="0" xfId="0" applyFont="1"/>
    <xf numFmtId="37" fontId="0" fillId="0" borderId="0" xfId="0" applyNumberFormat="1"/>
    <xf numFmtId="0" fontId="1" fillId="0" borderId="16" xfId="0" applyFont="1" applyBorder="1" applyAlignment="1">
      <alignment horizontal="center"/>
    </xf>
    <xf numFmtId="0" fontId="1" fillId="0" borderId="0" xfId="0" applyFont="1" applyBorder="1" applyAlignment="1">
      <alignment horizontal="centerContinuous"/>
    </xf>
    <xf numFmtId="0" fontId="0" fillId="0" borderId="0" xfId="0" applyBorder="1" applyAlignment="1">
      <alignment horizontal="centerContinuous"/>
    </xf>
    <xf numFmtId="7" fontId="0" fillId="0" borderId="0" xfId="0" applyNumberFormat="1"/>
    <xf numFmtId="7" fontId="0" fillId="0" borderId="16" xfId="0" applyNumberFormat="1" applyBorder="1"/>
    <xf numFmtId="7" fontId="0" fillId="0" borderId="17" xfId="0" applyNumberFormat="1" applyBorder="1"/>
    <xf numFmtId="7" fontId="0" fillId="0" borderId="18" xfId="0" applyNumberFormat="1" applyBorder="1"/>
    <xf numFmtId="0" fontId="26" fillId="0" borderId="0" xfId="0" applyFont="1" applyAlignment="1">
      <alignment horizontal="centerContinuous"/>
    </xf>
    <xf numFmtId="171" fontId="0" fillId="0" borderId="0" xfId="0" applyNumberFormat="1"/>
    <xf numFmtId="171" fontId="0" fillId="0" borderId="16" xfId="0" applyNumberFormat="1" applyBorder="1"/>
    <xf numFmtId="171" fontId="0" fillId="0" borderId="17" xfId="0" applyNumberFormat="1" applyBorder="1"/>
    <xf numFmtId="171" fontId="0" fillId="0" borderId="18" xfId="0" applyNumberFormat="1" applyBorder="1"/>
    <xf numFmtId="0" fontId="27" fillId="0" borderId="14" xfId="0" applyFont="1" applyBorder="1" applyAlignment="1">
      <alignment horizontal="center"/>
    </xf>
    <xf numFmtId="9" fontId="0" fillId="0" borderId="16" xfId="0" applyNumberFormat="1" applyBorder="1"/>
    <xf numFmtId="43" fontId="1" fillId="0" borderId="7" xfId="0" applyNumberFormat="1" applyFont="1" applyBorder="1"/>
    <xf numFmtId="170" fontId="0" fillId="0" borderId="11" xfId="0" applyNumberFormat="1" applyBorder="1"/>
    <xf numFmtId="170" fontId="0" fillId="0" borderId="19" xfId="0" applyNumberFormat="1" applyBorder="1"/>
    <xf numFmtId="0" fontId="1" fillId="3" borderId="1" xfId="0" applyFont="1" applyFill="1" applyBorder="1" applyAlignment="1">
      <alignment horizontal="center"/>
    </xf>
    <xf numFmtId="0" fontId="1" fillId="3" borderId="2" xfId="0" applyFont="1" applyFill="1" applyBorder="1" applyAlignment="1">
      <alignment horizontal="center"/>
    </xf>
    <xf numFmtId="0" fontId="1" fillId="4" borderId="1" xfId="0" applyFont="1" applyFill="1" applyBorder="1" applyAlignment="1">
      <alignment horizontal="center"/>
    </xf>
    <xf numFmtId="5" fontId="0" fillId="4" borderId="3" xfId="0" applyNumberFormat="1" applyFill="1" applyBorder="1"/>
    <xf numFmtId="5" fontId="0" fillId="0" borderId="0" xfId="0" applyNumberFormat="1" applyFill="1" applyBorder="1"/>
    <xf numFmtId="5" fontId="0" fillId="0" borderId="0" xfId="0" applyNumberFormat="1" applyBorder="1"/>
    <xf numFmtId="5" fontId="0" fillId="0" borderId="0" xfId="0" applyNumberFormat="1" applyFill="1"/>
    <xf numFmtId="5" fontId="0" fillId="3" borderId="3" xfId="0" applyNumberFormat="1" applyFill="1" applyBorder="1"/>
    <xf numFmtId="5" fontId="0" fillId="0" borderId="0" xfId="0" applyNumberFormat="1"/>
    <xf numFmtId="0" fontId="1" fillId="4" borderId="20" xfId="0" applyFont="1" applyFill="1" applyBorder="1" applyAlignment="1">
      <alignment horizontal="center"/>
    </xf>
    <xf numFmtId="0" fontId="1" fillId="4" borderId="3" xfId="0" applyFont="1" applyFill="1" applyBorder="1" applyAlignment="1">
      <alignment horizontal="center"/>
    </xf>
    <xf numFmtId="0" fontId="1" fillId="3" borderId="20" xfId="0" applyFont="1" applyFill="1" applyBorder="1" applyAlignment="1">
      <alignment horizontal="center"/>
    </xf>
    <xf numFmtId="0" fontId="1" fillId="3" borderId="3" xfId="0" applyFont="1" applyFill="1" applyBorder="1" applyAlignment="1">
      <alignment horizontal="center"/>
    </xf>
    <xf numFmtId="0" fontId="1" fillId="12" borderId="1" xfId="0" applyFont="1" applyFill="1" applyBorder="1" applyAlignment="1">
      <alignment horizontal="center"/>
    </xf>
    <xf numFmtId="0" fontId="1" fillId="12" borderId="3" xfId="0" applyFont="1" applyFill="1" applyBorder="1" applyAlignment="1">
      <alignment horizontal="center"/>
    </xf>
    <xf numFmtId="164" fontId="0" fillId="12" borderId="2" xfId="0" applyNumberFormat="1" applyFill="1" applyBorder="1"/>
    <xf numFmtId="5" fontId="0" fillId="12" borderId="3" xfId="0" applyNumberFormat="1" applyFill="1" applyBorder="1"/>
    <xf numFmtId="5" fontId="0" fillId="6" borderId="0" xfId="0" applyNumberFormat="1" applyFill="1" applyAlignment="1">
      <alignment horizontal="center"/>
    </xf>
    <xf numFmtId="0" fontId="1" fillId="0" borderId="21" xfId="0" applyFont="1" applyBorder="1" applyAlignment="1">
      <alignment horizontal="center"/>
    </xf>
    <xf numFmtId="0" fontId="1" fillId="0" borderId="22" xfId="0" applyFont="1" applyBorder="1" applyAlignment="1">
      <alignment horizontal="center"/>
    </xf>
    <xf numFmtId="165" fontId="8" fillId="0" borderId="0" xfId="1" applyNumberFormat="1" applyFont="1" applyFill="1" applyBorder="1"/>
    <xf numFmtId="165" fontId="8" fillId="0" borderId="11" xfId="1" applyNumberFormat="1" applyFont="1" applyFill="1" applyBorder="1"/>
    <xf numFmtId="166" fontId="8" fillId="0" borderId="0" xfId="0" applyNumberFormat="1" applyFont="1" applyFill="1" applyBorder="1"/>
    <xf numFmtId="165" fontId="8" fillId="3" borderId="0" xfId="1" applyNumberFormat="1" applyFont="1" applyFill="1" applyBorder="1"/>
    <xf numFmtId="0" fontId="1" fillId="0" borderId="13" xfId="0" applyFont="1" applyBorder="1"/>
    <xf numFmtId="10" fontId="1" fillId="0" borderId="14" xfId="0" applyNumberFormat="1" applyFont="1" applyBorder="1"/>
    <xf numFmtId="0" fontId="0" fillId="0" borderId="14" xfId="0" quotePrefix="1" applyBorder="1"/>
    <xf numFmtId="0" fontId="0" fillId="0" borderId="15" xfId="0" applyBorder="1"/>
    <xf numFmtId="168" fontId="1" fillId="0" borderId="16" xfId="1" applyNumberFormat="1" applyFont="1" applyBorder="1" applyAlignment="1">
      <alignment horizontal="center"/>
    </xf>
    <xf numFmtId="0" fontId="11" fillId="0" borderId="0" xfId="0" applyFont="1" applyFill="1" applyBorder="1"/>
    <xf numFmtId="0" fontId="1" fillId="0" borderId="7" xfId="0" applyFont="1" applyFill="1" applyBorder="1"/>
    <xf numFmtId="0" fontId="7" fillId="0" borderId="8" xfId="0" applyFont="1" applyFill="1" applyBorder="1"/>
    <xf numFmtId="0" fontId="0" fillId="0" borderId="8" xfId="0" applyFill="1" applyBorder="1"/>
    <xf numFmtId="168" fontId="8" fillId="0" borderId="8" xfId="1" applyNumberFormat="1" applyFont="1" applyFill="1" applyBorder="1"/>
    <xf numFmtId="168" fontId="8" fillId="0" borderId="9" xfId="1" applyNumberFormat="1" applyFont="1" applyFill="1" applyBorder="1"/>
    <xf numFmtId="167" fontId="7" fillId="0" borderId="10" xfId="1" applyNumberFormat="1" applyFont="1" applyFill="1" applyBorder="1"/>
    <xf numFmtId="167" fontId="7" fillId="0" borderId="0" xfId="1" applyNumberFormat="1" applyFont="1" applyFill="1" applyBorder="1"/>
    <xf numFmtId="168" fontId="8" fillId="0" borderId="0" xfId="1" applyNumberFormat="1" applyFont="1" applyFill="1" applyBorder="1"/>
    <xf numFmtId="168" fontId="8" fillId="0" borderId="11" xfId="1" applyNumberFormat="1" applyFont="1" applyFill="1" applyBorder="1"/>
    <xf numFmtId="0" fontId="7" fillId="0" borderId="10" xfId="0" applyFont="1" applyFill="1" applyBorder="1"/>
    <xf numFmtId="168" fontId="0" fillId="0" borderId="0" xfId="1" applyNumberFormat="1" applyFont="1" applyFill="1" applyBorder="1" applyAlignment="1">
      <alignment horizontal="right"/>
    </xf>
    <xf numFmtId="168" fontId="0" fillId="0" borderId="11" xfId="1" applyNumberFormat="1" applyFont="1" applyFill="1" applyBorder="1" applyAlignment="1">
      <alignment horizontal="right"/>
    </xf>
    <xf numFmtId="168" fontId="0" fillId="0" borderId="0" xfId="1" applyNumberFormat="1" applyFont="1" applyFill="1" applyBorder="1"/>
    <xf numFmtId="168" fontId="0" fillId="0" borderId="11" xfId="1" applyNumberFormat="1" applyFont="1" applyFill="1" applyBorder="1"/>
    <xf numFmtId="167" fontId="12" fillId="0" borderId="0" xfId="1" applyNumberFormat="1" applyFont="1" applyFill="1" applyBorder="1" applyAlignment="1">
      <alignment horizontal="center"/>
    </xf>
    <xf numFmtId="0" fontId="13" fillId="0" borderId="0" xfId="0" applyFont="1" applyFill="1" applyBorder="1" applyAlignment="1">
      <alignment horizontal="center"/>
    </xf>
    <xf numFmtId="168" fontId="24" fillId="0" borderId="0" xfId="1" applyNumberFormat="1" applyFont="1" applyFill="1" applyBorder="1"/>
    <xf numFmtId="168" fontId="24" fillId="0" borderId="11" xfId="1" applyNumberFormat="1" applyFont="1" applyFill="1" applyBorder="1"/>
    <xf numFmtId="0" fontId="13" fillId="0" borderId="10" xfId="0" applyFont="1" applyFill="1" applyBorder="1"/>
    <xf numFmtId="169" fontId="8" fillId="0" borderId="10" xfId="2" applyNumberFormat="1" applyFont="1" applyFill="1" applyBorder="1"/>
    <xf numFmtId="169" fontId="8" fillId="0" borderId="13" xfId="2" applyNumberFormat="1" applyFont="1" applyFill="1" applyBorder="1"/>
    <xf numFmtId="0" fontId="13" fillId="0" borderId="14" xfId="0" applyFont="1" applyFill="1" applyBorder="1" applyAlignment="1">
      <alignment horizontal="center"/>
    </xf>
    <xf numFmtId="0" fontId="0" fillId="0" borderId="14" xfId="0" applyFill="1" applyBorder="1"/>
    <xf numFmtId="168" fontId="8" fillId="0" borderId="14" xfId="1" applyNumberFormat="1" applyFont="1" applyFill="1" applyBorder="1"/>
    <xf numFmtId="168" fontId="8" fillId="0" borderId="15" xfId="1" applyNumberFormat="1" applyFont="1" applyFill="1" applyBorder="1"/>
    <xf numFmtId="0" fontId="1" fillId="0" borderId="7" xfId="0" applyFont="1" applyBorder="1"/>
    <xf numFmtId="0" fontId="17" fillId="3" borderId="7" xfId="0" applyFont="1" applyFill="1" applyBorder="1"/>
    <xf numFmtId="0" fontId="13" fillId="3" borderId="8" xfId="0" applyFont="1" applyFill="1" applyBorder="1"/>
    <xf numFmtId="0" fontId="13" fillId="3" borderId="9" xfId="0" applyFont="1" applyFill="1" applyBorder="1"/>
    <xf numFmtId="0" fontId="17" fillId="3" borderId="10" xfId="0" applyFont="1" applyFill="1" applyBorder="1"/>
    <xf numFmtId="0" fontId="13" fillId="3" borderId="0" xfId="0" applyFont="1" applyFill="1" applyBorder="1"/>
    <xf numFmtId="0" fontId="13" fillId="3" borderId="11" xfId="0" applyFont="1" applyFill="1" applyBorder="1"/>
    <xf numFmtId="0" fontId="13" fillId="3" borderId="13" xfId="0" applyFont="1" applyFill="1" applyBorder="1"/>
    <xf numFmtId="0" fontId="13" fillId="3" borderId="14" xfId="0" applyFont="1" applyFill="1" applyBorder="1"/>
    <xf numFmtId="0" fontId="13" fillId="3" borderId="15" xfId="0" applyFont="1" applyFill="1" applyBorder="1"/>
    <xf numFmtId="168" fontId="17" fillId="3" borderId="8" xfId="0" applyNumberFormat="1" applyFont="1" applyFill="1" applyBorder="1"/>
    <xf numFmtId="168" fontId="17" fillId="3" borderId="0" xfId="0" applyNumberFormat="1" applyFont="1" applyFill="1" applyBorder="1"/>
    <xf numFmtId="168" fontId="17" fillId="3" borderId="23" xfId="0" applyNumberFormat="1" applyFont="1" applyFill="1" applyBorder="1"/>
    <xf numFmtId="44" fontId="0" fillId="0" borderId="0" xfId="2" applyFont="1" applyFill="1" applyBorder="1"/>
    <xf numFmtId="44" fontId="0" fillId="0" borderId="11" xfId="2" applyFont="1" applyFill="1" applyBorder="1"/>
    <xf numFmtId="168" fontId="0" fillId="0" borderId="9" xfId="1" applyNumberFormat="1" applyFont="1" applyBorder="1"/>
    <xf numFmtId="170" fontId="0" fillId="0" borderId="0" xfId="3" applyNumberFormat="1" applyFont="1" applyBorder="1"/>
    <xf numFmtId="168" fontId="0" fillId="0" borderId="15" xfId="1" applyNumberFormat="1" applyFont="1" applyBorder="1"/>
    <xf numFmtId="10" fontId="0" fillId="0" borderId="11" xfId="0" applyNumberFormat="1" applyBorder="1"/>
    <xf numFmtId="10" fontId="0" fillId="0" borderId="24" xfId="0" applyNumberFormat="1" applyBorder="1"/>
    <xf numFmtId="43" fontId="8" fillId="0" borderId="11" xfId="1" applyFont="1" applyBorder="1"/>
    <xf numFmtId="44" fontId="8" fillId="0" borderId="11" xfId="2" applyFont="1" applyBorder="1"/>
    <xf numFmtId="168" fontId="0" fillId="0" borderId="19" xfId="1" applyNumberFormat="1" applyFont="1" applyBorder="1"/>
    <xf numFmtId="43" fontId="7" fillId="0" borderId="11" xfId="1" applyFont="1" applyFill="1" applyBorder="1"/>
    <xf numFmtId="44" fontId="20" fillId="0" borderId="11" xfId="2" applyFont="1" applyBorder="1"/>
    <xf numFmtId="169" fontId="0" fillId="0" borderId="15" xfId="2" applyNumberFormat="1" applyFont="1" applyBorder="1"/>
    <xf numFmtId="168" fontId="0" fillId="3" borderId="3" xfId="0" applyNumberFormat="1" applyFill="1" applyBorder="1"/>
    <xf numFmtId="169" fontId="1" fillId="0" borderId="6" xfId="2" applyNumberFormat="1" applyFont="1" applyBorder="1"/>
    <xf numFmtId="0" fontId="1" fillId="0" borderId="4" xfId="0" applyFont="1" applyBorder="1"/>
    <xf numFmtId="0" fontId="1" fillId="13" borderId="0" xfId="0" applyFont="1" applyFill="1" applyBorder="1" applyAlignment="1">
      <alignment horizontal="right"/>
    </xf>
    <xf numFmtId="44" fontId="0" fillId="13" borderId="0" xfId="2" applyFont="1" applyFill="1"/>
    <xf numFmtId="0" fontId="0" fillId="13" borderId="0" xfId="0" applyFill="1" applyBorder="1" applyAlignment="1">
      <alignment horizontal="left"/>
    </xf>
    <xf numFmtId="0" fontId="0" fillId="13" borderId="0" xfId="0" applyFill="1" applyBorder="1"/>
    <xf numFmtId="164" fontId="14" fillId="13" borderId="0" xfId="0" applyNumberFormat="1" applyFont="1" applyFill="1" applyBorder="1"/>
    <xf numFmtId="0" fontId="0" fillId="13" borderId="0" xfId="0" applyFill="1"/>
    <xf numFmtId="0" fontId="1" fillId="0" borderId="8" xfId="0" applyFont="1" applyFill="1" applyBorder="1"/>
    <xf numFmtId="37" fontId="0" fillId="0" borderId="11" xfId="0" applyNumberFormat="1" applyBorder="1"/>
    <xf numFmtId="44" fontId="1" fillId="0" borderId="0" xfId="2" applyNumberFormat="1" applyFont="1"/>
    <xf numFmtId="9" fontId="0" fillId="0" borderId="24" xfId="3" applyFont="1" applyBorder="1"/>
    <xf numFmtId="0" fontId="26" fillId="0" borderId="0" xfId="0" applyFont="1"/>
    <xf numFmtId="44" fontId="0" fillId="0" borderId="14" xfId="2" applyFont="1" applyFill="1" applyBorder="1"/>
    <xf numFmtId="0" fontId="9" fillId="0" borderId="10" xfId="0" applyFont="1" applyBorder="1"/>
    <xf numFmtId="37" fontId="0" fillId="0" borderId="0" xfId="0" applyNumberFormat="1" applyBorder="1"/>
    <xf numFmtId="37" fontId="0" fillId="0" borderId="16" xfId="0" applyNumberFormat="1" applyBorder="1"/>
    <xf numFmtId="37" fontId="0" fillId="0" borderId="24" xfId="0" applyNumberFormat="1" applyBorder="1"/>
    <xf numFmtId="0" fontId="9" fillId="0" borderId="8" xfId="0" applyFont="1" applyBorder="1" applyAlignment="1">
      <alignment horizontal="center"/>
    </xf>
    <xf numFmtId="0" fontId="9" fillId="0" borderId="9" xfId="0" applyFont="1" applyBorder="1" applyAlignment="1">
      <alignment horizontal="center"/>
    </xf>
    <xf numFmtId="44" fontId="7" fillId="0" borderId="16" xfId="2" applyFont="1" applyFill="1" applyBorder="1"/>
    <xf numFmtId="44" fontId="7" fillId="0" borderId="24" xfId="2" applyFont="1" applyFill="1" applyBorder="1"/>
    <xf numFmtId="0" fontId="28" fillId="0" borderId="0" xfId="0" applyFont="1"/>
    <xf numFmtId="0" fontId="1" fillId="0" borderId="14" xfId="0" applyFont="1" applyBorder="1" applyAlignment="1">
      <alignment horizontal="center"/>
    </xf>
    <xf numFmtId="170" fontId="0" fillId="0" borderId="0" xfId="0" applyNumberFormat="1" applyBorder="1"/>
    <xf numFmtId="170" fontId="0" fillId="0" borderId="23" xfId="0" applyNumberFormat="1" applyBorder="1"/>
    <xf numFmtId="43" fontId="0" fillId="0" borderId="25" xfId="1" applyFont="1" applyFill="1" applyBorder="1"/>
    <xf numFmtId="169" fontId="0" fillId="0" borderId="18" xfId="2" applyNumberFormat="1" applyFont="1" applyFill="1" applyBorder="1"/>
    <xf numFmtId="169" fontId="0" fillId="2" borderId="18" xfId="2" applyNumberFormat="1" applyFont="1" applyFill="1" applyBorder="1"/>
    <xf numFmtId="44" fontId="8" fillId="0" borderId="26" xfId="2" applyFont="1" applyBorder="1"/>
    <xf numFmtId="39" fontId="0" fillId="0" borderId="0" xfId="0" applyNumberFormat="1"/>
    <xf numFmtId="39" fontId="0" fillId="0" borderId="16" xfId="0" applyNumberFormat="1" applyBorder="1"/>
    <xf numFmtId="39" fontId="0" fillId="0" borderId="17" xfId="0" applyNumberFormat="1" applyBorder="1"/>
    <xf numFmtId="39" fontId="0" fillId="0" borderId="18" xfId="0" applyNumberFormat="1" applyBorder="1"/>
    <xf numFmtId="44" fontId="0" fillId="3" borderId="15" xfId="2" applyFont="1" applyFill="1" applyBorder="1"/>
    <xf numFmtId="44" fontId="8" fillId="3" borderId="11" xfId="2" applyFont="1" applyFill="1" applyBorder="1"/>
    <xf numFmtId="0" fontId="3" fillId="0" borderId="0" xfId="0" applyFont="1" applyAlignment="1">
      <alignment horizontal="center"/>
    </xf>
    <xf numFmtId="0" fontId="1" fillId="0" borderId="0" xfId="0" applyFont="1" applyBorder="1" applyAlignment="1">
      <alignment horizontal="center"/>
    </xf>
    <xf numFmtId="0" fontId="5" fillId="0" borderId="5" xfId="0" applyFont="1" applyFill="1" applyBorder="1" applyAlignment="1">
      <alignment horizontal="center"/>
    </xf>
    <xf numFmtId="0" fontId="5" fillId="0" borderId="6" xfId="0" applyFont="1" applyFill="1" applyBorder="1" applyAlignment="1">
      <alignment horizontal="center"/>
    </xf>
    <xf numFmtId="0" fontId="0" fillId="0" borderId="0" xfId="0" applyAlignment="1"/>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0000FF"/>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83820</xdr:colOff>
      <xdr:row>109</xdr:row>
      <xdr:rowOff>106680</xdr:rowOff>
    </xdr:from>
    <xdr:to>
      <xdr:col>18</xdr:col>
      <xdr:colOff>541020</xdr:colOff>
      <xdr:row>109</xdr:row>
      <xdr:rowOff>129540</xdr:rowOff>
    </xdr:to>
    <xdr:cxnSp macro="">
      <xdr:nvCxnSpPr>
        <xdr:cNvPr id="2" name="Straight Arrow Connector 1"/>
        <xdr:cNvCxnSpPr/>
      </xdr:nvCxnSpPr>
      <xdr:spPr>
        <a:xfrm>
          <a:off x="13876020" y="28011120"/>
          <a:ext cx="1203960" cy="2286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731520</xdr:colOff>
      <xdr:row>108</xdr:row>
      <xdr:rowOff>68580</xdr:rowOff>
    </xdr:from>
    <xdr:to>
      <xdr:col>19</xdr:col>
      <xdr:colOff>38100</xdr:colOff>
      <xdr:row>120</xdr:row>
      <xdr:rowOff>137160</xdr:rowOff>
    </xdr:to>
    <xdr:cxnSp macro="">
      <xdr:nvCxnSpPr>
        <xdr:cNvPr id="3" name="Straight Arrow Connector 2"/>
        <xdr:cNvCxnSpPr/>
      </xdr:nvCxnSpPr>
      <xdr:spPr>
        <a:xfrm flipV="1">
          <a:off x="11536680" y="20078700"/>
          <a:ext cx="1341120" cy="2278380"/>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showGridLines="0" tabSelected="1" workbookViewId="0">
      <selection activeCell="D20" sqref="D20"/>
    </sheetView>
  </sheetViews>
  <sheetFormatPr defaultRowHeight="14.4" x14ac:dyDescent="0.3"/>
  <cols>
    <col min="1" max="1" width="21.88671875" customWidth="1"/>
    <col min="3" max="3" width="14.88671875" customWidth="1"/>
    <col min="4" max="4" width="15.44140625" bestFit="1" customWidth="1"/>
    <col min="5" max="5" width="18.21875" bestFit="1" customWidth="1"/>
  </cols>
  <sheetData>
    <row r="1" spans="1:5" ht="18" x14ac:dyDescent="0.35">
      <c r="A1" s="177" t="s">
        <v>208</v>
      </c>
      <c r="B1" s="177"/>
      <c r="C1" s="177"/>
      <c r="D1" s="177"/>
      <c r="E1" s="309"/>
    </row>
    <row r="5" spans="1:5" x14ac:dyDescent="0.3">
      <c r="A5" s="168" t="s">
        <v>188</v>
      </c>
      <c r="C5" s="170" t="s">
        <v>39</v>
      </c>
    </row>
    <row r="6" spans="1:5" x14ac:dyDescent="0.3">
      <c r="A6" t="s">
        <v>186</v>
      </c>
      <c r="C6" s="57">
        <f>'Total Solar Impact'!B24</f>
        <v>54260.953907897871</v>
      </c>
    </row>
    <row r="7" spans="1:5" x14ac:dyDescent="0.3">
      <c r="A7" t="s">
        <v>187</v>
      </c>
      <c r="C7" s="167">
        <f>'Total Solar Impact'!B19</f>
        <v>209254.36991877953</v>
      </c>
    </row>
    <row r="8" spans="1:5" x14ac:dyDescent="0.3">
      <c r="A8" s="23" t="s">
        <v>189</v>
      </c>
      <c r="C8" s="57">
        <f>'Total Solar Impact'!B13</f>
        <v>263515.3238266774</v>
      </c>
    </row>
    <row r="10" spans="1:5" x14ac:dyDescent="0.3">
      <c r="C10" s="171" t="s">
        <v>194</v>
      </c>
      <c r="D10" s="172"/>
    </row>
    <row r="11" spans="1:5" x14ac:dyDescent="0.3">
      <c r="C11" s="170" t="s">
        <v>195</v>
      </c>
      <c r="D11" s="170" t="s">
        <v>210</v>
      </c>
      <c r="E11" s="170" t="s">
        <v>285</v>
      </c>
    </row>
    <row r="12" spans="1:5" x14ac:dyDescent="0.3">
      <c r="A12" s="168" t="s">
        <v>196</v>
      </c>
    </row>
    <row r="13" spans="1:5" x14ac:dyDescent="0.3">
      <c r="A13" t="s">
        <v>209</v>
      </c>
      <c r="C13" s="178">
        <f>'Total Solar Impact'!I13</f>
        <v>9232478.7414267156</v>
      </c>
      <c r="D13" s="173">
        <f>C13/C6</f>
        <v>170.14958412079991</v>
      </c>
      <c r="E13" s="299">
        <f>D13/10</f>
        <v>17.014958412079991</v>
      </c>
    </row>
    <row r="14" spans="1:5" x14ac:dyDescent="0.3">
      <c r="A14" t="s">
        <v>187</v>
      </c>
      <c r="C14" s="178">
        <f>'Total Solar Impact'!M13</f>
        <v>33768921.821921691</v>
      </c>
      <c r="D14" s="173">
        <f>C14/C7</f>
        <v>161.37737928736607</v>
      </c>
      <c r="E14" s="299">
        <f t="shared" ref="E14:E16" si="0">D14/10</f>
        <v>16.137737928736605</v>
      </c>
    </row>
    <row r="15" spans="1:5" x14ac:dyDescent="0.3">
      <c r="A15" t="s">
        <v>211</v>
      </c>
      <c r="C15" s="179">
        <f>'Total Solar Impact'!G13+'Total Solar Impact'!K13</f>
        <v>10188566</v>
      </c>
      <c r="D15" s="174">
        <f>C15/C8</f>
        <v>38.664036125281854</v>
      </c>
      <c r="E15" s="300">
        <f t="shared" si="0"/>
        <v>3.8664036125281855</v>
      </c>
    </row>
    <row r="16" spans="1:5" x14ac:dyDescent="0.3">
      <c r="A16" s="23" t="s">
        <v>190</v>
      </c>
      <c r="C16" s="178">
        <f>SUM(C13:C15)</f>
        <v>53189966.563348405</v>
      </c>
      <c r="D16" s="173">
        <f>C16/C8</f>
        <v>201.84771720650741</v>
      </c>
      <c r="E16" s="299">
        <f t="shared" si="0"/>
        <v>20.18477172065074</v>
      </c>
    </row>
    <row r="17" spans="1:5" x14ac:dyDescent="0.3">
      <c r="C17" s="178"/>
      <c r="D17" s="173"/>
      <c r="E17" s="173"/>
    </row>
    <row r="18" spans="1:5" x14ac:dyDescent="0.3">
      <c r="A18" s="168" t="s">
        <v>213</v>
      </c>
      <c r="C18" s="178"/>
      <c r="D18" s="173"/>
      <c r="E18" s="173"/>
    </row>
    <row r="19" spans="1:5" x14ac:dyDescent="0.3">
      <c r="A19" t="s">
        <v>191</v>
      </c>
      <c r="C19" s="178">
        <f>'Total Solar Impact'!S13</f>
        <v>-11332733.185386309</v>
      </c>
      <c r="D19" s="173">
        <f>C19/C8</f>
        <v>-43.005974077015033</v>
      </c>
      <c r="E19" s="299">
        <f t="shared" ref="E19:E22" si="1">D19/10</f>
        <v>-4.3005974077015034</v>
      </c>
    </row>
    <row r="20" spans="1:5" x14ac:dyDescent="0.3">
      <c r="A20" t="s">
        <v>192</v>
      </c>
      <c r="C20" s="178">
        <f>'Total Solar Impact'!Q13</f>
        <v>-1524412.5</v>
      </c>
      <c r="D20" s="173">
        <f>C20/C8</f>
        <v>-5.7849102582081935</v>
      </c>
      <c r="E20" s="299">
        <f t="shared" si="1"/>
        <v>-0.57849102582081935</v>
      </c>
    </row>
    <row r="21" spans="1:5" x14ac:dyDescent="0.3">
      <c r="A21" t="s">
        <v>193</v>
      </c>
      <c r="C21" s="179">
        <f>'Total Solar Impact'!U13</f>
        <v>-7057304.4959999984</v>
      </c>
      <c r="D21" s="174">
        <f>C21/C8</f>
        <v>-26.781381794107038</v>
      </c>
      <c r="E21" s="300">
        <f t="shared" si="1"/>
        <v>-2.6781381794107038</v>
      </c>
    </row>
    <row r="22" spans="1:5" x14ac:dyDescent="0.3">
      <c r="A22" s="23" t="s">
        <v>212</v>
      </c>
      <c r="C22" s="180">
        <f>SUM(C19:C21)</f>
        <v>-19914450.181386307</v>
      </c>
      <c r="D22" s="175">
        <f>C22/C8</f>
        <v>-75.572266129330259</v>
      </c>
      <c r="E22" s="301">
        <f t="shared" si="1"/>
        <v>-7.5572266129330261</v>
      </c>
    </row>
    <row r="23" spans="1:5" x14ac:dyDescent="0.3">
      <c r="C23" s="178"/>
      <c r="D23" s="173"/>
      <c r="E23" s="173"/>
    </row>
    <row r="24" spans="1:5" ht="15" thickBot="1" x14ac:dyDescent="0.35">
      <c r="A24" s="23" t="s">
        <v>197</v>
      </c>
      <c r="C24" s="181">
        <f>C16+C22</f>
        <v>33275516.381962098</v>
      </c>
      <c r="D24" s="176">
        <f>C24/C8</f>
        <v>126.27545107717715</v>
      </c>
      <c r="E24" s="302">
        <f>D24/10</f>
        <v>12.627545107717715</v>
      </c>
    </row>
    <row r="25" spans="1:5" ht="15" thickTop="1" x14ac:dyDescent="0.3">
      <c r="C25" s="169"/>
    </row>
    <row r="28" spans="1:5" x14ac:dyDescent="0.3">
      <c r="C28">
        <f>'Peak Shaving'!B31</f>
        <v>-6503221.2959999982</v>
      </c>
      <c r="D28" s="173">
        <f>C28/C$8</f>
        <v>-24.678721531493853</v>
      </c>
      <c r="E28" s="173">
        <f>D28/10</f>
        <v>-2.4678721531493855</v>
      </c>
    </row>
    <row r="29" spans="1:5" x14ac:dyDescent="0.3">
      <c r="C29" s="178">
        <f>C21-C28</f>
        <v>-554083.20000000019</v>
      </c>
      <c r="D29" s="173">
        <f t="shared" ref="D29" si="2">C29/C$8</f>
        <v>-2.1026602626131856</v>
      </c>
      <c r="E29" s="173">
        <f>D29/10</f>
        <v>-0.21026602626131857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Z57"/>
  <sheetViews>
    <sheetView workbookViewId="0">
      <pane xSplit="6" ySplit="8" topLeftCell="L9" activePane="bottomRight" state="frozen"/>
      <selection pane="topRight" activeCell="G1" sqref="G1"/>
      <selection pane="bottomLeft" activeCell="A9" sqref="A9"/>
      <selection pane="bottomRight" activeCell="Q13" sqref="Q13"/>
    </sheetView>
  </sheetViews>
  <sheetFormatPr defaultRowHeight="14.4" x14ac:dyDescent="0.3"/>
  <cols>
    <col min="1" max="1" width="10.77734375" customWidth="1"/>
    <col min="2" max="2" width="10.109375" customWidth="1"/>
    <col min="5" max="5" width="10" bestFit="1" customWidth="1"/>
    <col min="6" max="6" width="11.6640625" customWidth="1"/>
    <col min="7" max="7" width="14.33203125" bestFit="1" customWidth="1"/>
    <col min="8" max="8" width="3.21875" customWidth="1"/>
    <col min="9" max="9" width="18" bestFit="1" customWidth="1"/>
    <col min="10" max="10" width="3.21875" customWidth="1"/>
    <col min="11" max="11" width="14.6640625" customWidth="1"/>
    <col min="12" max="12" width="3.21875" customWidth="1"/>
    <col min="13" max="13" width="14.77734375" bestFit="1" customWidth="1"/>
    <col min="14" max="14" width="3.21875" customWidth="1"/>
    <col min="15" max="15" width="13.44140625" customWidth="1"/>
    <col min="16" max="16" width="5.21875" customWidth="1"/>
    <col min="17" max="17" width="13" customWidth="1"/>
    <col min="18" max="18" width="4.88671875" customWidth="1"/>
    <col min="19" max="19" width="15.33203125" bestFit="1" customWidth="1"/>
    <col min="20" max="20" width="5.33203125" customWidth="1"/>
    <col min="21" max="21" width="16.109375" bestFit="1" customWidth="1"/>
    <col min="22" max="22" width="3.6640625" customWidth="1"/>
    <col min="23" max="23" width="12" bestFit="1" customWidth="1"/>
    <col min="24" max="24" width="3.109375" customWidth="1"/>
    <col min="25" max="25" width="19.33203125" customWidth="1"/>
  </cols>
  <sheetData>
    <row r="2" spans="1:25" ht="21" x14ac:dyDescent="0.4">
      <c r="A2" s="305" t="s">
        <v>14</v>
      </c>
      <c r="B2" s="305"/>
      <c r="C2" s="305"/>
      <c r="D2" s="305"/>
      <c r="E2" s="305"/>
      <c r="F2" s="305"/>
      <c r="G2" s="305"/>
      <c r="H2" s="305"/>
      <c r="I2" s="305"/>
      <c r="J2" s="305"/>
      <c r="K2" s="305"/>
      <c r="L2" s="305"/>
      <c r="M2" s="305"/>
      <c r="N2" s="305"/>
      <c r="O2" s="305"/>
      <c r="P2" s="305"/>
      <c r="Q2" s="305"/>
      <c r="R2" s="305"/>
      <c r="S2" s="305"/>
      <c r="T2" s="305"/>
      <c r="U2" s="305"/>
      <c r="V2" s="305"/>
      <c r="W2" s="305"/>
      <c r="X2" s="305"/>
      <c r="Y2" s="305"/>
    </row>
    <row r="7" spans="1:25" x14ac:dyDescent="0.3">
      <c r="G7" s="68" t="s">
        <v>178</v>
      </c>
      <c r="H7" s="4"/>
      <c r="I7" s="4"/>
      <c r="K7" s="22"/>
      <c r="Q7" s="26" t="s">
        <v>1</v>
      </c>
      <c r="R7" s="26"/>
      <c r="S7" s="26"/>
      <c r="Y7" s="23" t="s">
        <v>179</v>
      </c>
    </row>
    <row r="8" spans="1:25" ht="15" thickBot="1" x14ac:dyDescent="0.35">
      <c r="G8" s="4"/>
      <c r="H8" s="4"/>
      <c r="I8" s="4"/>
      <c r="J8" s="1"/>
      <c r="Q8" s="3"/>
      <c r="R8" s="3"/>
      <c r="S8" s="3"/>
    </row>
    <row r="9" spans="1:25" ht="15" thickBot="1" x14ac:dyDescent="0.35">
      <c r="F9" s="1"/>
      <c r="G9" s="1"/>
      <c r="H9" s="1"/>
      <c r="I9" s="1"/>
      <c r="J9" s="1"/>
      <c r="K9" s="1"/>
      <c r="L9" s="1"/>
      <c r="M9" s="1"/>
      <c r="N9" s="1"/>
      <c r="O9" s="1"/>
      <c r="Q9" s="83"/>
      <c r="R9" s="83"/>
      <c r="S9" s="187" t="s">
        <v>2</v>
      </c>
      <c r="T9" s="83"/>
      <c r="U9" s="187" t="s">
        <v>183</v>
      </c>
      <c r="V9" s="83"/>
      <c r="W9" s="83"/>
      <c r="X9" s="83"/>
      <c r="Y9" s="83"/>
    </row>
    <row r="10" spans="1:25" ht="15" thickBot="1" x14ac:dyDescent="0.35">
      <c r="A10" s="23" t="s">
        <v>236</v>
      </c>
      <c r="D10" s="4"/>
      <c r="E10" s="4"/>
      <c r="F10" s="1"/>
      <c r="G10" s="1"/>
      <c r="H10" s="1"/>
      <c r="I10" s="189" t="s">
        <v>214</v>
      </c>
      <c r="J10" s="1"/>
      <c r="K10" s="1"/>
      <c r="L10" s="1"/>
      <c r="M10" s="1"/>
      <c r="N10" s="1"/>
      <c r="O10" s="189" t="s">
        <v>0</v>
      </c>
      <c r="Q10" s="83"/>
      <c r="R10" s="83"/>
      <c r="S10" s="188" t="s">
        <v>3</v>
      </c>
      <c r="T10" s="83"/>
      <c r="U10" s="188" t="s">
        <v>184</v>
      </c>
      <c r="V10" s="83"/>
      <c r="W10" s="187" t="s">
        <v>0</v>
      </c>
      <c r="X10" s="83"/>
      <c r="Y10" s="200" t="s">
        <v>4</v>
      </c>
    </row>
    <row r="11" spans="1:25" ht="15" thickBot="1" x14ac:dyDescent="0.35">
      <c r="A11" s="20" t="s">
        <v>8</v>
      </c>
      <c r="B11" s="16"/>
      <c r="C11" s="17" t="s">
        <v>24</v>
      </c>
      <c r="D11" s="17" t="s">
        <v>25</v>
      </c>
      <c r="E11" s="17" t="s">
        <v>26</v>
      </c>
      <c r="F11" s="1"/>
      <c r="G11" s="196" t="s">
        <v>228</v>
      </c>
      <c r="H11" s="4"/>
      <c r="I11" s="197" t="s">
        <v>230</v>
      </c>
      <c r="J11" s="1"/>
      <c r="K11" s="196" t="s">
        <v>231</v>
      </c>
      <c r="L11" s="4"/>
      <c r="M11" s="196" t="s">
        <v>232</v>
      </c>
      <c r="N11" s="4"/>
      <c r="O11" s="197" t="s">
        <v>5</v>
      </c>
      <c r="P11" s="3"/>
      <c r="Q11" s="198" t="s">
        <v>277</v>
      </c>
      <c r="R11" s="122"/>
      <c r="S11" s="199" t="s">
        <v>278</v>
      </c>
      <c r="T11" s="122"/>
      <c r="U11" s="199" t="s">
        <v>279</v>
      </c>
      <c r="V11" s="122"/>
      <c r="W11" s="199" t="s">
        <v>6</v>
      </c>
      <c r="X11" s="83"/>
      <c r="Y11" s="201" t="s">
        <v>7</v>
      </c>
    </row>
    <row r="12" spans="1:25" x14ac:dyDescent="0.3">
      <c r="A12" s="14" t="s">
        <v>22</v>
      </c>
      <c r="B12" s="18">
        <f>+'Rate Case data'!I161</f>
        <v>219353.80918326287</v>
      </c>
      <c r="C12" s="19">
        <f>+B12-D12-E12</f>
        <v>175040.85355911142</v>
      </c>
      <c r="D12" s="124">
        <f>+'Rate Case data'!$I$158</f>
        <v>38194.303401808676</v>
      </c>
      <c r="E12" s="124">
        <f>+'Rate Case data'!$I$159</f>
        <v>6118.6522223427755</v>
      </c>
      <c r="F12" s="58">
        <f>SUM(C12:E12)</f>
        <v>219353.80918326287</v>
      </c>
      <c r="G12" s="5"/>
      <c r="H12" s="4"/>
      <c r="I12" s="5"/>
      <c r="J12" s="1"/>
      <c r="K12" s="5"/>
      <c r="L12" s="7"/>
      <c r="M12" s="5"/>
      <c r="N12" s="4"/>
      <c r="O12" s="5"/>
      <c r="P12" s="3"/>
      <c r="Q12" s="6"/>
      <c r="R12" s="3"/>
      <c r="S12" s="6"/>
      <c r="T12" s="3"/>
      <c r="U12" s="6"/>
      <c r="V12" s="3"/>
      <c r="W12" s="6"/>
      <c r="Y12" s="202"/>
    </row>
    <row r="13" spans="1:25" ht="15" thickBot="1" x14ac:dyDescent="0.35">
      <c r="A13" s="14" t="s">
        <v>23</v>
      </c>
      <c r="B13" s="18">
        <f>+'Rate Case data'!L161</f>
        <v>263515.3238266774</v>
      </c>
      <c r="C13" s="19">
        <f>+B13-D13-E13</f>
        <v>179698.65682031494</v>
      </c>
      <c r="D13" s="124">
        <f>+'Rate Case data'!$L$158</f>
        <v>61111.107824391889</v>
      </c>
      <c r="E13" s="124">
        <f>+'Rate Case data'!$L$159</f>
        <v>22705.55918197057</v>
      </c>
      <c r="F13" s="58">
        <f>SUM(C13:E13)</f>
        <v>263515.3238266774</v>
      </c>
      <c r="G13" s="190">
        <f>+'Rate Case data'!O148</f>
        <v>5861731</v>
      </c>
      <c r="H13" s="191"/>
      <c r="I13" s="190">
        <f>'Own Use Summary'!G20</f>
        <v>9232478.7414267156</v>
      </c>
      <c r="J13" s="192"/>
      <c r="K13" s="190">
        <v>4326835</v>
      </c>
      <c r="L13" s="191"/>
      <c r="M13" s="190">
        <f>'Rate Case data'!L148-G13</f>
        <v>33768921.821921691</v>
      </c>
      <c r="N13" s="191"/>
      <c r="O13" s="190">
        <f>G13+I13+K13+M13</f>
        <v>53189966.563348405</v>
      </c>
      <c r="P13" s="193"/>
      <c r="Q13" s="194">
        <f>-81302*25*0.75</f>
        <v>-1524412.5</v>
      </c>
      <c r="R13" s="193"/>
      <c r="S13" s="268">
        <f>'Energy Avoided Cost'!D28</f>
        <v>-11332733.185386309</v>
      </c>
      <c r="T13" s="193"/>
      <c r="U13" s="194">
        <f>+'Peak Shaving'!B32</f>
        <v>-7057304.4959999984</v>
      </c>
      <c r="V13" s="193"/>
      <c r="W13" s="194">
        <f>Q13+S13+U13</f>
        <v>-19914450.181386307</v>
      </c>
      <c r="X13" s="195"/>
      <c r="Y13" s="203">
        <f>O13+W13</f>
        <v>33275516.381962098</v>
      </c>
    </row>
    <row r="14" spans="1:25" x14ac:dyDescent="0.3">
      <c r="A14" s="125" t="s">
        <v>177</v>
      </c>
      <c r="B14" s="126">
        <f>+B13/B12</f>
        <v>1.2013254969578351</v>
      </c>
      <c r="C14" s="126">
        <f>+C13/C12</f>
        <v>1.0266098066051224</v>
      </c>
      <c r="D14" s="126">
        <f>+D13/D12</f>
        <v>1.6000058223734483</v>
      </c>
      <c r="E14" s="126">
        <f>+E13/E12</f>
        <v>3.7108759179120039</v>
      </c>
      <c r="F14" s="271" t="s">
        <v>41</v>
      </c>
      <c r="G14" s="272">
        <f>+G13/$B$13</f>
        <v>22.244364824322137</v>
      </c>
      <c r="H14" s="273"/>
      <c r="I14" s="272">
        <f>+I13/$B$13</f>
        <v>35.035832479705114</v>
      </c>
      <c r="J14" s="274"/>
      <c r="K14" s="272">
        <f>+K13/$B$13</f>
        <v>16.419671300959713</v>
      </c>
      <c r="L14" s="274"/>
      <c r="M14" s="275">
        <f>+M13+G13</f>
        <v>39630652.821921691</v>
      </c>
      <c r="N14" s="274"/>
      <c r="O14" s="272">
        <f>+O13/$B$13</f>
        <v>201.84771720650741</v>
      </c>
      <c r="P14" s="276"/>
      <c r="Q14" s="272">
        <f>+Q13/$B$13</f>
        <v>-5.7849102582081935</v>
      </c>
      <c r="R14" s="276"/>
      <c r="S14" s="272">
        <f>+S13/$B$13</f>
        <v>-43.005974077015033</v>
      </c>
      <c r="T14" s="276"/>
      <c r="U14" s="272">
        <f>+U13/$B$13</f>
        <v>-26.781381794107038</v>
      </c>
      <c r="V14" s="276"/>
      <c r="W14" s="272">
        <f>+W13/$B$13</f>
        <v>-75.572266129330259</v>
      </c>
      <c r="X14" s="276"/>
      <c r="Y14" s="272">
        <f>+Y13/$B$13</f>
        <v>126.27545107717715</v>
      </c>
    </row>
    <row r="15" spans="1:25" x14ac:dyDescent="0.3">
      <c r="B15" s="87"/>
      <c r="C15" s="87"/>
      <c r="D15" s="87"/>
      <c r="E15" s="87"/>
      <c r="F15" s="1"/>
      <c r="G15" s="65"/>
      <c r="H15" s="93"/>
      <c r="I15" s="65"/>
      <c r="J15" s="1"/>
      <c r="K15" s="65"/>
      <c r="L15" s="1"/>
      <c r="M15" s="91">
        <f>+M14/B19</f>
        <v>189.38984565676705</v>
      </c>
      <c r="N15" s="1"/>
      <c r="O15" s="65"/>
      <c r="Q15" s="65"/>
      <c r="S15" s="65"/>
      <c r="U15" s="65"/>
    </row>
    <row r="16" spans="1:25" x14ac:dyDescent="0.3">
      <c r="B16" s="87"/>
      <c r="C16" s="87"/>
      <c r="D16" s="87"/>
      <c r="E16" s="87"/>
      <c r="F16" s="1"/>
      <c r="G16" s="65"/>
      <c r="H16" s="93"/>
      <c r="I16" s="65"/>
      <c r="J16" s="1"/>
      <c r="K16" s="65"/>
      <c r="L16" s="1"/>
      <c r="M16" s="91"/>
      <c r="N16" s="1"/>
      <c r="O16" s="65"/>
      <c r="Q16" s="65"/>
      <c r="S16" s="65"/>
    </row>
    <row r="17" spans="1:21" ht="16.2" x14ac:dyDescent="0.45">
      <c r="A17" s="20" t="s">
        <v>27</v>
      </c>
      <c r="B17" s="16"/>
      <c r="C17" s="17" t="s">
        <v>24</v>
      </c>
      <c r="D17" s="17" t="s">
        <v>25</v>
      </c>
      <c r="E17" s="17" t="s">
        <v>26</v>
      </c>
      <c r="F17" s="1"/>
      <c r="G17" s="1"/>
      <c r="H17" s="1"/>
      <c r="I17" s="1"/>
      <c r="J17" s="1"/>
      <c r="K17" s="1"/>
      <c r="L17" s="1"/>
      <c r="M17" s="97"/>
      <c r="N17" s="1"/>
      <c r="O17" s="1"/>
    </row>
    <row r="18" spans="1:21" x14ac:dyDescent="0.3">
      <c r="A18" s="14" t="s">
        <v>22</v>
      </c>
      <c r="B18" s="18">
        <f>+'Rate Case data'!I155</f>
        <v>174555.92738916524</v>
      </c>
      <c r="C18" s="19">
        <f>+B18-D18-E18</f>
        <v>139359.96693355814</v>
      </c>
      <c r="D18" s="19">
        <f>+'Rate Case data'!$I$152</f>
        <v>30468.085233681624</v>
      </c>
      <c r="E18" s="19">
        <f>+'Rate Case data'!$I$153</f>
        <v>4727.8752219254757</v>
      </c>
      <c r="F18" s="58">
        <f>+C18+D18+E18</f>
        <v>174555.92738916524</v>
      </c>
      <c r="G18" s="1"/>
      <c r="H18" s="1"/>
      <c r="I18" s="1"/>
      <c r="J18" s="1"/>
      <c r="K18" s="1"/>
      <c r="L18" s="1"/>
      <c r="M18" s="96"/>
      <c r="N18" s="4"/>
      <c r="O18" s="1"/>
    </row>
    <row r="19" spans="1:21" x14ac:dyDescent="0.3">
      <c r="A19" s="14" t="s">
        <v>23</v>
      </c>
      <c r="B19" s="18">
        <f>+'Rate Case data'!L155</f>
        <v>209254.36991877953</v>
      </c>
      <c r="C19" s="19">
        <f>+B19-D19-E19</f>
        <v>142621.91239678217</v>
      </c>
      <c r="D19" s="19">
        <f>+'Rate Case data'!$L$152</f>
        <v>48546.211989878189</v>
      </c>
      <c r="E19" s="19">
        <f>+'Rate Case data'!$L$153</f>
        <v>18086.245532119188</v>
      </c>
      <c r="F19" s="58">
        <f>+C19+D19+E19</f>
        <v>209254.36991877953</v>
      </c>
      <c r="G19" s="1"/>
      <c r="H19" s="1"/>
      <c r="I19" s="1"/>
      <c r="J19" s="1"/>
      <c r="K19" s="1"/>
      <c r="L19" s="1"/>
      <c r="M19" s="95"/>
      <c r="N19" s="1"/>
      <c r="O19" s="1"/>
    </row>
    <row r="20" spans="1:21" x14ac:dyDescent="0.3">
      <c r="A20" s="125" t="s">
        <v>177</v>
      </c>
      <c r="B20" s="126">
        <f>+B19/B18</f>
        <v>1.1987812333193106</v>
      </c>
      <c r="C20" s="126">
        <f>+C19/C18</f>
        <v>1.0234066176607175</v>
      </c>
      <c r="D20" s="126">
        <f>+D19/D18</f>
        <v>1.5933463365860516</v>
      </c>
      <c r="E20" s="126">
        <f>+E19/E18</f>
        <v>3.8254489983670465</v>
      </c>
      <c r="F20" s="1"/>
      <c r="G20" s="1"/>
      <c r="H20" s="1"/>
      <c r="I20" s="1"/>
      <c r="J20" s="1"/>
      <c r="K20" s="1"/>
      <c r="L20" s="1"/>
      <c r="M20" s="1"/>
      <c r="N20" s="1"/>
      <c r="O20" s="1"/>
    </row>
    <row r="22" spans="1:21" x14ac:dyDescent="0.3">
      <c r="A22" s="20" t="s">
        <v>280</v>
      </c>
      <c r="B22" s="16"/>
      <c r="C22" s="17" t="s">
        <v>24</v>
      </c>
      <c r="D22" s="17" t="s">
        <v>25</v>
      </c>
      <c r="E22" s="17" t="s">
        <v>26</v>
      </c>
    </row>
    <row r="23" spans="1:21" x14ac:dyDescent="0.3">
      <c r="A23" s="14" t="s">
        <v>22</v>
      </c>
      <c r="B23" s="18">
        <f t="shared" ref="B23:E24" si="0">+B12-B18</f>
        <v>44797.88179409763</v>
      </c>
      <c r="C23" s="18">
        <f t="shared" si="0"/>
        <v>35680.886625553278</v>
      </c>
      <c r="D23" s="18">
        <f t="shared" si="0"/>
        <v>7726.2181681270522</v>
      </c>
      <c r="E23" s="18">
        <f t="shared" si="0"/>
        <v>1390.7770004172999</v>
      </c>
      <c r="F23" s="58">
        <f>+C23+D23+E23</f>
        <v>44797.88179409763</v>
      </c>
      <c r="G23" s="57"/>
    </row>
    <row r="24" spans="1:21" x14ac:dyDescent="0.3">
      <c r="A24" s="14" t="s">
        <v>23</v>
      </c>
      <c r="B24" s="18">
        <f t="shared" si="0"/>
        <v>54260.953907897871</v>
      </c>
      <c r="C24" s="18">
        <f t="shared" si="0"/>
        <v>37076.744423532771</v>
      </c>
      <c r="D24" s="18">
        <f t="shared" si="0"/>
        <v>12564.8958345137</v>
      </c>
      <c r="E24" s="18">
        <f t="shared" si="0"/>
        <v>4619.3136498513813</v>
      </c>
      <c r="F24" s="58">
        <f>+C24+D24+E24</f>
        <v>54260.953907897856</v>
      </c>
      <c r="G24" s="57"/>
    </row>
    <row r="25" spans="1:21" x14ac:dyDescent="0.3">
      <c r="A25" s="125" t="s">
        <v>177</v>
      </c>
      <c r="B25" s="126">
        <f>+B24/B23</f>
        <v>1.2112392759393158</v>
      </c>
      <c r="C25" s="126">
        <f>+C24/C23</f>
        <v>1.0391206029331075</v>
      </c>
      <c r="D25" s="126">
        <f>+D24/D23</f>
        <v>1.6262672838242689</v>
      </c>
      <c r="E25" s="126">
        <f>+E24/E23</f>
        <v>3.321390595663694</v>
      </c>
    </row>
    <row r="28" spans="1:21" x14ac:dyDescent="0.3">
      <c r="A28" s="23" t="s">
        <v>235</v>
      </c>
    </row>
    <row r="29" spans="1:21" x14ac:dyDescent="0.3">
      <c r="A29" s="23" t="s">
        <v>275</v>
      </c>
      <c r="S29" s="279"/>
      <c r="U29" s="64"/>
    </row>
    <row r="30" spans="1:21" x14ac:dyDescent="0.3">
      <c r="A30" s="23" t="s">
        <v>233</v>
      </c>
      <c r="S30" s="101"/>
      <c r="U30" s="65"/>
    </row>
    <row r="31" spans="1:21" x14ac:dyDescent="0.3">
      <c r="A31" s="23" t="s">
        <v>234</v>
      </c>
    </row>
    <row r="32" spans="1:21" x14ac:dyDescent="0.3">
      <c r="A32" s="23" t="s">
        <v>276</v>
      </c>
      <c r="U32" s="65"/>
    </row>
    <row r="33" spans="1:26" x14ac:dyDescent="0.3">
      <c r="A33" s="23" t="s">
        <v>283</v>
      </c>
      <c r="U33" s="65"/>
    </row>
    <row r="34" spans="1:26" x14ac:dyDescent="0.3">
      <c r="A34" s="23" t="s">
        <v>282</v>
      </c>
      <c r="U34" s="65"/>
    </row>
    <row r="35" spans="1:26" x14ac:dyDescent="0.3">
      <c r="A35" s="23" t="s">
        <v>281</v>
      </c>
      <c r="U35" s="65"/>
    </row>
    <row r="36" spans="1:26" x14ac:dyDescent="0.3">
      <c r="A36" s="23"/>
      <c r="U36" s="65"/>
    </row>
    <row r="37" spans="1:26" x14ac:dyDescent="0.3">
      <c r="U37" s="65"/>
    </row>
    <row r="38" spans="1:26" x14ac:dyDescent="0.3">
      <c r="U38" s="65"/>
    </row>
    <row r="39" spans="1:26" ht="15" customHeight="1" x14ac:dyDescent="0.3">
      <c r="A39" t="s">
        <v>15</v>
      </c>
      <c r="U39" s="65"/>
    </row>
    <row r="40" spans="1:26" x14ac:dyDescent="0.3">
      <c r="A40" t="s">
        <v>16</v>
      </c>
      <c r="U40" s="65"/>
    </row>
    <row r="41" spans="1:26" ht="15" thickBot="1" x14ac:dyDescent="0.35">
      <c r="A41" t="s">
        <v>185</v>
      </c>
      <c r="R41" s="83" t="s">
        <v>151</v>
      </c>
      <c r="S41" s="83"/>
      <c r="T41" s="83" t="s">
        <v>152</v>
      </c>
      <c r="U41" s="120"/>
      <c r="V41" s="83" t="s">
        <v>153</v>
      </c>
    </row>
    <row r="42" spans="1:26" x14ac:dyDescent="0.3">
      <c r="A42" s="132" t="s">
        <v>139</v>
      </c>
      <c r="B42" s="133"/>
      <c r="C42" s="134"/>
      <c r="D42" s="134"/>
      <c r="E42" s="134"/>
      <c r="F42" s="134"/>
      <c r="G42" s="134"/>
      <c r="H42" s="134"/>
      <c r="I42" s="134"/>
      <c r="J42" s="134"/>
      <c r="K42" s="134"/>
      <c r="L42" s="134"/>
      <c r="M42" s="134"/>
      <c r="N42" s="134"/>
      <c r="O42" s="134"/>
      <c r="P42" s="134"/>
      <c r="Q42" s="135"/>
      <c r="R42" s="136">
        <v>48675</v>
      </c>
      <c r="S42" s="134" t="s">
        <v>39</v>
      </c>
      <c r="T42" s="137">
        <f>+B13</f>
        <v>263515.3238266774</v>
      </c>
      <c r="U42" s="134" t="s">
        <v>57</v>
      </c>
      <c r="V42" s="138">
        <f>+T42</f>
        <v>263515.3238266774</v>
      </c>
      <c r="W42" s="134" t="s">
        <v>57</v>
      </c>
      <c r="X42" s="139">
        <v>225</v>
      </c>
      <c r="Y42" s="140" t="s">
        <v>140</v>
      </c>
      <c r="Z42" s="135"/>
    </row>
    <row r="43" spans="1:26" x14ac:dyDescent="0.3">
      <c r="A43" s="141"/>
      <c r="B43" s="142"/>
      <c r="C43" s="123"/>
      <c r="D43" s="123"/>
      <c r="E43" s="123"/>
      <c r="F43" s="123"/>
      <c r="G43" s="123"/>
      <c r="H43" s="123"/>
      <c r="I43" s="123"/>
      <c r="J43" s="123"/>
      <c r="K43" s="123"/>
      <c r="L43" s="123"/>
      <c r="M43" s="123"/>
      <c r="N43" s="123"/>
      <c r="O43" s="123"/>
      <c r="P43" s="123"/>
      <c r="Q43" s="143"/>
      <c r="R43" s="144">
        <v>30</v>
      </c>
      <c r="S43" s="145"/>
      <c r="T43" s="146">
        <v>40</v>
      </c>
      <c r="U43" s="145"/>
      <c r="V43" s="146">
        <v>45</v>
      </c>
      <c r="W43" s="123"/>
      <c r="X43" s="147">
        <v>0.5</v>
      </c>
      <c r="Y43" s="148" t="s">
        <v>141</v>
      </c>
      <c r="Z43" s="143"/>
    </row>
    <row r="44" spans="1:26" x14ac:dyDescent="0.3">
      <c r="A44" s="149" t="s">
        <v>170</v>
      </c>
      <c r="B44" s="142"/>
      <c r="C44" s="123"/>
      <c r="D44" s="123"/>
      <c r="E44" s="123"/>
      <c r="F44" s="123"/>
      <c r="G44" s="123"/>
      <c r="H44" s="123"/>
      <c r="I44" s="123"/>
      <c r="J44" s="123"/>
      <c r="K44" s="123"/>
      <c r="L44" s="123"/>
      <c r="M44" s="123"/>
      <c r="N44" s="123"/>
      <c r="O44" s="123"/>
      <c r="P44" s="123"/>
      <c r="Q44" s="143"/>
      <c r="R44" s="149"/>
      <c r="S44" s="123"/>
      <c r="T44" s="150">
        <v>-0.1</v>
      </c>
      <c r="U44" s="123"/>
      <c r="V44" s="151">
        <v>0</v>
      </c>
      <c r="W44" s="123"/>
      <c r="X44" s="147">
        <v>0.6</v>
      </c>
      <c r="Y44" s="148" t="s">
        <v>142</v>
      </c>
      <c r="Z44" s="143"/>
    </row>
    <row r="45" spans="1:26" x14ac:dyDescent="0.3">
      <c r="A45" s="149" t="s">
        <v>171</v>
      </c>
      <c r="B45" s="142"/>
      <c r="C45" s="123"/>
      <c r="D45" s="123"/>
      <c r="E45" s="123"/>
      <c r="F45" s="123"/>
      <c r="G45" s="123"/>
      <c r="H45" s="123"/>
      <c r="I45" s="123"/>
      <c r="J45" s="123"/>
      <c r="K45" s="123"/>
      <c r="L45" s="123"/>
      <c r="M45" s="123"/>
      <c r="N45" s="123"/>
      <c r="O45" s="123"/>
      <c r="P45" s="123"/>
      <c r="Q45" s="143"/>
      <c r="R45" s="149"/>
      <c r="S45" s="123"/>
      <c r="T45" s="150"/>
      <c r="U45" s="123"/>
      <c r="V45" s="151"/>
      <c r="W45" s="123"/>
      <c r="X45" s="152">
        <v>10</v>
      </c>
      <c r="Y45" s="148" t="s">
        <v>143</v>
      </c>
      <c r="Z45" s="143"/>
    </row>
    <row r="46" spans="1:26" x14ac:dyDescent="0.3">
      <c r="A46" s="149" t="s">
        <v>172</v>
      </c>
      <c r="B46" s="123"/>
      <c r="C46" s="123"/>
      <c r="D46" s="123"/>
      <c r="E46" s="123"/>
      <c r="F46" s="123"/>
      <c r="G46" s="123"/>
      <c r="H46" s="123"/>
      <c r="I46" s="123"/>
      <c r="J46" s="123"/>
      <c r="K46" s="123"/>
      <c r="L46" s="123"/>
      <c r="M46" s="123"/>
      <c r="N46" s="123"/>
      <c r="O46" s="123"/>
      <c r="P46" s="123"/>
      <c r="Q46" s="143"/>
      <c r="R46" s="153">
        <f>-R42*R43</f>
        <v>-1460250</v>
      </c>
      <c r="S46" s="123"/>
      <c r="T46" s="154">
        <f>-T42*T43*(1+T44)</f>
        <v>-9486551.6577603873</v>
      </c>
      <c r="U46" s="123"/>
      <c r="V46" s="154">
        <f>-V42*V43*(1+V44)</f>
        <v>-11858189.572200483</v>
      </c>
      <c r="W46" s="123"/>
      <c r="X46" s="145">
        <v>4</v>
      </c>
      <c r="Y46" s="148" t="s">
        <v>144</v>
      </c>
      <c r="Z46" s="155"/>
    </row>
    <row r="47" spans="1:26" x14ac:dyDescent="0.3">
      <c r="A47" s="149" t="s">
        <v>173</v>
      </c>
      <c r="B47" s="123"/>
      <c r="C47" s="123"/>
      <c r="D47" s="123"/>
      <c r="E47" s="123"/>
      <c r="F47" s="123"/>
      <c r="G47" s="123"/>
      <c r="H47" s="123"/>
      <c r="I47" s="123"/>
      <c r="J47" s="123"/>
      <c r="K47" s="123"/>
      <c r="L47" s="123"/>
      <c r="M47" s="123"/>
      <c r="N47" s="123"/>
      <c r="O47" s="123"/>
      <c r="P47" s="123"/>
      <c r="Q47" s="143"/>
      <c r="R47" s="156" t="s">
        <v>145</v>
      </c>
      <c r="S47" s="123"/>
      <c r="T47" s="123"/>
      <c r="U47" s="123"/>
      <c r="V47" s="157" t="s">
        <v>145</v>
      </c>
      <c r="W47" s="123"/>
      <c r="X47" s="123"/>
      <c r="Y47" s="123"/>
      <c r="Z47" s="143"/>
    </row>
    <row r="48" spans="1:26" x14ac:dyDescent="0.3">
      <c r="A48" s="149" t="s">
        <v>174</v>
      </c>
      <c r="B48" s="123"/>
      <c r="C48" s="123"/>
      <c r="D48" s="123"/>
      <c r="E48" s="123"/>
      <c r="F48" s="123"/>
      <c r="G48" s="123"/>
      <c r="H48" s="123"/>
      <c r="I48" s="123"/>
      <c r="J48" s="123"/>
      <c r="K48" s="123"/>
      <c r="L48" s="123"/>
      <c r="M48" s="123"/>
      <c r="N48" s="123"/>
      <c r="O48" s="123"/>
      <c r="P48" s="123"/>
      <c r="Q48" s="143"/>
      <c r="R48" s="158">
        <f>-(-0.5+(0.5/2))</f>
        <v>0.25</v>
      </c>
      <c r="S48" s="123" t="s">
        <v>146</v>
      </c>
      <c r="T48" s="127"/>
      <c r="U48" s="123"/>
      <c r="V48" s="159">
        <f>(90-175)*5/12+(145-175)*7/12</f>
        <v>-52.916666666666664</v>
      </c>
      <c r="W48" s="123" t="s">
        <v>147</v>
      </c>
      <c r="X48" s="123"/>
      <c r="Y48" s="123"/>
      <c r="Z48" s="143"/>
    </row>
    <row r="49" spans="1:26" x14ac:dyDescent="0.3">
      <c r="A49" s="149" t="s">
        <v>175</v>
      </c>
      <c r="B49" s="123"/>
      <c r="C49" s="123"/>
      <c r="D49" s="123"/>
      <c r="E49" s="123"/>
      <c r="F49" s="123"/>
      <c r="G49" s="123"/>
      <c r="H49" s="123"/>
      <c r="I49" s="123"/>
      <c r="J49" s="123"/>
      <c r="K49" s="123"/>
      <c r="L49" s="123"/>
      <c r="M49" s="123"/>
      <c r="N49" s="123"/>
      <c r="O49" s="123"/>
      <c r="P49" s="123"/>
      <c r="Q49" s="143"/>
      <c r="R49" s="149"/>
      <c r="S49" s="123" t="s">
        <v>148</v>
      </c>
      <c r="T49" s="123"/>
      <c r="U49" s="123"/>
      <c r="V49" s="160">
        <f>-V48/X42</f>
        <v>0.23518518518518516</v>
      </c>
      <c r="W49" s="123" t="s">
        <v>149</v>
      </c>
      <c r="X49" s="123"/>
      <c r="Y49" s="123"/>
      <c r="Z49" s="143"/>
    </row>
    <row r="50" spans="1:26" ht="15" thickBot="1" x14ac:dyDescent="0.35">
      <c r="A50" s="161" t="s">
        <v>176</v>
      </c>
      <c r="B50" s="162"/>
      <c r="C50" s="162"/>
      <c r="D50" s="162"/>
      <c r="E50" s="162"/>
      <c r="F50" s="162"/>
      <c r="G50" s="162"/>
      <c r="H50" s="162"/>
      <c r="I50" s="162"/>
      <c r="J50" s="162"/>
      <c r="K50" s="162"/>
      <c r="L50" s="162"/>
      <c r="M50" s="162"/>
      <c r="N50" s="162"/>
      <c r="O50" s="162"/>
      <c r="P50" s="162"/>
      <c r="Q50" s="163"/>
      <c r="R50" s="164">
        <f>1-R48</f>
        <v>0.75</v>
      </c>
      <c r="S50" s="162" t="s">
        <v>150</v>
      </c>
      <c r="T50" s="162"/>
      <c r="U50" s="162"/>
      <c r="V50" s="165">
        <f>1-V49</f>
        <v>0.76481481481481484</v>
      </c>
      <c r="W50" s="162" t="s">
        <v>150</v>
      </c>
      <c r="X50" s="162"/>
      <c r="Y50" s="162"/>
      <c r="Z50" s="163"/>
    </row>
    <row r="51" spans="1:26" x14ac:dyDescent="0.3">
      <c r="R51" s="22"/>
      <c r="S51" s="66"/>
      <c r="T51" s="22"/>
      <c r="U51" s="66"/>
      <c r="V51" s="22"/>
      <c r="W51" s="22"/>
      <c r="X51" s="22"/>
    </row>
    <row r="52" spans="1:26" x14ac:dyDescent="0.3">
      <c r="S52" s="98"/>
      <c r="U52" s="98"/>
    </row>
    <row r="53" spans="1:26" x14ac:dyDescent="0.3">
      <c r="S53" s="128"/>
      <c r="T53" s="306"/>
      <c r="U53" s="306"/>
      <c r="V53" s="306"/>
      <c r="W53" s="1"/>
    </row>
    <row r="54" spans="1:26" x14ac:dyDescent="0.3">
      <c r="S54" s="128"/>
      <c r="T54" s="129"/>
      <c r="U54" s="130"/>
      <c r="V54" s="131"/>
      <c r="W54" s="1"/>
    </row>
    <row r="55" spans="1:26" x14ac:dyDescent="0.3">
      <c r="S55" s="128"/>
      <c r="T55" s="129"/>
      <c r="U55" s="100"/>
      <c r="V55" s="131"/>
      <c r="W55" s="1"/>
    </row>
    <row r="56" spans="1:26" x14ac:dyDescent="0.3">
      <c r="S56" s="128"/>
      <c r="T56" s="129"/>
      <c r="U56" s="100"/>
      <c r="V56" s="131"/>
      <c r="W56" s="1"/>
    </row>
    <row r="57" spans="1:26" x14ac:dyDescent="0.3">
      <c r="S57" s="128"/>
      <c r="T57" s="99"/>
      <c r="U57" s="128"/>
      <c r="V57" s="1"/>
      <c r="W57" s="1"/>
    </row>
  </sheetData>
  <mergeCells count="2">
    <mergeCell ref="A2:Y2"/>
    <mergeCell ref="T53:V53"/>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23"/>
  <sheetViews>
    <sheetView workbookViewId="0"/>
  </sheetViews>
  <sheetFormatPr defaultRowHeight="14.4" x14ac:dyDescent="0.3"/>
  <cols>
    <col min="1" max="1" width="49.21875" customWidth="1"/>
    <col min="2" max="2" width="11.33203125" customWidth="1"/>
    <col min="3" max="3" width="9" bestFit="1" customWidth="1"/>
    <col min="4" max="4" width="10.44140625" customWidth="1"/>
    <col min="7" max="7" width="10.88671875" customWidth="1"/>
    <col min="8" max="8" width="2.77734375" customWidth="1"/>
    <col min="9" max="9" width="47.77734375" customWidth="1"/>
    <col min="18" max="18" width="10.77734375" customWidth="1"/>
    <col min="19" max="19" width="10" bestFit="1" customWidth="1"/>
    <col min="20" max="20" width="9" bestFit="1" customWidth="1"/>
    <col min="21" max="21" width="9.109375" bestFit="1" customWidth="1"/>
    <col min="24" max="24" width="10" bestFit="1" customWidth="1"/>
  </cols>
  <sheetData>
    <row r="2" spans="1:24" ht="15" thickBot="1" x14ac:dyDescent="0.35">
      <c r="A2" s="26" t="s">
        <v>217</v>
      </c>
      <c r="B2" s="3"/>
      <c r="C2" s="3"/>
      <c r="D2" s="3"/>
      <c r="E2" s="3"/>
      <c r="F2" s="3"/>
      <c r="G2" s="3"/>
    </row>
    <row r="3" spans="1:24" ht="15" thickBot="1" x14ac:dyDescent="0.35">
      <c r="A3" s="9"/>
      <c r="B3" s="307" t="s">
        <v>218</v>
      </c>
      <c r="C3" s="307"/>
      <c r="D3" s="307"/>
      <c r="E3" s="307"/>
      <c r="F3" s="307"/>
      <c r="G3" s="308"/>
    </row>
    <row r="4" spans="1:24" x14ac:dyDescent="0.3">
      <c r="A4" s="10" t="s">
        <v>17</v>
      </c>
      <c r="B4" s="11" t="s">
        <v>9</v>
      </c>
      <c r="C4" s="11" t="s">
        <v>10</v>
      </c>
      <c r="D4" s="11" t="s">
        <v>11</v>
      </c>
      <c r="E4" s="11" t="s">
        <v>12</v>
      </c>
      <c r="F4" s="11" t="s">
        <v>13</v>
      </c>
      <c r="G4" s="11" t="s">
        <v>0</v>
      </c>
    </row>
    <row r="5" spans="1:24" x14ac:dyDescent="0.3">
      <c r="A5" s="13">
        <v>2020</v>
      </c>
      <c r="B5" s="166">
        <v>53312.209210948953</v>
      </c>
      <c r="C5" s="166">
        <v>4033.6722518313036</v>
      </c>
      <c r="D5" s="166">
        <v>-3376.841332808126</v>
      </c>
      <c r="E5" s="12"/>
      <c r="F5" s="12"/>
      <c r="G5" s="12">
        <f>SUM(B5:F5)</f>
        <v>53969.040129972127</v>
      </c>
    </row>
    <row r="6" spans="1:24" x14ac:dyDescent="0.3">
      <c r="A6" s="23" t="s">
        <v>216</v>
      </c>
      <c r="G6" s="57"/>
    </row>
    <row r="7" spans="1:24" x14ac:dyDescent="0.3">
      <c r="A7" s="23"/>
      <c r="G7" s="57"/>
      <c r="R7" s="13"/>
      <c r="S7" s="12"/>
      <c r="T7" s="12"/>
      <c r="U7" s="12"/>
      <c r="V7" s="12"/>
      <c r="W7" s="12"/>
      <c r="X7" s="12"/>
    </row>
    <row r="8" spans="1:24" ht="15" thickBot="1" x14ac:dyDescent="0.35">
      <c r="A8" s="168" t="s">
        <v>220</v>
      </c>
      <c r="R8" s="13"/>
      <c r="S8" s="12"/>
      <c r="T8" s="12"/>
      <c r="U8" s="12"/>
      <c r="V8" s="12"/>
      <c r="W8" s="12"/>
      <c r="X8" s="12"/>
    </row>
    <row r="9" spans="1:24" x14ac:dyDescent="0.3">
      <c r="A9" s="102"/>
      <c r="B9" s="205" t="s">
        <v>9</v>
      </c>
      <c r="C9" s="205" t="s">
        <v>10</v>
      </c>
      <c r="D9" s="205" t="s">
        <v>11</v>
      </c>
      <c r="E9" s="205" t="s">
        <v>12</v>
      </c>
      <c r="F9" s="205" t="s">
        <v>13</v>
      </c>
      <c r="G9" s="206" t="s">
        <v>0</v>
      </c>
      <c r="R9" s="13"/>
      <c r="S9" s="12"/>
      <c r="T9" s="12"/>
      <c r="U9" s="12"/>
      <c r="V9" s="12"/>
      <c r="W9" s="12"/>
      <c r="X9" s="12"/>
    </row>
    <row r="10" spans="1:24" x14ac:dyDescent="0.3">
      <c r="A10" s="105" t="s">
        <v>18</v>
      </c>
      <c r="B10" s="207">
        <v>0.18944590949923976</v>
      </c>
      <c r="C10" s="207">
        <v>0.16129835487949037</v>
      </c>
      <c r="D10" s="207">
        <v>0.116182543678312</v>
      </c>
      <c r="E10" s="207">
        <v>9.3169501091738938E-2</v>
      </c>
      <c r="F10" s="207">
        <v>0.67529782617303891</v>
      </c>
      <c r="G10" s="208">
        <v>0.15671969298931379</v>
      </c>
      <c r="R10" s="13"/>
      <c r="S10" s="12"/>
      <c r="T10" s="12"/>
      <c r="U10" s="12"/>
      <c r="V10" s="12"/>
      <c r="W10" s="12"/>
      <c r="X10" s="12"/>
    </row>
    <row r="11" spans="1:24" x14ac:dyDescent="0.3">
      <c r="A11" s="105" t="s">
        <v>19</v>
      </c>
      <c r="B11" s="207">
        <v>0.19459883823761906</v>
      </c>
      <c r="C11" s="207">
        <v>0.1656856701322125</v>
      </c>
      <c r="D11" s="207">
        <v>0.11934270886636207</v>
      </c>
      <c r="E11" s="207">
        <v>9.3169501091738938E-2</v>
      </c>
      <c r="F11" s="207">
        <v>0.69366592704494545</v>
      </c>
      <c r="G11" s="208">
        <v>0.16073433141136845</v>
      </c>
      <c r="R11" s="13"/>
      <c r="S11" s="12"/>
      <c r="T11" s="12"/>
      <c r="U11" s="12"/>
      <c r="V11" s="12"/>
      <c r="W11" s="12"/>
      <c r="X11" s="12"/>
    </row>
    <row r="12" spans="1:24" x14ac:dyDescent="0.3">
      <c r="A12" s="105" t="s">
        <v>20</v>
      </c>
      <c r="B12" s="209">
        <v>0.16446</v>
      </c>
      <c r="C12" s="209">
        <v>0.15168480036802431</v>
      </c>
      <c r="D12" s="209">
        <v>0.11595679311739933</v>
      </c>
      <c r="E12" s="1"/>
      <c r="F12" s="1"/>
      <c r="G12" s="107"/>
    </row>
    <row r="13" spans="1:24" x14ac:dyDescent="0.3">
      <c r="A13" s="105" t="s">
        <v>21</v>
      </c>
      <c r="B13" s="210">
        <f>B12*(1+$B$14)</f>
        <v>0.16893331199999997</v>
      </c>
      <c r="C13" s="210">
        <f>C12*(1+$B$14)</f>
        <v>0.15581062693803455</v>
      </c>
      <c r="D13" s="210">
        <f>D12*(1+$B$14)</f>
        <v>0.11911081789019258</v>
      </c>
      <c r="E13" s="1"/>
      <c r="F13" s="1"/>
      <c r="G13" s="107"/>
    </row>
    <row r="14" spans="1:24" ht="15" thickBot="1" x14ac:dyDescent="0.35">
      <c r="A14" s="211" t="s">
        <v>221</v>
      </c>
      <c r="B14" s="212">
        <v>2.7199999999999998E-2</v>
      </c>
      <c r="C14" s="213" t="s">
        <v>169</v>
      </c>
      <c r="D14" s="109"/>
      <c r="E14" s="109"/>
      <c r="F14" s="109"/>
      <c r="G14" s="214"/>
    </row>
    <row r="15" spans="1:24" s="3" customFormat="1" x14ac:dyDescent="0.3">
      <c r="A15" s="13"/>
      <c r="B15" s="12"/>
      <c r="C15" s="12"/>
      <c r="D15" s="12"/>
      <c r="E15" s="12"/>
      <c r="F15" s="12"/>
      <c r="G15" s="12"/>
      <c r="I15"/>
      <c r="J15"/>
      <c r="K15"/>
      <c r="L15"/>
      <c r="M15"/>
      <c r="N15"/>
      <c r="O15"/>
    </row>
    <row r="16" spans="1:24" x14ac:dyDescent="0.3">
      <c r="A16" s="13"/>
      <c r="B16" s="12"/>
      <c r="C16" s="12"/>
      <c r="D16" s="12"/>
      <c r="E16" s="12"/>
      <c r="F16" s="12"/>
      <c r="G16" s="12"/>
    </row>
    <row r="17" spans="1:8" ht="15" thickBot="1" x14ac:dyDescent="0.35">
      <c r="A17" s="8" t="s">
        <v>215</v>
      </c>
      <c r="B17" s="8"/>
      <c r="C17" s="8"/>
    </row>
    <row r="18" spans="1:8" ht="15" thickBot="1" x14ac:dyDescent="0.35">
      <c r="A18" s="9"/>
      <c r="B18" s="307" t="s">
        <v>219</v>
      </c>
      <c r="C18" s="307"/>
      <c r="D18" s="307"/>
      <c r="E18" s="307"/>
      <c r="F18" s="307"/>
      <c r="G18" s="308"/>
    </row>
    <row r="19" spans="1:8" x14ac:dyDescent="0.3">
      <c r="A19" s="10" t="s">
        <v>17</v>
      </c>
      <c r="B19" s="11" t="s">
        <v>9</v>
      </c>
      <c r="C19" s="11" t="s">
        <v>10</v>
      </c>
      <c r="D19" s="11" t="s">
        <v>11</v>
      </c>
      <c r="E19" s="11" t="s">
        <v>12</v>
      </c>
      <c r="F19" s="11" t="s">
        <v>13</v>
      </c>
      <c r="G19" s="11" t="s">
        <v>0</v>
      </c>
    </row>
    <row r="20" spans="1:8" x14ac:dyDescent="0.3">
      <c r="A20" s="15">
        <v>2020</v>
      </c>
      <c r="B20" s="204">
        <f>B5*B$13*1000</f>
        <v>9006208.0720425118</v>
      </c>
      <c r="C20" s="204">
        <f>C5*C$13*1000</f>
        <v>628489.00242038898</v>
      </c>
      <c r="D20" s="204">
        <f>D5*D$13*1000</f>
        <v>-402218.3330361839</v>
      </c>
      <c r="E20" s="204"/>
      <c r="F20" s="204"/>
      <c r="G20" s="204">
        <f>SUM(B20:F20)</f>
        <v>9232478.7414267156</v>
      </c>
      <c r="H20" s="23" t="s">
        <v>229</v>
      </c>
    </row>
    <row r="23" spans="1:8" x14ac:dyDescent="0.3">
      <c r="A23" s="3"/>
      <c r="B23" s="3"/>
      <c r="C23" s="3"/>
      <c r="D23" s="3"/>
      <c r="E23" s="3"/>
      <c r="F23" s="3"/>
      <c r="G23" s="3"/>
    </row>
  </sheetData>
  <mergeCells count="2">
    <mergeCell ref="B3:G3"/>
    <mergeCell ref="B18:G1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D23" sqref="D23"/>
    </sheetView>
  </sheetViews>
  <sheetFormatPr defaultRowHeight="14.4" x14ac:dyDescent="0.3"/>
  <cols>
    <col min="1" max="1" width="23.44140625" customWidth="1"/>
    <col min="2" max="2" width="9.44140625" customWidth="1"/>
    <col min="3" max="3" width="7.6640625" bestFit="1" customWidth="1"/>
    <col min="4" max="4" width="11.5546875" customWidth="1"/>
    <col min="5" max="13" width="7.6640625" bestFit="1" customWidth="1"/>
    <col min="14" max="14" width="8" bestFit="1" customWidth="1"/>
  </cols>
  <sheetData>
    <row r="1" spans="1:15" ht="18" x14ac:dyDescent="0.35">
      <c r="A1" s="281" t="s">
        <v>254</v>
      </c>
    </row>
    <row r="2" spans="1:15" ht="18" x14ac:dyDescent="0.35">
      <c r="A2" s="281" t="s">
        <v>255</v>
      </c>
    </row>
    <row r="5" spans="1:15" ht="15" thickBot="1" x14ac:dyDescent="0.35"/>
    <row r="6" spans="1:15" x14ac:dyDescent="0.3">
      <c r="A6" s="102"/>
      <c r="B6" s="287" t="s">
        <v>154</v>
      </c>
      <c r="C6" s="287" t="s">
        <v>155</v>
      </c>
      <c r="D6" s="287" t="s">
        <v>156</v>
      </c>
      <c r="E6" s="287" t="s">
        <v>157</v>
      </c>
      <c r="F6" s="287" t="s">
        <v>158</v>
      </c>
      <c r="G6" s="287" t="s">
        <v>159</v>
      </c>
      <c r="H6" s="287" t="s">
        <v>160</v>
      </c>
      <c r="I6" s="287" t="s">
        <v>161</v>
      </c>
      <c r="J6" s="287" t="s">
        <v>162</v>
      </c>
      <c r="K6" s="287" t="s">
        <v>163</v>
      </c>
      <c r="L6" s="287" t="s">
        <v>164</v>
      </c>
      <c r="M6" s="287" t="s">
        <v>165</v>
      </c>
      <c r="N6" s="288" t="s">
        <v>0</v>
      </c>
    </row>
    <row r="7" spans="1:15" x14ac:dyDescent="0.3">
      <c r="A7" s="105" t="s">
        <v>237</v>
      </c>
      <c r="B7" s="284">
        <v>368</v>
      </c>
      <c r="C7" s="284">
        <v>320</v>
      </c>
      <c r="D7" s="284">
        <v>336</v>
      </c>
      <c r="E7" s="284">
        <v>352</v>
      </c>
      <c r="F7" s="284">
        <v>320</v>
      </c>
      <c r="G7" s="284">
        <v>352</v>
      </c>
      <c r="H7" s="284">
        <v>352</v>
      </c>
      <c r="I7" s="284">
        <v>320</v>
      </c>
      <c r="J7" s="284">
        <v>352</v>
      </c>
      <c r="K7" s="284">
        <v>352</v>
      </c>
      <c r="L7" s="284">
        <v>336</v>
      </c>
      <c r="M7" s="284">
        <v>336</v>
      </c>
      <c r="N7" s="278">
        <f>SUM(B7:M7)</f>
        <v>4096</v>
      </c>
    </row>
    <row r="8" spans="1:15" x14ac:dyDescent="0.3">
      <c r="A8" s="105" t="s">
        <v>238</v>
      </c>
      <c r="B8" s="285">
        <v>376</v>
      </c>
      <c r="C8" s="285">
        <v>401</v>
      </c>
      <c r="D8" s="285">
        <v>408</v>
      </c>
      <c r="E8" s="285">
        <v>392</v>
      </c>
      <c r="F8" s="285">
        <v>376</v>
      </c>
      <c r="G8" s="285">
        <v>391</v>
      </c>
      <c r="H8" s="285">
        <v>368</v>
      </c>
      <c r="I8" s="285">
        <v>424</v>
      </c>
      <c r="J8" s="285">
        <v>368</v>
      </c>
      <c r="K8" s="285">
        <v>392</v>
      </c>
      <c r="L8" s="285">
        <v>408</v>
      </c>
      <c r="M8" s="285">
        <v>384</v>
      </c>
      <c r="N8" s="286">
        <f t="shared" ref="N8" si="0">SUM(B8:M8)</f>
        <v>4688</v>
      </c>
    </row>
    <row r="9" spans="1:15" x14ac:dyDescent="0.3">
      <c r="A9" s="105" t="s">
        <v>260</v>
      </c>
      <c r="B9" s="284">
        <f>SUM(B7:B8)</f>
        <v>744</v>
      </c>
      <c r="C9" s="284">
        <f t="shared" ref="C9:N9" si="1">SUM(C7:C8)</f>
        <v>721</v>
      </c>
      <c r="D9" s="284">
        <f t="shared" si="1"/>
        <v>744</v>
      </c>
      <c r="E9" s="284">
        <f t="shared" si="1"/>
        <v>744</v>
      </c>
      <c r="F9" s="284">
        <f t="shared" si="1"/>
        <v>696</v>
      </c>
      <c r="G9" s="284">
        <f t="shared" si="1"/>
        <v>743</v>
      </c>
      <c r="H9" s="284">
        <f t="shared" si="1"/>
        <v>720</v>
      </c>
      <c r="I9" s="284">
        <f t="shared" si="1"/>
        <v>744</v>
      </c>
      <c r="J9" s="284">
        <f t="shared" si="1"/>
        <v>720</v>
      </c>
      <c r="K9" s="284">
        <f t="shared" si="1"/>
        <v>744</v>
      </c>
      <c r="L9" s="284">
        <f t="shared" si="1"/>
        <v>744</v>
      </c>
      <c r="M9" s="284">
        <f t="shared" si="1"/>
        <v>720</v>
      </c>
      <c r="N9" s="278">
        <f t="shared" si="1"/>
        <v>8784</v>
      </c>
    </row>
    <row r="10" spans="1:15" x14ac:dyDescent="0.3">
      <c r="A10" s="105"/>
      <c r="B10" s="1"/>
      <c r="C10" s="1"/>
      <c r="D10" s="1"/>
      <c r="E10" s="1"/>
      <c r="F10" s="1"/>
      <c r="G10" s="1"/>
      <c r="H10" s="1"/>
      <c r="I10" s="1"/>
      <c r="J10" s="1"/>
      <c r="K10" s="1"/>
      <c r="L10" s="1"/>
      <c r="M10" s="106"/>
      <c r="N10" s="107"/>
    </row>
    <row r="11" spans="1:15" x14ac:dyDescent="0.3">
      <c r="A11" s="283" t="s">
        <v>259</v>
      </c>
      <c r="B11" s="1"/>
      <c r="C11" s="1"/>
      <c r="D11" s="1"/>
      <c r="E11" s="1"/>
      <c r="F11" s="1"/>
      <c r="G11" s="1"/>
      <c r="H11" s="1"/>
      <c r="I11" s="1"/>
      <c r="J11" s="1"/>
      <c r="K11" s="1"/>
      <c r="L11" s="1"/>
      <c r="M11" s="1"/>
      <c r="N11" s="107"/>
    </row>
    <row r="12" spans="1:15" x14ac:dyDescent="0.3">
      <c r="A12" t="s">
        <v>256</v>
      </c>
      <c r="B12" s="255">
        <v>36.5</v>
      </c>
      <c r="C12" s="255">
        <v>46.2</v>
      </c>
      <c r="D12" s="255">
        <v>66.55</v>
      </c>
      <c r="E12" s="255">
        <v>82.86</v>
      </c>
      <c r="F12" s="255">
        <v>79.489999999999995</v>
      </c>
      <c r="G12" s="255">
        <v>53.4</v>
      </c>
      <c r="H12" s="255">
        <v>38.85</v>
      </c>
      <c r="I12" s="255">
        <v>31.5</v>
      </c>
      <c r="J12" s="255">
        <v>33.9</v>
      </c>
      <c r="K12" s="255">
        <v>42.8</v>
      </c>
      <c r="L12" s="255">
        <v>42</v>
      </c>
      <c r="M12" s="255">
        <v>34.75</v>
      </c>
      <c r="N12" s="256">
        <f>SUMPRODUCT(B7:M7,B12:M12)/SUM(B7:M7)</f>
        <v>48.954765625</v>
      </c>
      <c r="O12" s="101"/>
    </row>
    <row r="13" spans="1:15" x14ac:dyDescent="0.3">
      <c r="A13" s="105" t="s">
        <v>257</v>
      </c>
      <c r="B13" s="289">
        <v>27.95</v>
      </c>
      <c r="C13" s="289">
        <v>38.5</v>
      </c>
      <c r="D13" s="289">
        <v>57.35</v>
      </c>
      <c r="E13" s="289">
        <v>69.28</v>
      </c>
      <c r="F13" s="289">
        <v>67.819999999999993</v>
      </c>
      <c r="G13" s="289">
        <v>44.35</v>
      </c>
      <c r="H13" s="289">
        <v>29.1</v>
      </c>
      <c r="I13" s="289">
        <v>24.25</v>
      </c>
      <c r="J13" s="289">
        <v>24.5</v>
      </c>
      <c r="K13" s="289">
        <v>27.63</v>
      </c>
      <c r="L13" s="289">
        <v>27.17</v>
      </c>
      <c r="M13" s="289">
        <v>22.75</v>
      </c>
      <c r="N13" s="290">
        <f>SUMPRODUCT(B8:M8,B13:M13)/SUM(B8:M8)</f>
        <v>38.396874999999994</v>
      </c>
    </row>
    <row r="14" spans="1:15" ht="15" thickBot="1" x14ac:dyDescent="0.35">
      <c r="A14" s="108" t="s">
        <v>258</v>
      </c>
      <c r="B14" s="282">
        <v>31.811290322580646</v>
      </c>
      <c r="C14" s="282">
        <v>42.093333333333334</v>
      </c>
      <c r="D14" s="282">
        <v>61.702688172043011</v>
      </c>
      <c r="E14" s="282">
        <v>75.307184466019407</v>
      </c>
      <c r="F14" s="282">
        <v>73.341290322580647</v>
      </c>
      <c r="G14" s="282">
        <v>48.242473118279577</v>
      </c>
      <c r="H14" s="282">
        <v>33.742857142857147</v>
      </c>
      <c r="I14" s="282">
        <v>27.840847913862717</v>
      </c>
      <c r="J14" s="282">
        <v>29.095555555555553</v>
      </c>
      <c r="K14" s="282">
        <v>34.1547311827957</v>
      </c>
      <c r="L14" s="282">
        <v>34.420222222222222</v>
      </c>
      <c r="M14" s="282">
        <v>28.16935483870968</v>
      </c>
      <c r="N14" s="303">
        <f>(SUMPRODUCT(B7:M7,B12:M12)+SUMPRODUCT(B8:M8,B13:M13))/SUM(B7:M8)</f>
        <v>43.320044398907108</v>
      </c>
      <c r="O14" s="101"/>
    </row>
    <row r="20" spans="1:5" ht="15" thickBot="1" x14ac:dyDescent="0.35"/>
    <row r="21" spans="1:5" x14ac:dyDescent="0.3">
      <c r="A21" s="102" t="s">
        <v>250</v>
      </c>
      <c r="B21" s="103"/>
      <c r="C21" s="103"/>
      <c r="D21" s="257">
        <f>-'Total Solar Impact'!B13</f>
        <v>-263515.3238266774</v>
      </c>
      <c r="E21" s="291" t="s">
        <v>261</v>
      </c>
    </row>
    <row r="22" spans="1:5" x14ac:dyDescent="0.3">
      <c r="A22" s="105" t="s">
        <v>248</v>
      </c>
      <c r="B22" s="1"/>
      <c r="C22" s="1"/>
      <c r="D22" s="261">
        <v>4.4999999999999998E-2</v>
      </c>
      <c r="E22" s="23" t="s">
        <v>262</v>
      </c>
    </row>
    <row r="23" spans="1:5" x14ac:dyDescent="0.3">
      <c r="A23" s="105" t="s">
        <v>249</v>
      </c>
      <c r="B23" s="1"/>
      <c r="C23" s="1"/>
      <c r="D23" s="278">
        <f>D21*(1+D22)</f>
        <v>-275373.51339887787</v>
      </c>
    </row>
    <row r="24" spans="1:5" x14ac:dyDescent="0.3">
      <c r="A24" s="105"/>
      <c r="B24" s="1"/>
      <c r="C24" s="1"/>
      <c r="D24" s="278"/>
    </row>
    <row r="25" spans="1:5" x14ac:dyDescent="0.3">
      <c r="A25" s="105" t="s">
        <v>251</v>
      </c>
      <c r="B25" s="1"/>
      <c r="C25" s="1"/>
      <c r="D25" s="304">
        <f>N14</f>
        <v>43.320044398907108</v>
      </c>
      <c r="E25" s="23" t="s">
        <v>263</v>
      </c>
    </row>
    <row r="26" spans="1:5" x14ac:dyDescent="0.3">
      <c r="A26" s="105" t="s">
        <v>252</v>
      </c>
      <c r="B26" s="1"/>
      <c r="C26" s="1"/>
      <c r="D26" s="280">
        <v>0.95</v>
      </c>
      <c r="E26" s="23" t="s">
        <v>264</v>
      </c>
    </row>
    <row r="27" spans="1:5" x14ac:dyDescent="0.3">
      <c r="A27" s="105" t="s">
        <v>253</v>
      </c>
      <c r="B27" s="1"/>
      <c r="C27" s="258"/>
      <c r="D27" s="298">
        <f>D25*D26</f>
        <v>41.154042178961753</v>
      </c>
    </row>
    <row r="28" spans="1:5" ht="15" thickBot="1" x14ac:dyDescent="0.35">
      <c r="A28" s="108" t="s">
        <v>240</v>
      </c>
      <c r="B28" s="109"/>
      <c r="C28" s="109"/>
      <c r="D28" s="259">
        <f>D23*D27</f>
        <v>-11332733.185386309</v>
      </c>
      <c r="E28" s="23" t="s">
        <v>265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2"/>
  <sheetViews>
    <sheetView workbookViewId="0">
      <selection activeCell="C27" sqref="C27"/>
    </sheetView>
  </sheetViews>
  <sheetFormatPr defaultRowHeight="14.4" x14ac:dyDescent="0.3"/>
  <cols>
    <col min="1" max="1" width="19.44140625" bestFit="1" customWidth="1"/>
    <col min="2" max="3" width="15.21875" customWidth="1"/>
    <col min="4" max="4" width="11.44140625" customWidth="1"/>
  </cols>
  <sheetData>
    <row r="1" spans="1:5" ht="18" x14ac:dyDescent="0.35">
      <c r="A1" s="281" t="s">
        <v>254</v>
      </c>
    </row>
    <row r="2" spans="1:5" ht="18" x14ac:dyDescent="0.35">
      <c r="A2" s="281" t="s">
        <v>271</v>
      </c>
    </row>
    <row r="4" spans="1:5" x14ac:dyDescent="0.3">
      <c r="B4" s="171" t="s">
        <v>167</v>
      </c>
      <c r="C4" s="171"/>
      <c r="D4" s="171"/>
    </row>
    <row r="5" spans="1:5" ht="15" thickBot="1" x14ac:dyDescent="0.35">
      <c r="A5" s="1"/>
      <c r="B5" s="182" t="s">
        <v>180</v>
      </c>
      <c r="C5" s="182" t="s">
        <v>181</v>
      </c>
      <c r="D5" s="292" t="s">
        <v>0</v>
      </c>
    </row>
    <row r="6" spans="1:5" x14ac:dyDescent="0.3">
      <c r="A6" s="1" t="s">
        <v>266</v>
      </c>
      <c r="B6" s="110">
        <v>147</v>
      </c>
      <c r="C6" s="110">
        <v>180</v>
      </c>
    </row>
    <row r="7" spans="1:5" x14ac:dyDescent="0.3">
      <c r="A7" s="1" t="s">
        <v>202</v>
      </c>
      <c r="B7" s="106">
        <v>0.36</v>
      </c>
      <c r="C7" s="106">
        <f>B7</f>
        <v>0.36</v>
      </c>
      <c r="E7" t="s">
        <v>284</v>
      </c>
    </row>
    <row r="8" spans="1:5" x14ac:dyDescent="0.3">
      <c r="A8" s="1" t="s">
        <v>201</v>
      </c>
      <c r="B8" s="183">
        <f>B17</f>
        <v>0.49499999999999988</v>
      </c>
      <c r="C8" s="183">
        <f>C17</f>
        <v>0.49499999999999988</v>
      </c>
      <c r="E8" t="s">
        <v>267</v>
      </c>
    </row>
    <row r="9" spans="1:5" x14ac:dyDescent="0.3">
      <c r="A9" s="1" t="s">
        <v>200</v>
      </c>
      <c r="B9" s="295">
        <f>B6*B7*(1+B8)</f>
        <v>79.11539999999998</v>
      </c>
      <c r="C9" s="111">
        <f>C6*C7*(1+C8)</f>
        <v>96.875999999999991</v>
      </c>
    </row>
    <row r="10" spans="1:5" ht="16.2" x14ac:dyDescent="0.45">
      <c r="A10" s="1" t="s">
        <v>168</v>
      </c>
      <c r="B10" s="112">
        <v>7.03</v>
      </c>
      <c r="C10" s="112">
        <v>5.3</v>
      </c>
    </row>
    <row r="11" spans="1:5" ht="15" thickBot="1" x14ac:dyDescent="0.35">
      <c r="A11" s="4" t="s">
        <v>268</v>
      </c>
      <c r="B11" s="296">
        <f>+B9*B10*8</f>
        <v>4449.4500959999987</v>
      </c>
      <c r="C11" s="296">
        <f>+C9*C10*4</f>
        <v>2053.7711999999997</v>
      </c>
      <c r="D11" s="297">
        <f>+B11+C11</f>
        <v>6503.2212959999979</v>
      </c>
    </row>
    <row r="12" spans="1:5" ht="15" thickTop="1" x14ac:dyDescent="0.3">
      <c r="B12" s="3"/>
      <c r="C12" s="3"/>
    </row>
    <row r="13" spans="1:5" ht="15" thickBot="1" x14ac:dyDescent="0.35"/>
    <row r="14" spans="1:5" x14ac:dyDescent="0.3">
      <c r="A14" s="184" t="s">
        <v>204</v>
      </c>
      <c r="B14" s="103"/>
      <c r="C14" s="104"/>
    </row>
    <row r="15" spans="1:5" x14ac:dyDescent="0.3">
      <c r="A15" s="105" t="s">
        <v>274</v>
      </c>
      <c r="B15" s="293">
        <v>0.15</v>
      </c>
      <c r="C15" s="185">
        <v>0.15</v>
      </c>
      <c r="D15" t="s">
        <v>273</v>
      </c>
    </row>
    <row r="16" spans="1:5" x14ac:dyDescent="0.3">
      <c r="A16" s="105" t="s">
        <v>203</v>
      </c>
      <c r="B16" s="293">
        <v>0.3</v>
      </c>
      <c r="C16" s="185">
        <v>0.3</v>
      </c>
      <c r="D16" t="s">
        <v>272</v>
      </c>
    </row>
    <row r="17" spans="1:3" ht="15" thickBot="1" x14ac:dyDescent="0.35">
      <c r="A17" s="211" t="s">
        <v>201</v>
      </c>
      <c r="B17" s="294">
        <f>(B15+1)*(B16+1)-1</f>
        <v>0.49499999999999988</v>
      </c>
      <c r="C17" s="186">
        <f>(C15+1)*(C16+1)-1</f>
        <v>0.49499999999999988</v>
      </c>
    </row>
    <row r="19" spans="1:3" ht="15" thickBot="1" x14ac:dyDescent="0.35"/>
    <row r="20" spans="1:3" x14ac:dyDescent="0.3">
      <c r="A20" s="242" t="s">
        <v>242</v>
      </c>
      <c r="B20" s="104"/>
    </row>
    <row r="21" spans="1:3" x14ac:dyDescent="0.3">
      <c r="A21" s="105" t="s">
        <v>205</v>
      </c>
      <c r="B21" s="107">
        <v>212</v>
      </c>
    </row>
    <row r="22" spans="1:3" x14ac:dyDescent="0.3">
      <c r="A22" s="105" t="s">
        <v>207</v>
      </c>
      <c r="B22" s="107">
        <v>4</v>
      </c>
    </row>
    <row r="23" spans="1:3" x14ac:dyDescent="0.3">
      <c r="A23" s="105" t="s">
        <v>269</v>
      </c>
      <c r="B23" s="260">
        <f>0.1*0.6</f>
        <v>0.06</v>
      </c>
    </row>
    <row r="24" spans="1:3" x14ac:dyDescent="0.3">
      <c r="A24" s="105" t="s">
        <v>270</v>
      </c>
      <c r="B24" s="261">
        <v>8.8999999999999996E-2</v>
      </c>
    </row>
    <row r="25" spans="1:3" x14ac:dyDescent="0.3">
      <c r="A25" s="1" t="s">
        <v>206</v>
      </c>
      <c r="B25" s="262">
        <f>-B21*B22*B23*(1+B24)</f>
        <v>-55.408319999999996</v>
      </c>
    </row>
    <row r="26" spans="1:3" x14ac:dyDescent="0.3">
      <c r="A26" s="1" t="s">
        <v>239</v>
      </c>
      <c r="B26" s="263">
        <v>10</v>
      </c>
    </row>
    <row r="27" spans="1:3" ht="15" thickBot="1" x14ac:dyDescent="0.35">
      <c r="A27" s="109" t="s">
        <v>241</v>
      </c>
      <c r="B27" s="264">
        <f>+B25*B26*1000</f>
        <v>-554083.19999999995</v>
      </c>
    </row>
    <row r="28" spans="1:3" x14ac:dyDescent="0.3">
      <c r="A28" s="277" t="s">
        <v>246</v>
      </c>
      <c r="B28" s="104"/>
    </row>
    <row r="29" spans="1:3" x14ac:dyDescent="0.3">
      <c r="A29" s="1" t="s">
        <v>243</v>
      </c>
      <c r="B29" s="265">
        <f>-'Peak Shaving'!B9*0.666666666666667-'Peak Shaving'!C9*0.333333333333333</f>
        <v>-85.035599999999974</v>
      </c>
      <c r="C29" t="s">
        <v>182</v>
      </c>
    </row>
    <row r="30" spans="1:3" ht="16.2" x14ac:dyDescent="0.45">
      <c r="A30" s="105" t="s">
        <v>244</v>
      </c>
      <c r="B30" s="266">
        <f>+B31/1000/B29</f>
        <v>76.476455696202535</v>
      </c>
      <c r="C30" t="s">
        <v>166</v>
      </c>
    </row>
    <row r="31" spans="1:3" ht="15" thickBot="1" x14ac:dyDescent="0.35">
      <c r="A31" s="108" t="s">
        <v>245</v>
      </c>
      <c r="B31" s="267">
        <f>-'Peak Shaving'!D11*1000</f>
        <v>-6503221.2959999982</v>
      </c>
      <c r="C31" t="s">
        <v>138</v>
      </c>
    </row>
    <row r="32" spans="1:3" ht="15" thickBot="1" x14ac:dyDescent="0.35">
      <c r="A32" s="270" t="s">
        <v>247</v>
      </c>
      <c r="B32" s="269">
        <f>+B27+B31</f>
        <v>-7057304.4959999984</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T174"/>
  <sheetViews>
    <sheetView workbookViewId="0">
      <selection activeCell="K34" sqref="K34"/>
    </sheetView>
  </sheetViews>
  <sheetFormatPr defaultRowHeight="14.4" x14ac:dyDescent="0.3"/>
  <cols>
    <col min="6" max="7" width="11.21875" customWidth="1"/>
    <col min="9" max="9" width="11" customWidth="1"/>
    <col min="11" max="11" width="11.33203125" customWidth="1"/>
    <col min="12" max="12" width="10.88671875" customWidth="1"/>
    <col min="14" max="14" width="10" customWidth="1"/>
    <col min="15" max="15" width="12.44140625" customWidth="1"/>
    <col min="16" max="17" width="11.88671875" customWidth="1"/>
  </cols>
  <sheetData>
    <row r="5" spans="1:8" ht="18" x14ac:dyDescent="0.35">
      <c r="A5" s="63" t="s">
        <v>120</v>
      </c>
    </row>
    <row r="7" spans="1:8" x14ac:dyDescent="0.3">
      <c r="F7" s="61">
        <f>+F12-F57</f>
        <v>219353.8091832629</v>
      </c>
      <c r="G7" s="61">
        <f>+G12-G57</f>
        <v>263515.3238266774</v>
      </c>
      <c r="H7" t="s">
        <v>118</v>
      </c>
    </row>
    <row r="8" spans="1:8" ht="16.2" x14ac:dyDescent="0.45">
      <c r="F8" s="62">
        <f>+F21-F57</f>
        <v>173466.29637756359</v>
      </c>
      <c r="G8" s="62">
        <f>+G21-G57</f>
        <v>208012.02674629216</v>
      </c>
      <c r="H8" t="s">
        <v>119</v>
      </c>
    </row>
    <row r="9" spans="1:8" x14ac:dyDescent="0.3">
      <c r="F9" s="61">
        <f>+F7-F8</f>
        <v>45887.512805699313</v>
      </c>
      <c r="G9" s="61">
        <f>+G7-G8</f>
        <v>55503.297080385237</v>
      </c>
      <c r="H9" t="s">
        <v>198</v>
      </c>
    </row>
    <row r="10" spans="1:8" x14ac:dyDescent="0.3">
      <c r="F10" s="114">
        <f t="shared" ref="F10" si="0">F9/F7</f>
        <v>0.20919405492230045</v>
      </c>
      <c r="G10" s="114">
        <f>G9/G7</f>
        <v>0.21062644962875693</v>
      </c>
      <c r="H10" t="s">
        <v>199</v>
      </c>
    </row>
    <row r="11" spans="1:8" ht="15" thickBot="1" x14ac:dyDescent="0.35"/>
    <row r="12" spans="1:8" x14ac:dyDescent="0.3">
      <c r="A12" s="217" t="s">
        <v>31</v>
      </c>
      <c r="B12" s="218"/>
      <c r="C12" s="218" t="s">
        <v>32</v>
      </c>
      <c r="D12" s="219"/>
      <c r="E12" s="219"/>
      <c r="F12" s="220">
        <v>232146.70006326289</v>
      </c>
      <c r="G12" s="221">
        <v>276340.14814667741</v>
      </c>
    </row>
    <row r="13" spans="1:8" x14ac:dyDescent="0.3">
      <c r="A13" s="222"/>
      <c r="B13" s="223"/>
      <c r="C13" s="223" t="s">
        <v>33</v>
      </c>
      <c r="D13" s="4"/>
      <c r="E13" s="4"/>
      <c r="F13" s="224">
        <v>171</v>
      </c>
      <c r="G13" s="225">
        <v>204</v>
      </c>
    </row>
    <row r="14" spans="1:8" x14ac:dyDescent="0.3">
      <c r="A14" s="226"/>
      <c r="B14" s="25"/>
      <c r="C14" s="216"/>
      <c r="D14" s="4"/>
      <c r="E14" s="4"/>
      <c r="F14" s="224"/>
      <c r="G14" s="225"/>
    </row>
    <row r="15" spans="1:8" x14ac:dyDescent="0.3">
      <c r="A15" s="226"/>
      <c r="B15" s="25" t="s">
        <v>34</v>
      </c>
      <c r="C15" s="68"/>
      <c r="D15" s="4"/>
      <c r="E15" s="4"/>
      <c r="F15" s="224">
        <v>2</v>
      </c>
      <c r="G15" s="225">
        <v>3</v>
      </c>
    </row>
    <row r="16" spans="1:8" x14ac:dyDescent="0.3">
      <c r="A16" s="226"/>
      <c r="B16" s="25" t="s">
        <v>35</v>
      </c>
      <c r="C16" s="25"/>
      <c r="D16" s="4"/>
      <c r="E16" s="4"/>
      <c r="F16" s="227" t="s">
        <v>22</v>
      </c>
      <c r="G16" s="228" t="s">
        <v>23</v>
      </c>
    </row>
    <row r="17" spans="1:14" x14ac:dyDescent="0.3">
      <c r="A17" s="226"/>
      <c r="B17" s="25" t="s">
        <v>36</v>
      </c>
      <c r="C17" s="25"/>
      <c r="D17" s="4"/>
      <c r="E17" s="4"/>
      <c r="F17" s="229"/>
      <c r="G17" s="230"/>
    </row>
    <row r="18" spans="1:14" x14ac:dyDescent="0.3">
      <c r="A18" s="226" t="s">
        <v>37</v>
      </c>
      <c r="B18" s="231"/>
      <c r="C18" s="68"/>
      <c r="D18" s="4"/>
      <c r="E18" s="4"/>
      <c r="F18" s="229"/>
      <c r="G18" s="230"/>
    </row>
    <row r="19" spans="1:14" x14ac:dyDescent="0.3">
      <c r="A19" s="226"/>
      <c r="B19" s="232" t="s">
        <v>38</v>
      </c>
      <c r="C19" s="232" t="s">
        <v>39</v>
      </c>
      <c r="D19" s="4"/>
      <c r="E19" s="4"/>
      <c r="F19" s="224">
        <v>130588.59300040729</v>
      </c>
      <c r="G19" s="225">
        <v>155830.60051606791</v>
      </c>
    </row>
    <row r="20" spans="1:14" ht="16.2" x14ac:dyDescent="0.45">
      <c r="A20" s="226"/>
      <c r="B20" s="232" t="s">
        <v>40</v>
      </c>
      <c r="C20" s="232" t="s">
        <v>39</v>
      </c>
      <c r="D20" s="4"/>
      <c r="E20" s="4"/>
      <c r="F20" s="233">
        <v>55670.594257156277</v>
      </c>
      <c r="G20" s="234">
        <v>65006.250550224264</v>
      </c>
    </row>
    <row r="21" spans="1:14" x14ac:dyDescent="0.3">
      <c r="A21" s="226"/>
      <c r="B21" s="232"/>
      <c r="C21" s="232"/>
      <c r="D21" s="4"/>
      <c r="E21" s="4"/>
      <c r="F21" s="229">
        <v>186259.18725756358</v>
      </c>
      <c r="G21" s="230">
        <v>220836.85106629218</v>
      </c>
    </row>
    <row r="22" spans="1:14" x14ac:dyDescent="0.3">
      <c r="A22" s="235"/>
      <c r="B22" s="232"/>
      <c r="C22" s="232"/>
      <c r="D22" s="4"/>
      <c r="E22" s="4"/>
      <c r="F22" s="229"/>
      <c r="G22" s="230"/>
    </row>
    <row r="23" spans="1:14" x14ac:dyDescent="0.3">
      <c r="A23" s="236"/>
      <c r="B23" s="232" t="s">
        <v>38</v>
      </c>
      <c r="C23" s="232" t="s">
        <v>41</v>
      </c>
      <c r="D23" s="4"/>
      <c r="E23" s="4"/>
      <c r="F23" s="229"/>
      <c r="G23" s="230"/>
    </row>
    <row r="24" spans="1:14" ht="15" thickBot="1" x14ac:dyDescent="0.35">
      <c r="A24" s="237"/>
      <c r="B24" s="238" t="s">
        <v>40</v>
      </c>
      <c r="C24" s="238" t="s">
        <v>41</v>
      </c>
      <c r="D24" s="239"/>
      <c r="E24" s="239"/>
      <c r="F24" s="240">
        <v>199.1259688711786</v>
      </c>
      <c r="G24" s="241">
        <v>188.94634675434324</v>
      </c>
    </row>
    <row r="25" spans="1:14" x14ac:dyDescent="0.3">
      <c r="A25" s="25"/>
      <c r="B25" s="27"/>
      <c r="C25" s="27"/>
      <c r="F25" s="22"/>
      <c r="G25" s="22"/>
    </row>
    <row r="26" spans="1:14" ht="15" thickBot="1" x14ac:dyDescent="0.35">
      <c r="A26" s="28" t="s">
        <v>42</v>
      </c>
      <c r="B26" s="27"/>
      <c r="C26" s="27"/>
      <c r="F26" s="22"/>
      <c r="G26" s="22"/>
    </row>
    <row r="27" spans="1:14" x14ac:dyDescent="0.3">
      <c r="A27" s="25" t="s">
        <v>43</v>
      </c>
      <c r="B27" s="27"/>
      <c r="C27" s="27"/>
      <c r="F27" s="79">
        <v>7315647.1689332016</v>
      </c>
      <c r="G27" s="79">
        <v>6113877.9480427904</v>
      </c>
      <c r="H27" s="23" t="s">
        <v>222</v>
      </c>
      <c r="I27" s="243" t="s">
        <v>226</v>
      </c>
      <c r="J27" s="244"/>
      <c r="K27" s="252">
        <f>G27+G29</f>
        <v>5861731.437590464</v>
      </c>
      <c r="L27" s="244" t="s">
        <v>224</v>
      </c>
      <c r="M27" s="244"/>
      <c r="N27" s="245"/>
    </row>
    <row r="28" spans="1:14" x14ac:dyDescent="0.3">
      <c r="A28" s="25" t="s">
        <v>44</v>
      </c>
      <c r="B28" s="27"/>
      <c r="C28" s="27"/>
      <c r="F28" s="79">
        <v>28361285.947058417</v>
      </c>
      <c r="G28" s="79">
        <v>34193585.556452319</v>
      </c>
      <c r="H28" s="23" t="s">
        <v>223</v>
      </c>
      <c r="I28" s="246" t="s">
        <v>227</v>
      </c>
      <c r="J28" s="247"/>
      <c r="K28" s="253">
        <f>G28+G30</f>
        <v>33768921.384331226</v>
      </c>
      <c r="L28" s="247" t="s">
        <v>225</v>
      </c>
      <c r="M28" s="247"/>
      <c r="N28" s="248"/>
    </row>
    <row r="29" spans="1:14" ht="15" thickBot="1" x14ac:dyDescent="0.35">
      <c r="A29" s="25" t="s">
        <v>45</v>
      </c>
      <c r="B29" s="27"/>
      <c r="C29" s="29"/>
      <c r="F29" s="79">
        <v>-231193.74201263746</v>
      </c>
      <c r="G29" s="79">
        <v>-252146.51045232647</v>
      </c>
      <c r="H29" s="23" t="s">
        <v>222</v>
      </c>
      <c r="I29" s="249"/>
      <c r="J29" s="250"/>
      <c r="K29" s="254">
        <f>K27+K28</f>
        <v>39630652.821921691</v>
      </c>
      <c r="L29" s="250"/>
      <c r="M29" s="250"/>
      <c r="N29" s="251"/>
    </row>
    <row r="30" spans="1:14" ht="16.2" x14ac:dyDescent="0.45">
      <c r="A30" s="25" t="s">
        <v>46</v>
      </c>
      <c r="B30" s="27"/>
      <c r="C30" s="29"/>
      <c r="F30" s="115">
        <v>-424664.17212109192</v>
      </c>
      <c r="G30" s="115">
        <v>-424664.17212109192</v>
      </c>
      <c r="H30" s="23" t="s">
        <v>223</v>
      </c>
    </row>
    <row r="31" spans="1:14" x14ac:dyDescent="0.3">
      <c r="A31" s="68" t="s">
        <v>47</v>
      </c>
      <c r="B31" s="26"/>
      <c r="C31" s="26"/>
      <c r="D31" s="23"/>
      <c r="E31" s="23"/>
      <c r="F31" s="81">
        <v>35021075.201857887</v>
      </c>
      <c r="G31" s="81">
        <v>39630652.821921684</v>
      </c>
    </row>
    <row r="32" spans="1:14" x14ac:dyDescent="0.3">
      <c r="A32" s="69" t="s">
        <v>48</v>
      </c>
      <c r="B32" s="70"/>
      <c r="C32" s="70"/>
      <c r="D32" s="71"/>
      <c r="E32" s="71"/>
      <c r="F32" s="79">
        <v>2067965.9219627406</v>
      </c>
      <c r="G32" s="79">
        <v>2095663.4157872123</v>
      </c>
    </row>
    <row r="33" spans="1:8" x14ac:dyDescent="0.3">
      <c r="A33" s="25"/>
      <c r="B33" s="27"/>
      <c r="C33" s="27"/>
      <c r="F33" s="79">
        <v>0</v>
      </c>
      <c r="G33" s="79">
        <v>0</v>
      </c>
    </row>
    <row r="34" spans="1:8" x14ac:dyDescent="0.3">
      <c r="A34" s="30" t="s">
        <v>49</v>
      </c>
      <c r="B34" s="30"/>
      <c r="C34" s="30"/>
      <c r="F34" s="79">
        <v>37089041.123820633</v>
      </c>
      <c r="G34" s="79">
        <v>41726316.237708896</v>
      </c>
    </row>
    <row r="35" spans="1:8" x14ac:dyDescent="0.3">
      <c r="A35" s="31"/>
      <c r="B35" s="32"/>
      <c r="C35" s="25"/>
      <c r="F35" s="22"/>
      <c r="G35" s="22"/>
    </row>
    <row r="36" spans="1:8" x14ac:dyDescent="0.3">
      <c r="A36" s="31"/>
      <c r="B36" s="32"/>
      <c r="C36" s="25"/>
      <c r="F36" s="22"/>
      <c r="G36" s="22"/>
    </row>
    <row r="37" spans="1:8" x14ac:dyDescent="0.3">
      <c r="A37" s="25"/>
      <c r="B37" s="25"/>
      <c r="C37" s="25"/>
      <c r="F37" s="215" t="s">
        <v>29</v>
      </c>
      <c r="G37" s="215" t="s">
        <v>30</v>
      </c>
    </row>
    <row r="38" spans="1:8" x14ac:dyDescent="0.3">
      <c r="A38" s="67" t="s">
        <v>128</v>
      </c>
      <c r="B38" s="67"/>
      <c r="C38" s="67"/>
      <c r="D38" s="2"/>
      <c r="E38" s="2"/>
      <c r="F38" s="116">
        <v>232146.70006326289</v>
      </c>
      <c r="G38" s="116">
        <v>276340.14814667741</v>
      </c>
      <c r="H38" t="s">
        <v>131</v>
      </c>
    </row>
    <row r="39" spans="1:8" ht="16.2" x14ac:dyDescent="0.45">
      <c r="A39" s="67" t="s">
        <v>129</v>
      </c>
      <c r="B39" s="67"/>
      <c r="C39" s="67"/>
      <c r="D39" s="2"/>
      <c r="E39" s="2"/>
      <c r="F39" s="117">
        <v>45887.512805699313</v>
      </c>
      <c r="G39" s="117">
        <v>55503.297080385237</v>
      </c>
      <c r="H39" t="s">
        <v>131</v>
      </c>
    </row>
    <row r="40" spans="1:8" x14ac:dyDescent="0.3">
      <c r="A40" s="67" t="s">
        <v>130</v>
      </c>
      <c r="B40" s="67"/>
      <c r="C40" s="67"/>
      <c r="D40" s="2"/>
      <c r="E40" s="2"/>
      <c r="F40" s="116">
        <v>186259.18725756358</v>
      </c>
      <c r="G40" s="116">
        <v>220836.85106629218</v>
      </c>
      <c r="H40" t="s">
        <v>131</v>
      </c>
    </row>
    <row r="41" spans="1:8" x14ac:dyDescent="0.3">
      <c r="A41" s="33"/>
      <c r="B41" s="25"/>
      <c r="C41" s="25"/>
      <c r="F41" s="22"/>
      <c r="G41" s="22"/>
    </row>
    <row r="42" spans="1:8" x14ac:dyDescent="0.3">
      <c r="A42" s="34" t="s">
        <v>50</v>
      </c>
      <c r="B42" s="35"/>
      <c r="C42" s="35"/>
      <c r="F42" s="22">
        <v>182.76389549934098</v>
      </c>
      <c r="G42" s="22">
        <v>217.55640698053648</v>
      </c>
    </row>
    <row r="43" spans="1:8" x14ac:dyDescent="0.3">
      <c r="A43" s="24"/>
      <c r="B43" s="24"/>
      <c r="C43" s="24"/>
      <c r="F43" s="22">
        <v>0.19766601374559445</v>
      </c>
      <c r="G43" s="22">
        <v>0.20085136905595374</v>
      </c>
    </row>
    <row r="44" spans="1:8" x14ac:dyDescent="0.3">
      <c r="A44" s="24"/>
      <c r="B44" s="36" t="s">
        <v>51</v>
      </c>
      <c r="C44" s="24"/>
      <c r="F44" s="22"/>
      <c r="G44" s="22"/>
    </row>
    <row r="45" spans="1:8" x14ac:dyDescent="0.3">
      <c r="A45" s="37"/>
      <c r="B45" s="36" t="s">
        <v>52</v>
      </c>
      <c r="C45" s="37"/>
      <c r="F45" s="22"/>
      <c r="G45" s="22"/>
    </row>
    <row r="46" spans="1:8" x14ac:dyDescent="0.3">
      <c r="A46" s="24"/>
      <c r="B46" s="24"/>
      <c r="C46" s="24"/>
      <c r="F46" s="22">
        <v>0</v>
      </c>
      <c r="G46" s="22">
        <v>0</v>
      </c>
    </row>
    <row r="47" spans="1:8" x14ac:dyDescent="0.3">
      <c r="A47" s="38"/>
      <c r="B47" s="38" t="s">
        <v>53</v>
      </c>
      <c r="C47" s="38"/>
      <c r="F47" s="22"/>
      <c r="G47" s="22"/>
    </row>
    <row r="48" spans="1:8" x14ac:dyDescent="0.3">
      <c r="A48" s="24"/>
      <c r="B48" s="24"/>
      <c r="C48" s="24"/>
      <c r="F48" s="22">
        <v>0</v>
      </c>
      <c r="G48" s="22">
        <v>0</v>
      </c>
    </row>
    <row r="49" spans="1:7" x14ac:dyDescent="0.3">
      <c r="A49" s="25"/>
      <c r="B49" s="25"/>
      <c r="C49" s="25"/>
      <c r="F49" s="22"/>
      <c r="G49" s="22"/>
    </row>
    <row r="50" spans="1:7" ht="18" x14ac:dyDescent="0.35">
      <c r="A50" s="47" t="s">
        <v>54</v>
      </c>
      <c r="B50" s="48"/>
      <c r="C50" s="48"/>
      <c r="D50" s="14"/>
      <c r="E50" s="14"/>
      <c r="F50" s="49"/>
      <c r="G50" s="49"/>
    </row>
    <row r="51" spans="1:7" x14ac:dyDescent="0.3">
      <c r="A51" s="50"/>
      <c r="B51" s="50"/>
      <c r="C51" s="50" t="s">
        <v>55</v>
      </c>
      <c r="D51" s="14"/>
      <c r="E51" s="14"/>
      <c r="F51" s="49"/>
      <c r="G51" s="49"/>
    </row>
    <row r="52" spans="1:7" x14ac:dyDescent="0.3">
      <c r="A52" s="51"/>
      <c r="B52" s="51"/>
      <c r="C52" s="51"/>
      <c r="D52" s="14"/>
      <c r="E52" s="14"/>
      <c r="F52" s="49"/>
      <c r="G52" s="49"/>
    </row>
    <row r="53" spans="1:7" x14ac:dyDescent="0.3">
      <c r="A53" s="51"/>
      <c r="B53" s="51"/>
      <c r="C53" s="51" t="s">
        <v>56</v>
      </c>
      <c r="D53" s="14"/>
      <c r="E53" s="14"/>
      <c r="F53" s="49"/>
      <c r="G53" s="49"/>
    </row>
    <row r="54" spans="1:7" x14ac:dyDescent="0.3">
      <c r="A54" s="51"/>
      <c r="B54" s="51"/>
      <c r="C54" s="51"/>
      <c r="D54" s="14"/>
      <c r="E54" s="14"/>
      <c r="F54" s="49"/>
      <c r="G54" s="49"/>
    </row>
    <row r="55" spans="1:7" x14ac:dyDescent="0.3">
      <c r="A55" s="48"/>
      <c r="B55" s="48" t="s">
        <v>38</v>
      </c>
      <c r="C55" s="52" t="s">
        <v>57</v>
      </c>
      <c r="D55" s="14"/>
      <c r="E55" s="14"/>
      <c r="F55" s="118">
        <v>5966.8224000000018</v>
      </c>
      <c r="G55" s="118">
        <v>5997.5731200000009</v>
      </c>
    </row>
    <row r="56" spans="1:7" x14ac:dyDescent="0.3">
      <c r="A56" s="48"/>
      <c r="B56" s="48" t="s">
        <v>40</v>
      </c>
      <c r="C56" s="52" t="s">
        <v>57</v>
      </c>
      <c r="D56" s="14"/>
      <c r="E56" s="14"/>
      <c r="F56" s="118">
        <v>6826.0684800000017</v>
      </c>
      <c r="G56" s="118">
        <v>6827.2512000000006</v>
      </c>
    </row>
    <row r="57" spans="1:7" x14ac:dyDescent="0.3">
      <c r="A57" s="48"/>
      <c r="B57" s="48"/>
      <c r="C57" s="48"/>
      <c r="D57" s="14"/>
      <c r="E57" s="14"/>
      <c r="F57" s="118">
        <v>12792.890880000003</v>
      </c>
      <c r="G57" s="118">
        <v>12824.824320000002</v>
      </c>
    </row>
    <row r="58" spans="1:7" x14ac:dyDescent="0.3">
      <c r="A58" s="48"/>
      <c r="B58" s="48"/>
      <c r="C58" s="48"/>
      <c r="D58" s="14"/>
      <c r="E58" s="14"/>
      <c r="F58" s="118"/>
      <c r="G58" s="118"/>
    </row>
    <row r="59" spans="1:7" x14ac:dyDescent="0.3">
      <c r="A59" s="48"/>
      <c r="B59" s="53" t="s">
        <v>58</v>
      </c>
      <c r="C59" s="54"/>
      <c r="D59" s="14"/>
      <c r="E59" s="14"/>
      <c r="F59" s="118">
        <v>0</v>
      </c>
      <c r="G59" s="118">
        <v>0</v>
      </c>
    </row>
    <row r="60" spans="1:7" x14ac:dyDescent="0.3">
      <c r="A60" s="48"/>
      <c r="B60" s="53" t="s">
        <v>59</v>
      </c>
      <c r="C60" s="55"/>
      <c r="D60" s="14"/>
      <c r="E60" s="14"/>
      <c r="F60" s="118">
        <v>12792.890880000003</v>
      </c>
      <c r="G60" s="118">
        <v>12824.824320000002</v>
      </c>
    </row>
    <row r="61" spans="1:7" x14ac:dyDescent="0.3">
      <c r="A61" s="48"/>
      <c r="B61" s="53" t="s">
        <v>60</v>
      </c>
      <c r="C61" s="56"/>
      <c r="D61" s="14"/>
      <c r="E61" s="14"/>
      <c r="F61" s="118">
        <v>2067965.9219627406</v>
      </c>
      <c r="G61" s="118">
        <v>2095663.4157872123</v>
      </c>
    </row>
    <row r="62" spans="1:7" x14ac:dyDescent="0.3">
      <c r="A62" s="48"/>
      <c r="B62" s="48"/>
      <c r="C62" s="48"/>
      <c r="D62" s="14"/>
      <c r="E62" s="14"/>
      <c r="F62" s="118"/>
      <c r="G62" s="118"/>
    </row>
    <row r="63" spans="1:7" x14ac:dyDescent="0.3">
      <c r="A63" s="48"/>
      <c r="B63" s="48" t="s">
        <v>61</v>
      </c>
      <c r="C63" s="48"/>
      <c r="D63" s="14"/>
      <c r="E63" s="14"/>
      <c r="F63" s="118">
        <v>161.64961785109358</v>
      </c>
      <c r="G63" s="118">
        <v>161.64961785109358</v>
      </c>
    </row>
    <row r="64" spans="1:7" x14ac:dyDescent="0.3">
      <c r="A64" s="25"/>
      <c r="B64" s="25"/>
      <c r="C64" s="25"/>
      <c r="F64" s="22"/>
      <c r="G64" s="22"/>
    </row>
    <row r="65" spans="1:7" ht="18" x14ac:dyDescent="0.35">
      <c r="A65" s="39"/>
      <c r="B65" s="25"/>
      <c r="C65" s="25"/>
      <c r="F65" s="22"/>
      <c r="G65" s="22"/>
    </row>
    <row r="66" spans="1:7" x14ac:dyDescent="0.3">
      <c r="A66" s="25"/>
      <c r="B66" s="25"/>
      <c r="C66" s="25"/>
      <c r="F66" s="22"/>
      <c r="G66" s="22"/>
    </row>
    <row r="67" spans="1:7" x14ac:dyDescent="0.3">
      <c r="A67" s="40"/>
      <c r="B67" s="40"/>
      <c r="C67" s="40"/>
      <c r="F67" s="22"/>
      <c r="G67" s="22"/>
    </row>
    <row r="68" spans="1:7" x14ac:dyDescent="0.3">
      <c r="A68" s="25" t="s">
        <v>62</v>
      </c>
      <c r="B68" s="25"/>
      <c r="C68" s="25"/>
      <c r="F68" s="22"/>
      <c r="G68" s="22"/>
    </row>
    <row r="69" spans="1:7" x14ac:dyDescent="0.3">
      <c r="A69" s="25"/>
      <c r="B69" s="41"/>
      <c r="C69" s="25"/>
      <c r="F69" s="22"/>
      <c r="G69" s="22"/>
    </row>
    <row r="70" spans="1:7" x14ac:dyDescent="0.3">
      <c r="A70" s="25" t="s">
        <v>63</v>
      </c>
      <c r="B70" s="41"/>
      <c r="C70" s="25"/>
      <c r="F70" s="81">
        <v>187348.81826916523</v>
      </c>
      <c r="G70" s="81">
        <v>222079.19423877954</v>
      </c>
    </row>
    <row r="71" spans="1:7" x14ac:dyDescent="0.3">
      <c r="A71" s="42" t="s">
        <v>64</v>
      </c>
      <c r="B71" s="43"/>
      <c r="C71" s="42"/>
      <c r="F71" s="79">
        <v>170501.41331671714</v>
      </c>
      <c r="G71" s="79">
        <v>208012.02674629219</v>
      </c>
    </row>
    <row r="72" spans="1:7" x14ac:dyDescent="0.3">
      <c r="A72" s="25" t="s">
        <v>65</v>
      </c>
      <c r="B72" s="41"/>
      <c r="C72" s="25"/>
      <c r="F72" s="79">
        <v>171065.61786039261</v>
      </c>
      <c r="G72" s="79">
        <v>209254.36991877953</v>
      </c>
    </row>
    <row r="73" spans="1:7" x14ac:dyDescent="0.3">
      <c r="A73" s="25" t="s">
        <v>66</v>
      </c>
      <c r="B73" s="41"/>
      <c r="C73" s="25"/>
      <c r="F73" s="79">
        <v>12.087790798967228</v>
      </c>
      <c r="G73" s="79">
        <v>12.08779079896723</v>
      </c>
    </row>
    <row r="74" spans="1:7" x14ac:dyDescent="0.3">
      <c r="A74" s="44" t="s">
        <v>54</v>
      </c>
      <c r="B74" s="45"/>
      <c r="C74" s="44"/>
      <c r="F74" s="79">
        <v>12792.890880000003</v>
      </c>
      <c r="G74" s="79">
        <v>12824.824320000002</v>
      </c>
    </row>
    <row r="75" spans="1:7" x14ac:dyDescent="0.3">
      <c r="A75" s="25"/>
      <c r="B75" s="41"/>
      <c r="C75" s="25"/>
      <c r="F75" s="79"/>
      <c r="G75" s="79"/>
    </row>
    <row r="76" spans="1:7" x14ac:dyDescent="0.3">
      <c r="A76" s="25" t="s">
        <v>67</v>
      </c>
      <c r="B76" s="41"/>
      <c r="C76" s="46"/>
      <c r="F76" s="79">
        <v>16283.200408772625</v>
      </c>
      <c r="G76" s="79">
        <v>12824.824320000011</v>
      </c>
    </row>
    <row r="77" spans="1:7" x14ac:dyDescent="0.3">
      <c r="A77" s="25" t="s">
        <v>68</v>
      </c>
      <c r="B77" s="41"/>
      <c r="C77" s="46"/>
      <c r="F77" s="79">
        <v>12792.890880000003</v>
      </c>
      <c r="G77" s="79">
        <v>12824.824320000002</v>
      </c>
    </row>
    <row r="78" spans="1:7" x14ac:dyDescent="0.3">
      <c r="A78" s="25"/>
      <c r="B78" s="41"/>
      <c r="C78" s="25"/>
      <c r="F78" s="79"/>
      <c r="G78" s="79"/>
    </row>
    <row r="79" spans="1:7" x14ac:dyDescent="0.3">
      <c r="A79" s="25" t="s">
        <v>69</v>
      </c>
      <c r="B79" s="41"/>
      <c r="C79" s="25"/>
      <c r="F79" s="79">
        <v>149984.44661987733</v>
      </c>
      <c r="G79" s="79">
        <v>208012.02674629222</v>
      </c>
    </row>
    <row r="80" spans="1:7" x14ac:dyDescent="0.3">
      <c r="F80" s="22"/>
      <c r="G80" s="22"/>
    </row>
    <row r="84" spans="1:19" ht="15" thickBot="1" x14ac:dyDescent="0.35"/>
    <row r="85" spans="1:19" ht="15" thickBot="1" x14ac:dyDescent="0.35">
      <c r="A85" t="s">
        <v>70</v>
      </c>
      <c r="F85" s="22">
        <v>219353.80918326287</v>
      </c>
      <c r="G85" s="22">
        <v>263515.3238266774</v>
      </c>
      <c r="I85" s="76">
        <f>+F85</f>
        <v>219353.80918326287</v>
      </c>
      <c r="J85" s="113"/>
      <c r="K85" s="113"/>
      <c r="L85" s="77">
        <f>+G85</f>
        <v>263515.3238266774</v>
      </c>
      <c r="M85" t="s">
        <v>28</v>
      </c>
    </row>
    <row r="86" spans="1:19" x14ac:dyDescent="0.3">
      <c r="A86" t="s">
        <v>71</v>
      </c>
      <c r="F86" s="22">
        <v>0.144715201970088</v>
      </c>
      <c r="G86" s="22">
        <v>0.14574873972851757</v>
      </c>
    </row>
    <row r="87" spans="1:19" x14ac:dyDescent="0.3">
      <c r="A87" t="s">
        <v>72</v>
      </c>
      <c r="F87" s="84">
        <v>2047.8439724871089</v>
      </c>
      <c r="G87" s="84">
        <v>2449.3004982916518</v>
      </c>
      <c r="I87" s="21">
        <f>+F87/12</f>
        <v>170.65366437392575</v>
      </c>
      <c r="J87" s="21"/>
      <c r="K87" s="21"/>
      <c r="L87" s="21">
        <f>+G87/12</f>
        <v>204.10837485763764</v>
      </c>
    </row>
    <row r="88" spans="1:19" x14ac:dyDescent="0.3">
      <c r="A88" t="s">
        <v>73</v>
      </c>
      <c r="F88" s="84">
        <v>1654.3263299999996</v>
      </c>
      <c r="G88" s="84">
        <v>1684.0997999999993</v>
      </c>
      <c r="I88" s="21">
        <f>+F88/12</f>
        <v>137.86052749999996</v>
      </c>
      <c r="J88" s="21"/>
      <c r="K88" s="21"/>
      <c r="L88" s="21">
        <f>+G88/12</f>
        <v>140.34164999999993</v>
      </c>
    </row>
    <row r="89" spans="1:19" x14ac:dyDescent="0.3">
      <c r="F89" s="22"/>
      <c r="G89" s="22"/>
    </row>
    <row r="90" spans="1:19" x14ac:dyDescent="0.3">
      <c r="F90" s="22"/>
      <c r="G90" s="22"/>
    </row>
    <row r="91" spans="1:19" x14ac:dyDescent="0.3">
      <c r="F91" s="22"/>
      <c r="G91" s="22"/>
      <c r="H91" s="83" t="s">
        <v>54</v>
      </c>
    </row>
    <row r="92" spans="1:19" x14ac:dyDescent="0.3">
      <c r="A92" s="23" t="s">
        <v>74</v>
      </c>
      <c r="F92" s="22"/>
      <c r="G92" s="22"/>
      <c r="H92" s="82" t="s">
        <v>133</v>
      </c>
    </row>
    <row r="93" spans="1:19" x14ac:dyDescent="0.3">
      <c r="A93" t="s">
        <v>75</v>
      </c>
      <c r="F93" s="79">
        <v>9992193.6989865359</v>
      </c>
      <c r="G93" s="79">
        <v>11163677.636105321</v>
      </c>
      <c r="H93" s="74">
        <v>0.35</v>
      </c>
      <c r="I93" s="22">
        <f>+F93-F$61*$H93</f>
        <v>9268405.6262995768</v>
      </c>
      <c r="J93" s="22"/>
      <c r="K93" s="22"/>
      <c r="L93" s="22">
        <f>+G93-G$61*$H93</f>
        <v>10430195.440579796</v>
      </c>
    </row>
    <row r="94" spans="1:19" x14ac:dyDescent="0.3">
      <c r="A94" t="s">
        <v>76</v>
      </c>
      <c r="F94" s="79">
        <v>7389667.2492909851</v>
      </c>
      <c r="G94" s="79">
        <v>9061896.2506957706</v>
      </c>
      <c r="H94" s="74">
        <v>0.35</v>
      </c>
      <c r="I94" s="22">
        <f>+F94-F$61*$H94</f>
        <v>6665879.176604026</v>
      </c>
      <c r="J94" s="22"/>
      <c r="K94" s="22"/>
      <c r="L94" s="22">
        <f>+G94-G$61*$H94</f>
        <v>8328414.0551702464</v>
      </c>
    </row>
    <row r="95" spans="1:19" x14ac:dyDescent="0.3">
      <c r="A95" t="s">
        <v>77</v>
      </c>
      <c r="F95" s="79">
        <v>12391533.006609907</v>
      </c>
      <c r="G95" s="79">
        <v>15386864.402865015</v>
      </c>
      <c r="H95" s="74">
        <v>0.3</v>
      </c>
      <c r="I95" s="22">
        <f>+F95-F$61*$H95</f>
        <v>11771143.230021086</v>
      </c>
      <c r="J95" s="22"/>
      <c r="K95" s="22"/>
      <c r="L95" s="22">
        <f>+G95-G$61*$H95</f>
        <v>14758165.378128851</v>
      </c>
      <c r="P95" s="22">
        <f>SUM(I93:I95)</f>
        <v>27705428.032924689</v>
      </c>
      <c r="Q95" s="22">
        <f>SUM(L93:L95)</f>
        <v>33516774.873878896</v>
      </c>
      <c r="R95" t="s">
        <v>122</v>
      </c>
    </row>
    <row r="96" spans="1:19" x14ac:dyDescent="0.3">
      <c r="F96" s="79">
        <v>0</v>
      </c>
      <c r="G96" s="79">
        <v>0</v>
      </c>
      <c r="O96" s="3"/>
      <c r="P96" s="85"/>
      <c r="Q96" s="86"/>
      <c r="R96" s="3"/>
      <c r="S96" s="3"/>
    </row>
    <row r="97" spans="1:20" x14ac:dyDescent="0.3">
      <c r="A97" t="s">
        <v>78</v>
      </c>
      <c r="F97" s="79">
        <v>1939684.4684520781</v>
      </c>
      <c r="G97" s="79">
        <v>1771572.3429891139</v>
      </c>
      <c r="I97" s="22">
        <f>+F97</f>
        <v>1939684.4684520781</v>
      </c>
      <c r="J97" s="22"/>
      <c r="K97" s="22"/>
      <c r="L97" s="22">
        <f>+G97</f>
        <v>1771572.3429891139</v>
      </c>
      <c r="P97" s="22"/>
    </row>
    <row r="98" spans="1:20" x14ac:dyDescent="0.3">
      <c r="A98" t="s">
        <v>79</v>
      </c>
      <c r="F98" s="79">
        <v>1712363.6342478115</v>
      </c>
      <c r="G98" s="79">
        <v>1363442.2146034788</v>
      </c>
      <c r="I98" s="22">
        <f>+F98</f>
        <v>1712363.6342478115</v>
      </c>
      <c r="J98" s="22"/>
      <c r="K98" s="22"/>
      <c r="L98" s="22">
        <f>+G98</f>
        <v>1363442.2146034788</v>
      </c>
      <c r="P98" s="22"/>
    </row>
    <row r="99" spans="1:20" x14ac:dyDescent="0.3">
      <c r="A99" t="s">
        <v>80</v>
      </c>
      <c r="F99" s="79">
        <v>3663599.066233309</v>
      </c>
      <c r="G99" s="79">
        <v>2978863.3904501987</v>
      </c>
      <c r="I99" s="22">
        <f>+F99</f>
        <v>3663599.066233309</v>
      </c>
      <c r="J99" s="22"/>
      <c r="K99" s="22"/>
      <c r="L99" s="22">
        <f>+G99</f>
        <v>2978863.3904501987</v>
      </c>
      <c r="P99" s="22">
        <f>SUM(I97:I99)</f>
        <v>7315647.1689331988</v>
      </c>
      <c r="Q99" s="22">
        <f>SUM(L97:L99)</f>
        <v>6113877.9480427913</v>
      </c>
      <c r="R99" t="s">
        <v>121</v>
      </c>
    </row>
    <row r="100" spans="1:20" ht="15" thickBot="1" x14ac:dyDescent="0.35">
      <c r="F100" s="79">
        <v>0</v>
      </c>
      <c r="G100" s="79">
        <v>0</v>
      </c>
      <c r="P100" s="22"/>
    </row>
    <row r="101" spans="1:20" ht="15" thickBot="1" x14ac:dyDescent="0.35">
      <c r="A101" t="s">
        <v>0</v>
      </c>
      <c r="F101" s="79">
        <v>37089041.123820625</v>
      </c>
      <c r="G101" s="79">
        <v>41726316.237708896</v>
      </c>
      <c r="I101" s="76">
        <f>SUM(I93:I100)</f>
        <v>35021075.201857887</v>
      </c>
      <c r="J101" s="113"/>
      <c r="K101" s="113"/>
      <c r="L101" s="77">
        <f>SUM(L93:L100)</f>
        <v>39630652.821921691</v>
      </c>
      <c r="M101" t="s">
        <v>28</v>
      </c>
      <c r="P101" s="22">
        <f>+P95+P99</f>
        <v>35021075.201857887</v>
      </c>
      <c r="Q101" s="22">
        <f>+Q95+Q99</f>
        <v>39630652.821921691</v>
      </c>
      <c r="R101" t="s">
        <v>123</v>
      </c>
    </row>
    <row r="102" spans="1:20" x14ac:dyDescent="0.3">
      <c r="A102" t="s">
        <v>81</v>
      </c>
      <c r="F102" s="79">
        <v>37089041.123820633</v>
      </c>
      <c r="G102" s="79">
        <v>41726316.237708896</v>
      </c>
    </row>
    <row r="103" spans="1:20" x14ac:dyDescent="0.3">
      <c r="F103" s="79">
        <v>0</v>
      </c>
      <c r="G103" s="79">
        <v>0</v>
      </c>
    </row>
    <row r="104" spans="1:20" x14ac:dyDescent="0.3">
      <c r="A104" t="s">
        <v>82</v>
      </c>
      <c r="F104" s="79">
        <v>62990.188054972241</v>
      </c>
      <c r="G104" s="79">
        <v>69767.976900483147</v>
      </c>
      <c r="H104" s="75">
        <f>+H93</f>
        <v>0.35</v>
      </c>
      <c r="I104" s="22">
        <f>+F104-F$57*$H104</f>
        <v>58512.676246972238</v>
      </c>
      <c r="J104" s="22"/>
      <c r="K104" s="22"/>
      <c r="L104" s="22">
        <f>+G104-G$57*$H104</f>
        <v>65279.288388483146</v>
      </c>
    </row>
    <row r="105" spans="1:20" x14ac:dyDescent="0.3">
      <c r="A105" t="s">
        <v>83</v>
      </c>
      <c r="F105" s="79">
        <v>46952.603896855217</v>
      </c>
      <c r="G105" s="79">
        <v>56905.712462470619</v>
      </c>
      <c r="H105" s="75">
        <f>+H94</f>
        <v>0.35</v>
      </c>
      <c r="I105" s="22">
        <f>+F105-F$57*$H105</f>
        <v>42475.092088855214</v>
      </c>
      <c r="J105" s="22"/>
      <c r="K105" s="22"/>
      <c r="L105" s="22">
        <f>+G105-G$57*$H105</f>
        <v>52417.023950470619</v>
      </c>
    </row>
    <row r="106" spans="1:20" x14ac:dyDescent="0.3">
      <c r="A106" t="s">
        <v>84</v>
      </c>
      <c r="F106" s="79">
        <v>77572.759897945012</v>
      </c>
      <c r="G106" s="79">
        <v>95405.504875825776</v>
      </c>
      <c r="H106" s="75">
        <f>+H95</f>
        <v>0.3</v>
      </c>
      <c r="I106" s="22">
        <f>+F106-F$57*$H106</f>
        <v>73734.892633945012</v>
      </c>
      <c r="J106" s="22"/>
      <c r="K106" s="22"/>
      <c r="L106" s="22">
        <f>+G106-G$57*$H106</f>
        <v>91558.057579825778</v>
      </c>
    </row>
    <row r="107" spans="1:20" x14ac:dyDescent="0.3">
      <c r="F107" s="79">
        <v>0</v>
      </c>
      <c r="G107" s="79">
        <v>0</v>
      </c>
    </row>
    <row r="108" spans="1:20" x14ac:dyDescent="0.3">
      <c r="A108" t="s">
        <v>0</v>
      </c>
      <c r="F108" s="79">
        <v>187515.55184977246</v>
      </c>
      <c r="G108" s="79">
        <v>222079.19423877951</v>
      </c>
      <c r="I108" s="61">
        <f>SUM(I104:I107)</f>
        <v>174722.66096977246</v>
      </c>
      <c r="J108" s="61"/>
      <c r="K108" s="61"/>
      <c r="L108" s="61">
        <f>SUM(L104:L107)</f>
        <v>209254.36991877953</v>
      </c>
      <c r="P108" s="60">
        <f>SUM(I104:I106)</f>
        <v>174722.66096977246</v>
      </c>
      <c r="Q108" s="60">
        <f>SUM(L104:L106)</f>
        <v>209254.36991877953</v>
      </c>
      <c r="R108" t="s">
        <v>124</v>
      </c>
    </row>
    <row r="109" spans="1:20" x14ac:dyDescent="0.3">
      <c r="F109" s="79">
        <v>0</v>
      </c>
      <c r="G109" s="79">
        <v>0</v>
      </c>
      <c r="P109" s="64">
        <f>+'Total Solar Impact'!B18</f>
        <v>174555.92738916524</v>
      </c>
      <c r="Q109" s="64">
        <f>+'Total Solar Impact'!B19</f>
        <v>209254.36991877953</v>
      </c>
    </row>
    <row r="110" spans="1:20" x14ac:dyDescent="0.3">
      <c r="A110" t="s">
        <v>85</v>
      </c>
      <c r="F110" s="79">
        <v>77927.156062686059</v>
      </c>
      <c r="G110" s="79">
        <v>86714.841724520709</v>
      </c>
      <c r="I110" s="60">
        <f>+I104+I117</f>
        <v>73449.644254686049</v>
      </c>
      <c r="J110" s="60"/>
      <c r="K110" s="60"/>
      <c r="L110" s="60">
        <f>+L104+L117</f>
        <v>82226.153212520701</v>
      </c>
      <c r="P110" s="22">
        <f>+P108-P109</f>
        <v>166.73358060722239</v>
      </c>
      <c r="Q110" s="22">
        <f>+Q108-Q109</f>
        <v>0</v>
      </c>
      <c r="T110" t="s">
        <v>127</v>
      </c>
    </row>
    <row r="111" spans="1:20" x14ac:dyDescent="0.3">
      <c r="A111" t="s">
        <v>86</v>
      </c>
      <c r="F111" s="79">
        <v>57795.859436466199</v>
      </c>
      <c r="G111" s="79">
        <v>70500.876135830273</v>
      </c>
      <c r="I111" s="60">
        <f>+I105+I118</f>
        <v>53318.347628466203</v>
      </c>
      <c r="J111" s="60"/>
      <c r="K111" s="60"/>
      <c r="L111" s="60">
        <f>+L105+L118</f>
        <v>66012.187623830279</v>
      </c>
    </row>
    <row r="112" spans="1:20" x14ac:dyDescent="0.3">
      <c r="A112" t="s">
        <v>87</v>
      </c>
      <c r="F112" s="79">
        <v>96423.684564110605</v>
      </c>
      <c r="G112" s="79">
        <v>119124.43028632642</v>
      </c>
      <c r="I112" s="60">
        <f>+I106+I119</f>
        <v>92585.817300110604</v>
      </c>
      <c r="J112" s="60"/>
      <c r="K112" s="60"/>
      <c r="L112" s="60">
        <f>+L106+L119</f>
        <v>115276.98299032642</v>
      </c>
    </row>
    <row r="113" spans="1:18" ht="15" thickBot="1" x14ac:dyDescent="0.35">
      <c r="F113" s="79">
        <v>0</v>
      </c>
      <c r="G113" s="79">
        <v>0</v>
      </c>
    </row>
    <row r="114" spans="1:18" ht="15" thickBot="1" x14ac:dyDescent="0.35">
      <c r="A114" t="s">
        <v>0</v>
      </c>
      <c r="F114" s="79">
        <v>232146.70006326289</v>
      </c>
      <c r="G114" s="79">
        <v>276340.14814667741</v>
      </c>
      <c r="I114" s="76">
        <f>SUM(I110:I113)</f>
        <v>219353.80918326287</v>
      </c>
      <c r="J114" s="113"/>
      <c r="K114" s="113"/>
      <c r="L114" s="77">
        <f>SUM(L110:L113)</f>
        <v>263515.3238266774</v>
      </c>
      <c r="M114" t="s">
        <v>132</v>
      </c>
      <c r="P114" s="60">
        <f>+F114-F57</f>
        <v>219353.8091832629</v>
      </c>
      <c r="Q114" s="60">
        <f>+G114-G57</f>
        <v>263515.3238266774</v>
      </c>
      <c r="R114" t="s">
        <v>125</v>
      </c>
    </row>
    <row r="115" spans="1:18" x14ac:dyDescent="0.3">
      <c r="A115" t="s">
        <v>81</v>
      </c>
      <c r="F115" s="79"/>
      <c r="G115" s="79"/>
      <c r="P115" s="57">
        <f>+'Total Solar Impact'!B12</f>
        <v>219353.80918326287</v>
      </c>
      <c r="Q115" s="57">
        <f>+'Total Solar Impact'!B13</f>
        <v>263515.3238266774</v>
      </c>
      <c r="R115" t="s">
        <v>126</v>
      </c>
    </row>
    <row r="116" spans="1:18" x14ac:dyDescent="0.3">
      <c r="F116" s="79">
        <v>0</v>
      </c>
      <c r="G116" s="79">
        <v>0</v>
      </c>
    </row>
    <row r="117" spans="1:18" x14ac:dyDescent="0.3">
      <c r="A117" t="s">
        <v>88</v>
      </c>
      <c r="F117" s="79">
        <v>14936.968007713811</v>
      </c>
      <c r="G117" s="79">
        <v>16946.864824037548</v>
      </c>
      <c r="I117" s="60">
        <f>+F117</f>
        <v>14936.968007713811</v>
      </c>
      <c r="J117" s="60"/>
      <c r="K117" s="60"/>
      <c r="L117" s="60">
        <f>+G117</f>
        <v>16946.864824037548</v>
      </c>
    </row>
    <row r="118" spans="1:18" x14ac:dyDescent="0.3">
      <c r="A118" t="s">
        <v>89</v>
      </c>
      <c r="F118" s="79">
        <v>10843.255539610986</v>
      </c>
      <c r="G118" s="79">
        <v>13595.163673359653</v>
      </c>
      <c r="I118" s="60">
        <f>+F118</f>
        <v>10843.255539610986</v>
      </c>
      <c r="J118" s="60"/>
      <c r="K118" s="60"/>
      <c r="L118" s="60">
        <f>+G118</f>
        <v>13595.163673359653</v>
      </c>
    </row>
    <row r="119" spans="1:18" x14ac:dyDescent="0.3">
      <c r="A119" t="s">
        <v>90</v>
      </c>
      <c r="F119" s="79">
        <v>18850.924666165589</v>
      </c>
      <c r="G119" s="79">
        <v>23718.925410500648</v>
      </c>
      <c r="I119" s="60">
        <f>+F119</f>
        <v>18850.924666165589</v>
      </c>
      <c r="J119" s="60"/>
      <c r="K119" s="60"/>
      <c r="L119" s="60">
        <f>+G119</f>
        <v>23718.925410500648</v>
      </c>
    </row>
    <row r="120" spans="1:18" x14ac:dyDescent="0.3">
      <c r="F120" s="79">
        <v>0</v>
      </c>
      <c r="G120" s="79">
        <v>0</v>
      </c>
    </row>
    <row r="121" spans="1:18" x14ac:dyDescent="0.3">
      <c r="A121" t="s">
        <v>0</v>
      </c>
      <c r="F121" s="79">
        <v>44631.148213490393</v>
      </c>
      <c r="G121" s="79">
        <v>54260.953907897849</v>
      </c>
      <c r="I121" s="60">
        <f>SUM(I117:I120)</f>
        <v>44631.148213490385</v>
      </c>
      <c r="J121" s="60"/>
      <c r="K121" s="60"/>
      <c r="L121" s="60">
        <f>SUM(L117:L120)</f>
        <v>54260.953907897849</v>
      </c>
      <c r="P121" s="60">
        <f>+F121</f>
        <v>44631.148213490393</v>
      </c>
      <c r="Q121" s="60">
        <f>+G121</f>
        <v>54260.953907897849</v>
      </c>
    </row>
    <row r="122" spans="1:18" x14ac:dyDescent="0.3">
      <c r="F122" s="79">
        <v>0</v>
      </c>
      <c r="G122" s="79">
        <v>0</v>
      </c>
      <c r="P122" s="64">
        <f>+'Total Solar Impact'!B23</f>
        <v>44797.88179409763</v>
      </c>
      <c r="Q122" s="64">
        <f>+'Total Solar Impact'!B24</f>
        <v>54260.953907897871</v>
      </c>
    </row>
    <row r="123" spans="1:18" x14ac:dyDescent="0.3">
      <c r="A123" s="72" t="s">
        <v>91</v>
      </c>
      <c r="B123" s="72"/>
      <c r="C123" s="72"/>
      <c r="D123" s="72"/>
      <c r="E123" s="72"/>
      <c r="F123" s="80">
        <v>189.42439347895785</v>
      </c>
      <c r="G123" s="80">
        <v>185.40382785565419</v>
      </c>
      <c r="I123" s="78">
        <f>(I93+I97)/I104</f>
        <v>191.5497771362256</v>
      </c>
      <c r="J123" s="78"/>
      <c r="K123" s="78"/>
      <c r="L123" s="78">
        <f>(L93+L97)/L104</f>
        <v>186.91637247874164</v>
      </c>
      <c r="P123" s="22">
        <f>+P121-P122</f>
        <v>-166.73358060723695</v>
      </c>
      <c r="Q123" s="22">
        <f>+Q121-Q122</f>
        <v>0</v>
      </c>
    </row>
    <row r="124" spans="1:18" x14ac:dyDescent="0.3">
      <c r="A124" s="72" t="s">
        <v>92</v>
      </c>
      <c r="B124" s="72"/>
      <c r="C124" s="72"/>
      <c r="D124" s="72"/>
      <c r="E124" s="72"/>
      <c r="F124" s="80">
        <v>193.85572104869846</v>
      </c>
      <c r="G124" s="80">
        <v>183.20372444462006</v>
      </c>
      <c r="I124" s="78">
        <f>(I94+I98)/I105</f>
        <v>197.25072739866184</v>
      </c>
      <c r="J124" s="78"/>
      <c r="K124" s="78"/>
      <c r="L124" s="78">
        <f>(L94+L98)/L105</f>
        <v>184.89901828329016</v>
      </c>
    </row>
    <row r="125" spans="1:18" x14ac:dyDescent="0.3">
      <c r="A125" s="72" t="s">
        <v>93</v>
      </c>
      <c r="B125" s="72"/>
      <c r="C125" s="72"/>
      <c r="D125" s="72"/>
      <c r="E125" s="72"/>
      <c r="F125" s="80">
        <v>206.96868454809913</v>
      </c>
      <c r="G125" s="80">
        <v>192.50176200229714</v>
      </c>
      <c r="I125" s="78">
        <f>(I95+I99)/I106</f>
        <v>209.32752113547895</v>
      </c>
      <c r="J125" s="78"/>
      <c r="K125" s="78"/>
      <c r="L125" s="78">
        <f>(L95+L99)/L106</f>
        <v>193.72438906444526</v>
      </c>
    </row>
    <row r="126" spans="1:18" x14ac:dyDescent="0.3">
      <c r="A126" s="72"/>
      <c r="B126" s="72"/>
      <c r="C126" s="72"/>
      <c r="D126" s="72"/>
      <c r="E126" s="72"/>
      <c r="F126" s="80"/>
      <c r="G126" s="80"/>
      <c r="I126" s="78"/>
      <c r="J126" s="78"/>
      <c r="K126" s="78"/>
      <c r="L126" s="78"/>
    </row>
    <row r="127" spans="1:18" x14ac:dyDescent="0.3">
      <c r="A127" s="72" t="s">
        <v>94</v>
      </c>
      <c r="B127" s="72"/>
      <c r="C127" s="72"/>
      <c r="D127" s="72"/>
      <c r="E127" s="72"/>
      <c r="F127" s="80">
        <v>197.79181384130956</v>
      </c>
      <c r="G127" s="80">
        <v>187.88935352874509</v>
      </c>
      <c r="I127" s="78">
        <f>+I101/I108</f>
        <v>200.43808288792394</v>
      </c>
      <c r="J127" s="78"/>
      <c r="K127" s="78"/>
      <c r="L127" s="78">
        <f>+L101/L108</f>
        <v>189.38984565676705</v>
      </c>
    </row>
    <row r="128" spans="1:18" x14ac:dyDescent="0.3">
      <c r="A128" s="72"/>
      <c r="B128" s="72"/>
      <c r="C128" s="72"/>
      <c r="D128" s="72"/>
      <c r="E128" s="72"/>
      <c r="F128" s="80">
        <v>0</v>
      </c>
      <c r="G128" s="80">
        <v>0</v>
      </c>
      <c r="I128" s="78"/>
      <c r="J128" s="78"/>
      <c r="K128" s="78"/>
      <c r="L128" s="78"/>
    </row>
    <row r="129" spans="1:19" x14ac:dyDescent="0.3">
      <c r="A129" s="72" t="s">
        <v>95</v>
      </c>
      <c r="B129" s="72"/>
      <c r="C129" s="72"/>
      <c r="D129" s="72"/>
      <c r="E129" s="72"/>
      <c r="F129" s="80">
        <v>158.63095519362852</v>
      </c>
      <c r="G129" s="80">
        <v>160.01148567098571</v>
      </c>
      <c r="I129" s="78">
        <f>+I93/I104</f>
        <v>158.39996084231703</v>
      </c>
      <c r="J129" s="78"/>
      <c r="K129" s="78"/>
      <c r="L129" s="78">
        <f>+L93/L104</f>
        <v>159.7780199212456</v>
      </c>
    </row>
    <row r="130" spans="1:19" x14ac:dyDescent="0.3">
      <c r="A130" s="72" t="s">
        <v>96</v>
      </c>
      <c r="B130" s="72"/>
      <c r="C130" s="72"/>
      <c r="D130" s="72"/>
      <c r="E130" s="72"/>
      <c r="F130" s="80">
        <v>157.38567482912123</v>
      </c>
      <c r="G130" s="80">
        <v>159.24405228512165</v>
      </c>
      <c r="I130" s="78">
        <f>+I94/I105</f>
        <v>156.93619127792419</v>
      </c>
      <c r="J130" s="78"/>
      <c r="K130" s="78"/>
      <c r="L130" s="78">
        <f>+L94/L105</f>
        <v>158.88757940626027</v>
      </c>
    </row>
    <row r="131" spans="1:19" x14ac:dyDescent="0.3">
      <c r="A131" s="72" t="s">
        <v>97</v>
      </c>
      <c r="B131" s="72"/>
      <c r="C131" s="72"/>
      <c r="D131" s="72"/>
      <c r="E131" s="72"/>
      <c r="F131" s="80">
        <v>159.74077785697261</v>
      </c>
      <c r="G131" s="80">
        <v>161.2785805482782</v>
      </c>
      <c r="I131" s="78">
        <f>+I95/I106</f>
        <v>159.64142361281552</v>
      </c>
      <c r="J131" s="78"/>
      <c r="K131" s="78"/>
      <c r="L131" s="78">
        <f>+L95/L106</f>
        <v>161.18914892074685</v>
      </c>
    </row>
    <row r="132" spans="1:19" x14ac:dyDescent="0.3">
      <c r="A132" s="72"/>
      <c r="B132" s="72"/>
      <c r="C132" s="72"/>
      <c r="D132" s="72"/>
      <c r="E132" s="72"/>
      <c r="F132" s="80"/>
      <c r="G132" s="80"/>
      <c r="I132" s="78"/>
      <c r="J132" s="78"/>
      <c r="K132" s="78"/>
      <c r="L132" s="78"/>
    </row>
    <row r="133" spans="1:19" x14ac:dyDescent="0.3">
      <c r="A133" s="72" t="s">
        <v>98</v>
      </c>
      <c r="B133" s="72"/>
      <c r="C133" s="72"/>
      <c r="D133" s="72"/>
      <c r="E133" s="72"/>
      <c r="F133" s="80">
        <v>158.77826484888195</v>
      </c>
      <c r="G133" s="80">
        <v>160.35918363147346</v>
      </c>
      <c r="I133" s="78">
        <f>SUM(I93:I95)/I108</f>
        <v>158.56802935091409</v>
      </c>
      <c r="J133" s="78"/>
      <c r="K133" s="78"/>
      <c r="L133" s="78">
        <f>SUM(L93:L95)/L108</f>
        <v>160.17240111586761</v>
      </c>
    </row>
    <row r="134" spans="1:19" x14ac:dyDescent="0.3">
      <c r="A134" s="72"/>
      <c r="B134" s="72"/>
      <c r="C134" s="72"/>
      <c r="D134" s="72"/>
      <c r="E134" s="72"/>
      <c r="F134" s="80">
        <v>0</v>
      </c>
      <c r="G134" s="80">
        <v>0</v>
      </c>
      <c r="I134" s="78"/>
      <c r="J134" s="78"/>
      <c r="K134" s="78"/>
      <c r="L134" s="78"/>
    </row>
    <row r="135" spans="1:19" x14ac:dyDescent="0.3">
      <c r="A135" s="72" t="s">
        <v>99</v>
      </c>
      <c r="B135" s="72"/>
      <c r="C135" s="72"/>
      <c r="D135" s="72"/>
      <c r="E135" s="72"/>
      <c r="F135" s="80">
        <v>24.890995212140933</v>
      </c>
      <c r="G135" s="80">
        <v>20.429863074848456</v>
      </c>
      <c r="I135" s="78">
        <f>+I97/I110</f>
        <v>26.408357564350315</v>
      </c>
      <c r="J135" s="78"/>
      <c r="K135" s="78"/>
      <c r="L135" s="78">
        <f>+L97/L110</f>
        <v>21.545120059433277</v>
      </c>
    </row>
    <row r="136" spans="1:19" x14ac:dyDescent="0.3">
      <c r="A136" s="72" t="s">
        <v>100</v>
      </c>
      <c r="B136" s="72"/>
      <c r="C136" s="72"/>
      <c r="D136" s="72"/>
      <c r="E136" s="72"/>
      <c r="F136" s="80">
        <v>29.627790830417148</v>
      </c>
      <c r="G136" s="80">
        <v>19.339365541736068</v>
      </c>
      <c r="I136" s="78">
        <f>+I98/I111</f>
        <v>32.115842114611887</v>
      </c>
      <c r="J136" s="78"/>
      <c r="K136" s="78"/>
      <c r="L136" s="78">
        <f>+L98/L111</f>
        <v>20.654401311058486</v>
      </c>
    </row>
    <row r="137" spans="1:19" x14ac:dyDescent="0.3">
      <c r="A137" s="72" t="s">
        <v>101</v>
      </c>
      <c r="B137" s="72"/>
      <c r="C137" s="72"/>
      <c r="D137" s="72"/>
      <c r="E137" s="72"/>
      <c r="F137" s="80">
        <v>37.99480472868094</v>
      </c>
      <c r="G137" s="80">
        <v>25.006318043160661</v>
      </c>
      <c r="I137" s="78">
        <f>+I99/I112</f>
        <v>39.569765360044322</v>
      </c>
      <c r="J137" s="78"/>
      <c r="K137" s="78"/>
      <c r="L137" s="78">
        <f>+L99/L112</f>
        <v>25.840920825453708</v>
      </c>
    </row>
    <row r="138" spans="1:19" x14ac:dyDescent="0.3">
      <c r="A138" s="72"/>
      <c r="B138" s="72"/>
      <c r="C138" s="72"/>
      <c r="D138" s="72"/>
      <c r="E138" s="72"/>
      <c r="F138" s="80"/>
      <c r="G138" s="80"/>
      <c r="I138" s="78"/>
      <c r="J138" s="78"/>
      <c r="K138" s="78"/>
      <c r="L138" s="78"/>
    </row>
    <row r="139" spans="1:19" x14ac:dyDescent="0.3">
      <c r="A139" s="72" t="s">
        <v>102</v>
      </c>
      <c r="B139" s="72"/>
      <c r="C139" s="72"/>
      <c r="D139" s="72"/>
      <c r="E139" s="72"/>
      <c r="F139" s="80">
        <v>31.513035364877439</v>
      </c>
      <c r="G139" s="80">
        <v>22.124465044426451</v>
      </c>
      <c r="I139" s="78">
        <f>SUM(I97:I99)/I114</f>
        <v>33.350900976701148</v>
      </c>
      <c r="J139" s="78"/>
      <c r="K139" s="78"/>
      <c r="L139" s="78">
        <f>SUM(L97:L99)/L114</f>
        <v>23.201223592082592</v>
      </c>
    </row>
    <row r="140" spans="1:19" x14ac:dyDescent="0.3">
      <c r="F140" s="79">
        <v>0</v>
      </c>
      <c r="G140" s="79">
        <v>0</v>
      </c>
    </row>
    <row r="141" spans="1:19" x14ac:dyDescent="0.3">
      <c r="F141" s="79">
        <v>0</v>
      </c>
      <c r="G141" s="79">
        <v>0</v>
      </c>
      <c r="N141" s="65">
        <v>6</v>
      </c>
      <c r="O141" s="65">
        <v>-3</v>
      </c>
      <c r="P141" s="65">
        <v>16</v>
      </c>
      <c r="Q141" s="65"/>
      <c r="R141" s="65"/>
      <c r="S141" s="65">
        <v>19</v>
      </c>
    </row>
    <row r="142" spans="1:19" x14ac:dyDescent="0.3">
      <c r="F142" s="79">
        <v>0</v>
      </c>
      <c r="G142" s="79">
        <v>0</v>
      </c>
      <c r="O142" s="92"/>
      <c r="P142" s="92"/>
    </row>
    <row r="143" spans="1:19" x14ac:dyDescent="0.3">
      <c r="F143" s="79">
        <v>0</v>
      </c>
      <c r="G143" s="79">
        <v>0</v>
      </c>
      <c r="O143" s="92" t="s">
        <v>135</v>
      </c>
      <c r="P143" s="92" t="s">
        <v>136</v>
      </c>
      <c r="Q143" t="s">
        <v>137</v>
      </c>
    </row>
    <row r="144" spans="1:19" x14ac:dyDescent="0.3">
      <c r="A144" t="s">
        <v>103</v>
      </c>
      <c r="F144" s="79">
        <v>32524653.263801608</v>
      </c>
      <c r="G144" s="79">
        <v>33365676.423087843</v>
      </c>
      <c r="H144" s="22"/>
      <c r="I144" s="60">
        <f>+F144-F61</f>
        <v>30456687.341838866</v>
      </c>
      <c r="J144" s="60"/>
      <c r="K144" s="60"/>
      <c r="L144" s="60">
        <f>+G144-G61</f>
        <v>31270013.00730063</v>
      </c>
      <c r="O144" s="79">
        <f>8641434-252147</f>
        <v>8389287</v>
      </c>
      <c r="P144" s="79">
        <f>23305389-424664</f>
        <v>22880725</v>
      </c>
      <c r="Q144" s="22">
        <f>+O144+P144</f>
        <v>31270012</v>
      </c>
      <c r="R144" t="s">
        <v>28</v>
      </c>
    </row>
    <row r="145" spans="1:19" x14ac:dyDescent="0.3">
      <c r="A145" t="s">
        <v>104</v>
      </c>
      <c r="F145" s="79">
        <v>3911642.3720021378</v>
      </c>
      <c r="G145" s="79">
        <v>6059717.4897843599</v>
      </c>
      <c r="H145" s="22"/>
      <c r="I145" s="60">
        <f>+F145</f>
        <v>3911642.3720021378</v>
      </c>
      <c r="J145" s="60"/>
      <c r="K145" s="60"/>
      <c r="L145" s="60">
        <f>+G145</f>
        <v>6059717.4897843599</v>
      </c>
      <c r="O145" s="79">
        <v>-1873063</v>
      </c>
      <c r="P145" s="79">
        <v>7932781</v>
      </c>
      <c r="Q145" s="22">
        <f>+O145+P145</f>
        <v>6059718</v>
      </c>
    </row>
    <row r="146" spans="1:19" x14ac:dyDescent="0.3">
      <c r="A146" t="s">
        <v>105</v>
      </c>
      <c r="F146" s="79">
        <v>652745.48801687965</v>
      </c>
      <c r="G146" s="79">
        <v>2300922.3248366993</v>
      </c>
      <c r="H146" s="22"/>
      <c r="I146" s="60">
        <f>+F146</f>
        <v>652745.48801687965</v>
      </c>
      <c r="J146" s="60"/>
      <c r="K146" s="60"/>
      <c r="L146" s="60">
        <f>+G146</f>
        <v>2300922.3248366993</v>
      </c>
      <c r="O146" s="79">
        <v>-654493</v>
      </c>
      <c r="P146" s="79">
        <v>2955415</v>
      </c>
      <c r="Q146" s="22">
        <f>+O146+P146</f>
        <v>2300922</v>
      </c>
    </row>
    <row r="147" spans="1:19" x14ac:dyDescent="0.3">
      <c r="F147" s="79">
        <v>0</v>
      </c>
      <c r="G147" s="79">
        <v>0</v>
      </c>
      <c r="H147" s="22"/>
      <c r="Q147" s="22"/>
    </row>
    <row r="148" spans="1:19" x14ac:dyDescent="0.3">
      <c r="A148" t="s">
        <v>0</v>
      </c>
      <c r="F148" s="79">
        <v>37089041.123820625</v>
      </c>
      <c r="G148" s="79">
        <v>41726316.237708896</v>
      </c>
      <c r="H148" s="22"/>
      <c r="I148" s="60">
        <f>SUM(I144:I147)</f>
        <v>35021075.201857887</v>
      </c>
      <c r="J148" s="60"/>
      <c r="K148" s="60"/>
      <c r="L148" s="60">
        <f>SUM(L144:L147)</f>
        <v>39630652.821921691</v>
      </c>
      <c r="M148" t="s">
        <v>134</v>
      </c>
      <c r="O148" s="119">
        <f>SUM(O144:O147)</f>
        <v>5861731</v>
      </c>
      <c r="P148" s="60">
        <f>SUM(P144:P147)</f>
        <v>33768921</v>
      </c>
      <c r="Q148" s="22">
        <f>SUM(O148:P148)</f>
        <v>39630652</v>
      </c>
      <c r="R148" t="s">
        <v>132</v>
      </c>
    </row>
    <row r="149" spans="1:19" x14ac:dyDescent="0.3">
      <c r="A149" t="s">
        <v>81</v>
      </c>
      <c r="F149" s="79"/>
      <c r="G149" s="79"/>
      <c r="H149" s="22"/>
      <c r="Q149" s="22"/>
    </row>
    <row r="150" spans="1:19" x14ac:dyDescent="0.3">
      <c r="F150" s="79"/>
      <c r="G150" s="79"/>
      <c r="H150" s="22"/>
      <c r="Q150" s="22"/>
    </row>
    <row r="151" spans="1:19" x14ac:dyDescent="0.3">
      <c r="A151" t="s">
        <v>106</v>
      </c>
      <c r="F151" s="88">
        <v>152152.85781355813</v>
      </c>
      <c r="G151" s="88">
        <v>155446.73671678218</v>
      </c>
      <c r="I151" s="61">
        <f>+F151-$F$57</f>
        <v>139359.96693355814</v>
      </c>
      <c r="J151" s="61"/>
      <c r="K151" s="61"/>
      <c r="L151" s="61">
        <f>+G151-$G$57</f>
        <v>142621.91239678217</v>
      </c>
      <c r="P151" s="89">
        <f>+P144/L151</f>
        <v>160.42923990771166</v>
      </c>
      <c r="Q151" s="90"/>
      <c r="R151" s="90"/>
      <c r="S151" s="1"/>
    </row>
    <row r="152" spans="1:19" x14ac:dyDescent="0.3">
      <c r="A152" t="s">
        <v>107</v>
      </c>
      <c r="F152" s="88">
        <v>30468.085233681624</v>
      </c>
      <c r="G152" s="88">
        <v>48546.211989878189</v>
      </c>
      <c r="I152" s="61">
        <f>+F152</f>
        <v>30468.085233681624</v>
      </c>
      <c r="J152" s="61"/>
      <c r="K152" s="61"/>
      <c r="L152" s="61">
        <f>+G152</f>
        <v>48546.211989878189</v>
      </c>
      <c r="P152" s="89">
        <f>+P145/L152</f>
        <v>163.40679684037909</v>
      </c>
      <c r="Q152" s="90"/>
      <c r="R152" s="90"/>
      <c r="S152" s="1"/>
    </row>
    <row r="153" spans="1:19" x14ac:dyDescent="0.3">
      <c r="A153" t="s">
        <v>108</v>
      </c>
      <c r="F153" s="88">
        <v>4727.8752219254757</v>
      </c>
      <c r="G153" s="88">
        <v>18086.245532119188</v>
      </c>
      <c r="I153" s="61">
        <f>+F153</f>
        <v>4727.8752219254757</v>
      </c>
      <c r="J153" s="61"/>
      <c r="K153" s="61"/>
      <c r="L153" s="61">
        <f>+G153</f>
        <v>18086.245532119188</v>
      </c>
      <c r="P153" s="89">
        <f>+P146/L153</f>
        <v>163.4067719998331</v>
      </c>
      <c r="Q153" s="90"/>
      <c r="R153" s="90"/>
      <c r="S153" s="1"/>
    </row>
    <row r="154" spans="1:19" x14ac:dyDescent="0.3">
      <c r="F154" s="88">
        <v>0</v>
      </c>
      <c r="G154" s="88">
        <v>0</v>
      </c>
      <c r="I154" s="23"/>
      <c r="J154" s="23"/>
      <c r="K154" s="23"/>
      <c r="L154" s="23"/>
      <c r="P154" s="1"/>
      <c r="Q154" s="90"/>
      <c r="R154" s="90"/>
      <c r="S154" s="1"/>
    </row>
    <row r="155" spans="1:19" x14ac:dyDescent="0.3">
      <c r="A155" t="s">
        <v>0</v>
      </c>
      <c r="F155" s="79">
        <v>187348.81826916523</v>
      </c>
      <c r="G155" s="79">
        <v>222079.19423877954</v>
      </c>
      <c r="I155" s="61">
        <f>SUM(I151:I154)</f>
        <v>174555.92738916524</v>
      </c>
      <c r="J155" s="61"/>
      <c r="K155" s="61"/>
      <c r="L155" s="61">
        <f>SUM(L151:L154)</f>
        <v>209254.36991877953</v>
      </c>
      <c r="P155" s="89">
        <f>+P148/L155</f>
        <v>161.37737535950694</v>
      </c>
      <c r="Q155" s="59"/>
      <c r="R155" s="1"/>
      <c r="S155" s="1"/>
    </row>
    <row r="156" spans="1:19" x14ac:dyDescent="0.3">
      <c r="F156" s="79">
        <v>0</v>
      </c>
      <c r="G156" s="79">
        <v>0</v>
      </c>
      <c r="P156" s="1"/>
      <c r="Q156" s="1"/>
      <c r="R156" s="1"/>
      <c r="S156" s="1"/>
    </row>
    <row r="157" spans="1:19" x14ac:dyDescent="0.3">
      <c r="A157" t="s">
        <v>109</v>
      </c>
      <c r="F157" s="79">
        <v>187833.74443911141</v>
      </c>
      <c r="G157" s="79">
        <v>192523.48114031495</v>
      </c>
      <c r="I157" s="61">
        <f>+F157-$F$57</f>
        <v>175040.85355911142</v>
      </c>
      <c r="J157" s="61"/>
      <c r="K157" s="61"/>
      <c r="L157" s="61">
        <f>+G157-$G$57</f>
        <v>179698.65682031494</v>
      </c>
      <c r="P157" s="1"/>
      <c r="Q157" s="90"/>
      <c r="R157" s="1"/>
      <c r="S157" s="1"/>
    </row>
    <row r="158" spans="1:19" x14ac:dyDescent="0.3">
      <c r="A158" t="s">
        <v>110</v>
      </c>
      <c r="F158" s="79">
        <v>38194.303401808676</v>
      </c>
      <c r="G158" s="121">
        <v>61111.107824391889</v>
      </c>
      <c r="I158" s="61">
        <f>+F158</f>
        <v>38194.303401808676</v>
      </c>
      <c r="J158" s="61"/>
      <c r="K158" s="61"/>
      <c r="L158" s="61">
        <f>+G158</f>
        <v>61111.107824391889</v>
      </c>
      <c r="P158" s="1"/>
      <c r="Q158" s="90"/>
      <c r="R158" s="1"/>
      <c r="S158" s="1"/>
    </row>
    <row r="159" spans="1:19" x14ac:dyDescent="0.3">
      <c r="A159" t="s">
        <v>111</v>
      </c>
      <c r="F159" s="79">
        <v>6118.6522223427755</v>
      </c>
      <c r="G159" s="121">
        <v>22705.55918197057</v>
      </c>
      <c r="I159" s="61">
        <f>+F159</f>
        <v>6118.6522223427755</v>
      </c>
      <c r="J159" s="61"/>
      <c r="K159" s="61"/>
      <c r="L159" s="61">
        <f>+G159</f>
        <v>22705.55918197057</v>
      </c>
      <c r="P159" s="1"/>
      <c r="Q159" s="90"/>
      <c r="R159" s="1"/>
      <c r="S159" s="1"/>
    </row>
    <row r="160" spans="1:19" x14ac:dyDescent="0.3">
      <c r="F160" s="79">
        <v>0</v>
      </c>
      <c r="G160" s="79">
        <v>0</v>
      </c>
      <c r="I160" s="23"/>
      <c r="J160" s="23"/>
      <c r="K160" s="23"/>
      <c r="L160" s="23"/>
      <c r="P160" s="1"/>
      <c r="Q160" s="90"/>
      <c r="R160" s="1"/>
      <c r="S160" s="1"/>
    </row>
    <row r="161" spans="1:19" x14ac:dyDescent="0.3">
      <c r="A161" t="s">
        <v>0</v>
      </c>
      <c r="F161" s="81">
        <v>232146.70006326289</v>
      </c>
      <c r="G161" s="81">
        <v>276340.14814667741</v>
      </c>
      <c r="I161" s="61">
        <f>SUM(I157:I160)</f>
        <v>219353.80918326287</v>
      </c>
      <c r="J161" s="61"/>
      <c r="K161" s="61"/>
      <c r="L161" s="61">
        <f>SUM(L157:L160)</f>
        <v>263515.3238266774</v>
      </c>
      <c r="P161" s="1"/>
      <c r="Q161" s="94"/>
      <c r="R161" s="1"/>
      <c r="S161" s="1"/>
    </row>
    <row r="162" spans="1:19" x14ac:dyDescent="0.3">
      <c r="F162" s="79">
        <v>0</v>
      </c>
      <c r="G162" s="79">
        <v>0</v>
      </c>
      <c r="P162" s="1"/>
      <c r="Q162" s="1"/>
      <c r="R162" s="1"/>
      <c r="S162" s="1"/>
    </row>
    <row r="163" spans="1:19" x14ac:dyDescent="0.3">
      <c r="A163" t="s">
        <v>112</v>
      </c>
      <c r="F163" s="79">
        <v>35680.88662555327</v>
      </c>
      <c r="G163" s="79">
        <v>37076.744423532757</v>
      </c>
      <c r="I163" s="60">
        <f>+I157-I151</f>
        <v>35680.886625553278</v>
      </c>
      <c r="J163" s="60"/>
      <c r="K163" s="60"/>
      <c r="L163" s="60">
        <f>+L157-L151</f>
        <v>37076.744423532771</v>
      </c>
      <c r="P163" s="1"/>
      <c r="Q163" s="59"/>
      <c r="R163" s="1"/>
      <c r="S163" s="1"/>
    </row>
    <row r="164" spans="1:19" x14ac:dyDescent="0.3">
      <c r="A164" t="s">
        <v>113</v>
      </c>
      <c r="F164" s="79">
        <v>7726.2181681270558</v>
      </c>
      <c r="G164" s="79">
        <v>12564.895834513711</v>
      </c>
      <c r="I164" s="60">
        <f>+I158-I152</f>
        <v>7726.2181681270522</v>
      </c>
      <c r="J164" s="60"/>
      <c r="K164" s="60"/>
      <c r="L164" s="60">
        <f>+L158-L152</f>
        <v>12564.8958345137</v>
      </c>
      <c r="P164" s="1"/>
      <c r="Q164" s="59"/>
      <c r="R164" s="1"/>
      <c r="S164" s="1"/>
    </row>
    <row r="165" spans="1:19" x14ac:dyDescent="0.3">
      <c r="A165" t="s">
        <v>114</v>
      </c>
      <c r="F165" s="79">
        <v>1390.7770004173005</v>
      </c>
      <c r="G165" s="79">
        <v>4619.3136498513795</v>
      </c>
      <c r="I165" s="60">
        <f>+I159-I153</f>
        <v>1390.7770004172999</v>
      </c>
      <c r="J165" s="60"/>
      <c r="K165" s="60"/>
      <c r="L165" s="60">
        <f>+L159-L153</f>
        <v>4619.3136498513813</v>
      </c>
      <c r="P165" s="1"/>
      <c r="Q165" s="59"/>
      <c r="R165" s="1"/>
      <c r="S165" s="1"/>
    </row>
    <row r="166" spans="1:19" x14ac:dyDescent="0.3">
      <c r="F166" s="79">
        <v>0</v>
      </c>
      <c r="G166" s="79">
        <v>0</v>
      </c>
      <c r="P166" s="1"/>
      <c r="Q166" s="59"/>
      <c r="R166" s="1"/>
      <c r="S166" s="1"/>
    </row>
    <row r="167" spans="1:19" x14ac:dyDescent="0.3">
      <c r="A167" t="s">
        <v>0</v>
      </c>
      <c r="F167" s="79">
        <v>44797.88179409763</v>
      </c>
      <c r="G167" s="79">
        <v>54260.953907897856</v>
      </c>
      <c r="I167" s="60">
        <f>SUM(I163:I166)</f>
        <v>44797.88179409763</v>
      </c>
      <c r="J167" s="60"/>
      <c r="K167" s="60"/>
      <c r="L167" s="60">
        <f>SUM(L163:L166)</f>
        <v>54260.953907897856</v>
      </c>
      <c r="P167" s="1"/>
      <c r="Q167" s="59"/>
      <c r="R167" s="1"/>
      <c r="S167" s="1"/>
    </row>
    <row r="168" spans="1:19" x14ac:dyDescent="0.3">
      <c r="F168" s="79">
        <v>0</v>
      </c>
      <c r="G168" s="79">
        <v>0</v>
      </c>
      <c r="P168" s="1"/>
      <c r="Q168" s="1"/>
      <c r="R168" s="1"/>
      <c r="S168" s="1"/>
    </row>
    <row r="169" spans="1:19" x14ac:dyDescent="0.3">
      <c r="A169" t="s">
        <v>115</v>
      </c>
      <c r="F169" s="79">
        <v>213.76301261232953</v>
      </c>
      <c r="G169" s="79">
        <v>214.64378814126403</v>
      </c>
      <c r="I169" s="73">
        <f>+I144/I151</f>
        <v>218.54688984218492</v>
      </c>
      <c r="J169" s="73"/>
      <c r="K169" s="73"/>
      <c r="L169" s="73">
        <f>+L144/L151</f>
        <v>219.25111283254776</v>
      </c>
      <c r="P169" s="1"/>
      <c r="Q169" s="1"/>
      <c r="R169" s="1"/>
      <c r="S169" s="1"/>
    </row>
    <row r="170" spans="1:19" x14ac:dyDescent="0.3">
      <c r="A170" t="s">
        <v>116</v>
      </c>
      <c r="F170" s="79">
        <v>128.38490971785538</v>
      </c>
      <c r="G170" s="79">
        <v>124.82369357773582</v>
      </c>
      <c r="I170" s="73">
        <f>+I145/I152</f>
        <v>128.38490971785538</v>
      </c>
      <c r="J170" s="73"/>
      <c r="K170" s="73"/>
      <c r="L170" s="73">
        <f>+L145/L152</f>
        <v>124.82369357773582</v>
      </c>
      <c r="P170" s="1"/>
      <c r="Q170" s="1"/>
      <c r="R170" s="1"/>
      <c r="S170" s="1"/>
    </row>
    <row r="171" spans="1:19" x14ac:dyDescent="0.3">
      <c r="A171" t="s">
        <v>117</v>
      </c>
      <c r="F171" s="79">
        <v>138.06318004962964</v>
      </c>
      <c r="G171" s="79">
        <v>127.21945639577399</v>
      </c>
      <c r="I171" s="73">
        <f>+I146/I153</f>
        <v>138.06318004962964</v>
      </c>
      <c r="J171" s="73"/>
      <c r="K171" s="73"/>
      <c r="L171" s="73">
        <f>+L146/L153</f>
        <v>127.21945639577399</v>
      </c>
      <c r="P171" s="1"/>
      <c r="Q171" s="1"/>
      <c r="R171" s="1"/>
      <c r="S171" s="1"/>
    </row>
    <row r="172" spans="1:19" x14ac:dyDescent="0.3">
      <c r="F172" s="79"/>
      <c r="G172" s="79"/>
      <c r="P172" s="1"/>
      <c r="Q172" s="1"/>
      <c r="R172" s="1"/>
      <c r="S172" s="1"/>
    </row>
    <row r="173" spans="1:19" x14ac:dyDescent="0.3">
      <c r="A173" t="s">
        <v>0</v>
      </c>
      <c r="F173" s="79">
        <v>197.96784130516673</v>
      </c>
      <c r="G173" s="79">
        <v>187.88935352874509</v>
      </c>
      <c r="I173" s="73">
        <f>+I148/I155</f>
        <v>200.62953877114609</v>
      </c>
      <c r="J173" s="73"/>
      <c r="K173" s="73"/>
      <c r="L173" s="73">
        <f>+L148/L155</f>
        <v>189.38984565676705</v>
      </c>
      <c r="P173" s="1"/>
      <c r="Q173" s="1"/>
      <c r="R173" s="1"/>
      <c r="S173" s="1"/>
    </row>
    <row r="174" spans="1:19" x14ac:dyDescent="0.3">
      <c r="P174" s="1"/>
      <c r="Q174" s="1"/>
      <c r="R174" s="1"/>
      <c r="S174" s="1"/>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Summary</vt:lpstr>
      <vt:lpstr>Total Solar Impact</vt:lpstr>
      <vt:lpstr>Own Use Summary</vt:lpstr>
      <vt:lpstr>Energy Avoided Cost</vt:lpstr>
      <vt:lpstr>Peak Shaving</vt:lpstr>
      <vt:lpstr>Rate Case data</vt:lpstr>
    </vt:vector>
  </TitlesOfParts>
  <Company>Green Mountain 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Bingel, Rob</dc:creator>
  <cp:lastModifiedBy>Andrew Quint</cp:lastModifiedBy>
  <dcterms:created xsi:type="dcterms:W3CDTF">2017-07-06T18:36:36Z</dcterms:created>
  <dcterms:modified xsi:type="dcterms:W3CDTF">2019-10-24T12:49:26Z</dcterms:modified>
</cp:coreProperties>
</file>