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1020" windowWidth="12420" windowHeight="7128" tabRatio="903"/>
  </bookViews>
  <sheets>
    <sheet name="Overall Summary" sheetId="4" r:id="rId1"/>
    <sheet name="Staff Hours Summary" sheetId="27" r:id="rId2"/>
    <sheet name="SVFCM" sheetId="3" r:id="rId3"/>
    <sheet name="GT" sheetId="10" r:id="rId4"/>
    <sheet name="TAGTRM" sheetId="6" r:id="rId5"/>
    <sheet name="Mkt Characterizations" sheetId="9" r:id="rId6"/>
    <sheet name="Benchmarking" sheetId="15" r:id="rId7"/>
    <sheet name="NRA" sheetId="23" r:id="rId8"/>
    <sheet name="Admin Efficiency" sheetId="26" r:id="rId9"/>
    <sheet name="ESA CCP" sheetId="7" r:id="rId10"/>
    <sheet name="Regional" sheetId="12" r:id="rId11"/>
    <sheet name="Behavioral" sheetId="22" r:id="rId12"/>
    <sheet name="Plan&amp;Mgmt" sheetId="8" r:id="rId13"/>
    <sheet name="HPwES" sheetId="17" r:id="rId14"/>
    <sheet name="SMEEP" sheetId="14" r:id="rId15"/>
    <sheet name="RFP-Contract Process Assump" sheetId="5" r:id="rId16"/>
    <sheet name="Staff rate assump" sheetId="1" r:id="rId17"/>
    <sheet name="HPwEs (elec)" sheetId="30" r:id="rId18"/>
    <sheet name="OPA" sheetId="31" r:id="rId19"/>
    <sheet name="TEPF Potential" sheetId="34" r:id="rId20"/>
  </sheets>
  <externalReferences>
    <externalReference r:id="rId21"/>
  </externalReferences>
  <definedNames>
    <definedName name="_ftn1" localSheetId="16">'Staff rate assump'!#REF!</definedName>
    <definedName name="_ftnref1" localSheetId="16">'Staff rate assump'!#REF!</definedName>
  </definedNames>
  <calcPr calcId="145621"/>
</workbook>
</file>

<file path=xl/calcChain.xml><?xml version="1.0" encoding="utf-8"?>
<calcChain xmlns="http://schemas.openxmlformats.org/spreadsheetml/2006/main">
  <c r="C98" i="4" l="1"/>
  <c r="C90" i="4"/>
  <c r="G90" i="4" l="1"/>
  <c r="H90" i="4" s="1"/>
  <c r="G91" i="4"/>
  <c r="H91" i="4" s="1"/>
  <c r="G92" i="4"/>
  <c r="H92" i="4"/>
  <c r="G93" i="4"/>
  <c r="H93" i="4"/>
  <c r="G94" i="4"/>
  <c r="H94" i="4" s="1"/>
  <c r="G24" i="31"/>
  <c r="H24" i="31"/>
  <c r="G23" i="31"/>
  <c r="H23" i="31"/>
  <c r="F24" i="31"/>
  <c r="F23" i="31"/>
  <c r="E73" i="8"/>
  <c r="F73" i="8"/>
  <c r="E72" i="8"/>
  <c r="F72" i="8"/>
  <c r="D73" i="8"/>
  <c r="D72" i="8"/>
  <c r="I62" i="8"/>
  <c r="G63" i="8"/>
  <c r="H63" i="8"/>
  <c r="G62" i="8"/>
  <c r="H62" i="8"/>
  <c r="F63" i="8"/>
  <c r="F62" i="8"/>
  <c r="I17" i="26"/>
  <c r="I16" i="26"/>
  <c r="G17" i="26"/>
  <c r="H17" i="26"/>
  <c r="G16" i="26"/>
  <c r="H16" i="26"/>
  <c r="F17" i="26"/>
  <c r="F16" i="26"/>
  <c r="I20" i="23"/>
  <c r="I19" i="23"/>
  <c r="H20" i="23"/>
  <c r="G20" i="23"/>
  <c r="F20" i="23"/>
  <c r="G19" i="23"/>
  <c r="H19" i="23"/>
  <c r="F19" i="23"/>
  <c r="G20" i="9"/>
  <c r="H20" i="9"/>
  <c r="F20" i="9"/>
  <c r="G19" i="9"/>
  <c r="H19" i="9"/>
  <c r="F19" i="9"/>
  <c r="I20" i="9" l="1"/>
  <c r="I19" i="9"/>
  <c r="F42" i="27"/>
  <c r="F44" i="27"/>
  <c r="D44" i="27"/>
  <c r="E44" i="27"/>
  <c r="C44" i="27"/>
  <c r="D36" i="4" l="1"/>
  <c r="J36" i="4" s="1"/>
  <c r="M36" i="4" s="1"/>
  <c r="P36" i="4" s="1"/>
  <c r="S36" i="4" s="1"/>
  <c r="V36" i="4" s="1"/>
  <c r="Y36" i="4" s="1"/>
  <c r="E36" i="4"/>
  <c r="C36" i="4"/>
  <c r="G13" i="34"/>
  <c r="F23" i="34"/>
  <c r="G22" i="34"/>
  <c r="G21" i="34"/>
  <c r="G20" i="34"/>
  <c r="G19" i="34"/>
  <c r="G18" i="34"/>
  <c r="H9" i="34"/>
  <c r="H10" i="34" s="1"/>
  <c r="H15" i="34" s="1"/>
  <c r="G9" i="34"/>
  <c r="G10" i="34" s="1"/>
  <c r="G15" i="34" s="1"/>
  <c r="I8" i="34"/>
  <c r="F9" i="34"/>
  <c r="D38" i="8"/>
  <c r="E38" i="8"/>
  <c r="F38" i="8"/>
  <c r="D37" i="8"/>
  <c r="E37" i="8"/>
  <c r="F37" i="8"/>
  <c r="C38" i="8"/>
  <c r="C37" i="8"/>
  <c r="D15" i="8"/>
  <c r="E15" i="8"/>
  <c r="F15" i="8"/>
  <c r="D14" i="8"/>
  <c r="E14" i="8"/>
  <c r="F14" i="8"/>
  <c r="C15" i="8"/>
  <c r="C14" i="8"/>
  <c r="F36" i="4" l="1"/>
  <c r="H36" i="4" s="1"/>
  <c r="G23" i="34"/>
  <c r="I13" i="34" s="1"/>
  <c r="F10" i="34"/>
  <c r="I9" i="34"/>
  <c r="I7" i="34"/>
  <c r="D25" i="4"/>
  <c r="E25" i="4"/>
  <c r="K25" i="4" s="1"/>
  <c r="N25" i="4" s="1"/>
  <c r="Q25" i="4" s="1"/>
  <c r="T25" i="4" s="1"/>
  <c r="W25" i="4" s="1"/>
  <c r="C25" i="4"/>
  <c r="D36" i="27"/>
  <c r="E36" i="27"/>
  <c r="C36" i="27"/>
  <c r="G85" i="8"/>
  <c r="G92" i="8" s="1"/>
  <c r="G93" i="8" s="1"/>
  <c r="F93" i="8"/>
  <c r="H93" i="8"/>
  <c r="F96" i="8"/>
  <c r="I96" i="8" s="1"/>
  <c r="H91" i="8"/>
  <c r="G91" i="8"/>
  <c r="F91" i="8"/>
  <c r="I91" i="8" s="1"/>
  <c r="H90" i="8"/>
  <c r="G90" i="8"/>
  <c r="G89" i="8"/>
  <c r="H88" i="8"/>
  <c r="G88" i="8"/>
  <c r="H87" i="8"/>
  <c r="G87" i="8"/>
  <c r="I86" i="8"/>
  <c r="H86" i="8"/>
  <c r="H92" i="8" s="1"/>
  <c r="H98" i="8" s="1"/>
  <c r="G86" i="8"/>
  <c r="I10" i="34" l="1"/>
  <c r="F15" i="34"/>
  <c r="I15" i="34" s="1"/>
  <c r="F25" i="4"/>
  <c r="H25" i="4" s="1"/>
  <c r="G98" i="8"/>
  <c r="F92" i="8"/>
  <c r="I85" i="8"/>
  <c r="I92" i="8" l="1"/>
  <c r="F7" i="31"/>
  <c r="F13" i="31"/>
  <c r="F12" i="31"/>
  <c r="F11" i="31"/>
  <c r="F10" i="31"/>
  <c r="F9" i="31"/>
  <c r="F8" i="31"/>
  <c r="I93" i="8" l="1"/>
  <c r="F98" i="8"/>
  <c r="I98" i="8" s="1"/>
  <c r="E50" i="27"/>
  <c r="E30" i="27"/>
  <c r="F17" i="9" l="1"/>
  <c r="H7" i="10"/>
  <c r="G7" i="10"/>
  <c r="G9" i="30"/>
  <c r="H9" i="30"/>
  <c r="H10" i="30" s="1"/>
  <c r="G10" i="30"/>
  <c r="I8" i="31"/>
  <c r="I18" i="31"/>
  <c r="H13" i="31"/>
  <c r="H14" i="31" s="1"/>
  <c r="H15" i="31" s="1"/>
  <c r="H20" i="31" s="1"/>
  <c r="G13" i="31"/>
  <c r="I13" i="31"/>
  <c r="G22" i="30"/>
  <c r="G21" i="30"/>
  <c r="G23" i="30" s="1"/>
  <c r="F13" i="30" s="1"/>
  <c r="I13" i="30" s="1"/>
  <c r="G20" i="30"/>
  <c r="G19" i="30"/>
  <c r="G18" i="30"/>
  <c r="F8" i="30"/>
  <c r="F23" i="30"/>
  <c r="G15" i="30"/>
  <c r="D16" i="4" s="1"/>
  <c r="I8" i="30"/>
  <c r="E42" i="4" l="1"/>
  <c r="E19" i="4"/>
  <c r="H15" i="30"/>
  <c r="E16" i="4" s="1"/>
  <c r="E26" i="27"/>
  <c r="D26" i="27"/>
  <c r="F14" i="31"/>
  <c r="F9" i="17"/>
  <c r="G7" i="26"/>
  <c r="H7" i="3"/>
  <c r="G7" i="3"/>
  <c r="F7" i="3"/>
  <c r="C50" i="27" l="1"/>
  <c r="C30" i="27"/>
  <c r="F15" i="31"/>
  <c r="L25" i="8"/>
  <c r="K25" i="8"/>
  <c r="J25" i="8"/>
  <c r="F8" i="22"/>
  <c r="H9" i="10"/>
  <c r="H14" i="10"/>
  <c r="M15" i="10"/>
  <c r="S8" i="10"/>
  <c r="I9" i="17"/>
  <c r="F8" i="17"/>
  <c r="H8" i="15"/>
  <c r="H9" i="15"/>
  <c r="G8" i="15"/>
  <c r="F8" i="15"/>
  <c r="G6" i="15"/>
  <c r="G9" i="15" s="1"/>
  <c r="I14" i="22"/>
  <c r="H9" i="22"/>
  <c r="F9" i="22"/>
  <c r="G36" i="3"/>
  <c r="F30" i="3"/>
  <c r="G30" i="3"/>
  <c r="H30" i="3"/>
  <c r="H25" i="3"/>
  <c r="G25" i="3"/>
  <c r="F25" i="3"/>
  <c r="H8" i="3"/>
  <c r="G8" i="3"/>
  <c r="F8" i="3"/>
  <c r="F8" i="9"/>
  <c r="F7" i="9"/>
  <c r="F6" i="9"/>
  <c r="G27" i="12"/>
  <c r="F27" i="12"/>
  <c r="E27" i="12"/>
  <c r="G26" i="12"/>
  <c r="F26" i="12"/>
  <c r="H55" i="8"/>
  <c r="F55" i="8"/>
  <c r="F59" i="8" s="1"/>
  <c r="I59" i="8" s="1"/>
  <c r="F25" i="15"/>
  <c r="F9" i="15"/>
  <c r="F10" i="15"/>
  <c r="C9" i="5"/>
  <c r="H8" i="23"/>
  <c r="I8" i="23" s="1"/>
  <c r="H10" i="23"/>
  <c r="E48" i="27" s="1"/>
  <c r="G6" i="26"/>
  <c r="I6" i="26"/>
  <c r="G9" i="9"/>
  <c r="F6" i="3"/>
  <c r="H6" i="3"/>
  <c r="I8" i="17"/>
  <c r="F10" i="22"/>
  <c r="C29" i="27" s="1"/>
  <c r="F23" i="3"/>
  <c r="H23" i="3"/>
  <c r="H27" i="3" s="1"/>
  <c r="F9" i="10"/>
  <c r="F10" i="10" s="1"/>
  <c r="H23" i="10"/>
  <c r="H27" i="10"/>
  <c r="E18" i="27"/>
  <c r="G25" i="15"/>
  <c r="H25" i="15"/>
  <c r="E21" i="27"/>
  <c r="L9" i="12"/>
  <c r="G6" i="12" s="1"/>
  <c r="G8" i="12" s="1"/>
  <c r="F56" i="27"/>
  <c r="F37" i="27"/>
  <c r="L35" i="4"/>
  <c r="O35" i="4" s="1"/>
  <c r="R35" i="4" s="1"/>
  <c r="U35" i="4" s="1"/>
  <c r="X35" i="4" s="1"/>
  <c r="F70" i="8"/>
  <c r="E26" i="4"/>
  <c r="K26" i="4" s="1"/>
  <c r="N26" i="4" s="1"/>
  <c r="Q26" i="4" s="1"/>
  <c r="T26" i="4" s="1"/>
  <c r="W26" i="4" s="1"/>
  <c r="E70" i="8"/>
  <c r="D70" i="8"/>
  <c r="C26" i="4"/>
  <c r="I26" i="4" s="1"/>
  <c r="L26" i="4" s="1"/>
  <c r="O26" i="4" s="1"/>
  <c r="R26" i="4" s="1"/>
  <c r="U26" i="4" s="1"/>
  <c r="X26" i="4" s="1"/>
  <c r="F50" i="8"/>
  <c r="E35" i="27"/>
  <c r="H56" i="8"/>
  <c r="H57" i="8"/>
  <c r="H58" i="8"/>
  <c r="E50" i="8"/>
  <c r="G50" i="8"/>
  <c r="G56" i="8"/>
  <c r="G57" i="8"/>
  <c r="G58" i="8"/>
  <c r="D50" i="8"/>
  <c r="D51" i="8"/>
  <c r="F56" i="8"/>
  <c r="I56" i="8"/>
  <c r="F57" i="8"/>
  <c r="I57" i="8"/>
  <c r="F58" i="8"/>
  <c r="I58" i="8"/>
  <c r="C23" i="4"/>
  <c r="D46" i="4"/>
  <c r="E46" i="4"/>
  <c r="K46" i="4" s="1"/>
  <c r="N46" i="4" s="1"/>
  <c r="Q46" i="4" s="1"/>
  <c r="T46" i="4" s="1"/>
  <c r="W46" i="4" s="1"/>
  <c r="D23" i="4"/>
  <c r="E23" i="4"/>
  <c r="C11" i="8"/>
  <c r="C12" i="8" s="1"/>
  <c r="D11" i="8"/>
  <c r="F11" i="8" s="1"/>
  <c r="E11" i="8"/>
  <c r="E53" i="27"/>
  <c r="I12" i="26"/>
  <c r="F10" i="23"/>
  <c r="G10" i="23"/>
  <c r="C31" i="8"/>
  <c r="D31" i="8"/>
  <c r="D34" i="27" s="1"/>
  <c r="E31" i="8"/>
  <c r="E34" i="27"/>
  <c r="H10" i="10"/>
  <c r="H16" i="10" s="1"/>
  <c r="E8" i="4" s="1"/>
  <c r="N35" i="4"/>
  <c r="Q35" i="4" s="1"/>
  <c r="T35" i="4" s="1"/>
  <c r="W35" i="4" s="1"/>
  <c r="I26" i="3"/>
  <c r="E36" i="3"/>
  <c r="C33" i="17"/>
  <c r="F6" i="7"/>
  <c r="K23" i="17"/>
  <c r="I9" i="23"/>
  <c r="C11" i="14"/>
  <c r="C12" i="14" s="1"/>
  <c r="D11" i="14"/>
  <c r="D12" i="14" s="1"/>
  <c r="D17" i="14" s="1"/>
  <c r="E11" i="14"/>
  <c r="F15" i="14"/>
  <c r="F7" i="14"/>
  <c r="F10" i="14"/>
  <c r="F9" i="14"/>
  <c r="F8" i="14"/>
  <c r="H21" i="17"/>
  <c r="H22" i="17"/>
  <c r="H28" i="17" s="1"/>
  <c r="F10" i="17" s="1"/>
  <c r="I10" i="17" s="1"/>
  <c r="H26" i="17"/>
  <c r="K21" i="17"/>
  <c r="K22" i="17"/>
  <c r="K24" i="17"/>
  <c r="K28" i="17" s="1"/>
  <c r="K30" i="17" s="1"/>
  <c r="F15" i="17" s="1"/>
  <c r="K25" i="17"/>
  <c r="K26" i="17"/>
  <c r="H11" i="17"/>
  <c r="I7" i="26"/>
  <c r="H8" i="26"/>
  <c r="F8" i="26"/>
  <c r="I15" i="23"/>
  <c r="I7" i="23"/>
  <c r="I6" i="23"/>
  <c r="F35" i="8"/>
  <c r="G69" i="8"/>
  <c r="G68" i="8"/>
  <c r="G67" i="8"/>
  <c r="F19" i="7"/>
  <c r="F20" i="7"/>
  <c r="F18" i="7"/>
  <c r="F7" i="7"/>
  <c r="F8" i="7"/>
  <c r="F9" i="7"/>
  <c r="F24" i="8"/>
  <c r="F25" i="8"/>
  <c r="F26" i="8"/>
  <c r="F27" i="8"/>
  <c r="F28" i="8"/>
  <c r="F29" i="8"/>
  <c r="F30" i="8"/>
  <c r="F23" i="8"/>
  <c r="L13" i="12"/>
  <c r="E21" i="7"/>
  <c r="E22" i="7"/>
  <c r="D21" i="7"/>
  <c r="D22" i="7"/>
  <c r="C21" i="7"/>
  <c r="D10" i="7"/>
  <c r="C10" i="7"/>
  <c r="E10" i="7"/>
  <c r="E11" i="7"/>
  <c r="G9" i="22"/>
  <c r="I9" i="22"/>
  <c r="F9" i="8"/>
  <c r="F10" i="8"/>
  <c r="G49" i="8"/>
  <c r="P25" i="9"/>
  <c r="Q25" i="9"/>
  <c r="R25" i="9"/>
  <c r="P24" i="9"/>
  <c r="Q24" i="9"/>
  <c r="R24" i="9"/>
  <c r="H29" i="9"/>
  <c r="H39" i="9"/>
  <c r="G48" i="8"/>
  <c r="F8" i="8"/>
  <c r="F7" i="8"/>
  <c r="N13" i="6"/>
  <c r="I14" i="9"/>
  <c r="P33" i="9"/>
  <c r="Q33" i="9"/>
  <c r="R33" i="9"/>
  <c r="O32" i="9"/>
  <c r="I22" i="15"/>
  <c r="I23" i="15"/>
  <c r="I24" i="15"/>
  <c r="I21" i="15"/>
  <c r="H22" i="10"/>
  <c r="Q17" i="10"/>
  <c r="Q18" i="10" s="1"/>
  <c r="L15" i="10" s="1"/>
  <c r="N15" i="10" s="1"/>
  <c r="I7" i="12"/>
  <c r="T15" i="15"/>
  <c r="T16" i="15"/>
  <c r="N14" i="15"/>
  <c r="O14" i="15"/>
  <c r="P14" i="15"/>
  <c r="Q14" i="15"/>
  <c r="R14" i="15"/>
  <c r="H14" i="15"/>
  <c r="I14" i="15"/>
  <c r="I7" i="15"/>
  <c r="I6" i="15"/>
  <c r="K26" i="10"/>
  <c r="K22" i="10"/>
  <c r="K23" i="10"/>
  <c r="K30" i="10" s="1"/>
  <c r="K24" i="10"/>
  <c r="K25" i="10"/>
  <c r="K27" i="10"/>
  <c r="K21" i="10"/>
  <c r="H28" i="10"/>
  <c r="H29" i="10"/>
  <c r="H21" i="10"/>
  <c r="H30" i="10" s="1"/>
  <c r="H34" i="9"/>
  <c r="H37" i="9"/>
  <c r="H38" i="9"/>
  <c r="H24" i="9"/>
  <c r="H27" i="9"/>
  <c r="H28" i="9"/>
  <c r="P32" i="9"/>
  <c r="Q32" i="9"/>
  <c r="R32" i="9"/>
  <c r="N18" i="3"/>
  <c r="O18" i="3"/>
  <c r="K31" i="6"/>
  <c r="H31" i="6"/>
  <c r="K30" i="6"/>
  <c r="K32" i="6"/>
  <c r="H30" i="6"/>
  <c r="H32" i="6"/>
  <c r="K23" i="6"/>
  <c r="K24" i="6"/>
  <c r="K25" i="6"/>
  <c r="K22" i="6"/>
  <c r="H23" i="6"/>
  <c r="H24" i="6"/>
  <c r="H25" i="6"/>
  <c r="H22" i="6"/>
  <c r="H26" i="6" s="1"/>
  <c r="F7" i="6"/>
  <c r="H7" i="6"/>
  <c r="G7" i="6"/>
  <c r="H24" i="3"/>
  <c r="G24" i="3"/>
  <c r="F24" i="3"/>
  <c r="I14" i="6"/>
  <c r="I15" i="9"/>
  <c r="E12" i="14"/>
  <c r="E17" i="14"/>
  <c r="I8" i="15"/>
  <c r="I6" i="6"/>
  <c r="D24" i="27"/>
  <c r="G11" i="23"/>
  <c r="G17" i="23"/>
  <c r="D48" i="27"/>
  <c r="E33" i="27"/>
  <c r="D35" i="27"/>
  <c r="D54" i="27"/>
  <c r="E12" i="8"/>
  <c r="E45" i="4"/>
  <c r="K45" i="4" s="1"/>
  <c r="N45" i="4" s="1"/>
  <c r="Q45" i="4" s="1"/>
  <c r="T45" i="4" s="1"/>
  <c r="W45" i="4" s="1"/>
  <c r="E54" i="27"/>
  <c r="F6" i="12"/>
  <c r="H6" i="12"/>
  <c r="H8" i="12" s="1"/>
  <c r="C32" i="17"/>
  <c r="F32" i="17" s="1"/>
  <c r="E35" i="4" s="1"/>
  <c r="F33" i="17"/>
  <c r="I7" i="6"/>
  <c r="I7" i="10"/>
  <c r="D11" i="7"/>
  <c r="C24" i="27"/>
  <c r="C48" i="27"/>
  <c r="F51" i="8"/>
  <c r="F11" i="23"/>
  <c r="F17" i="23"/>
  <c r="E25" i="27"/>
  <c r="C35" i="27"/>
  <c r="C46" i="4"/>
  <c r="I46" i="4" s="1"/>
  <c r="L46" i="4" s="1"/>
  <c r="O46" i="4" s="1"/>
  <c r="R46" i="4" s="1"/>
  <c r="U46" i="4" s="1"/>
  <c r="X46" i="4" s="1"/>
  <c r="E22" i="4"/>
  <c r="K22" i="4" s="1"/>
  <c r="N22" i="4" s="1"/>
  <c r="Q22" i="4" s="1"/>
  <c r="T22" i="4" s="1"/>
  <c r="W22" i="4" s="1"/>
  <c r="I13" i="3"/>
  <c r="C11" i="4"/>
  <c r="F16" i="15"/>
  <c r="H10" i="15"/>
  <c r="C21" i="27"/>
  <c r="G10" i="22"/>
  <c r="G11" i="22" s="1"/>
  <c r="G18" i="22" s="1"/>
  <c r="D27" i="27"/>
  <c r="E27" i="27"/>
  <c r="D24" i="7"/>
  <c r="D17" i="4"/>
  <c r="I30" i="3"/>
  <c r="I23" i="3"/>
  <c r="I27" i="3" s="1"/>
  <c r="I6" i="3"/>
  <c r="G27" i="3"/>
  <c r="D17" i="27"/>
  <c r="G9" i="3"/>
  <c r="I8" i="3"/>
  <c r="I7" i="9"/>
  <c r="F9" i="9"/>
  <c r="F10" i="9" s="1"/>
  <c r="C20" i="27"/>
  <c r="G70" i="8"/>
  <c r="E48" i="4"/>
  <c r="K48" i="4" s="1"/>
  <c r="N48" i="4" s="1"/>
  <c r="Q48" i="4" s="1"/>
  <c r="T48" i="4" s="1"/>
  <c r="W48" i="4" s="1"/>
  <c r="C48" i="4"/>
  <c r="I48" i="4" s="1"/>
  <c r="L48" i="4" s="1"/>
  <c r="O48" i="4" s="1"/>
  <c r="R48" i="4" s="1"/>
  <c r="U48" i="4" s="1"/>
  <c r="X48" i="4" s="1"/>
  <c r="G59" i="8"/>
  <c r="H59" i="8"/>
  <c r="H60" i="8" s="1"/>
  <c r="E47" i="4" s="1"/>
  <c r="K47" i="4" s="1"/>
  <c r="N47" i="4" s="1"/>
  <c r="Q47" i="4" s="1"/>
  <c r="T47" i="4" s="1"/>
  <c r="W47" i="4" s="1"/>
  <c r="E51" i="8"/>
  <c r="G51" i="8"/>
  <c r="D20" i="27"/>
  <c r="D47" i="27"/>
  <c r="G10" i="9"/>
  <c r="G17" i="9"/>
  <c r="D10" i="4"/>
  <c r="G11" i="17"/>
  <c r="G12" i="17" s="1"/>
  <c r="G17" i="17" s="1"/>
  <c r="I6" i="9"/>
  <c r="F9" i="3"/>
  <c r="C61" i="27" s="1"/>
  <c r="G8" i="26"/>
  <c r="D49" i="27" s="1"/>
  <c r="E24" i="7"/>
  <c r="E17" i="4"/>
  <c r="I17" i="4" s="1"/>
  <c r="K17" i="4" s="1"/>
  <c r="M17" i="4" s="1"/>
  <c r="O17" i="4" s="1"/>
  <c r="Q17" i="4" s="1"/>
  <c r="S17" i="4" s="1"/>
  <c r="U17" i="4" s="1"/>
  <c r="W17" i="4" s="1"/>
  <c r="Y17" i="4" s="1"/>
  <c r="C40" i="4"/>
  <c r="C14" i="4"/>
  <c r="I14" i="4" s="1"/>
  <c r="L14" i="4" s="1"/>
  <c r="O14" i="4" s="1"/>
  <c r="R14" i="4" s="1"/>
  <c r="U14" i="4" s="1"/>
  <c r="X14" i="4" s="1"/>
  <c r="F15" i="12"/>
  <c r="D40" i="4"/>
  <c r="J40" i="4" s="1"/>
  <c r="M40" i="4" s="1"/>
  <c r="P40" i="4" s="1"/>
  <c r="S40" i="4" s="1"/>
  <c r="V40" i="4" s="1"/>
  <c r="Y40" i="4" s="1"/>
  <c r="D14" i="4"/>
  <c r="J14" i="4" s="1"/>
  <c r="M14" i="4" s="1"/>
  <c r="P14" i="4" s="1"/>
  <c r="S14" i="4" s="1"/>
  <c r="V14" i="4" s="1"/>
  <c r="Y14" i="4" s="1"/>
  <c r="P18" i="3"/>
  <c r="C27" i="27"/>
  <c r="F10" i="7"/>
  <c r="C11" i="7"/>
  <c r="F11" i="7"/>
  <c r="C53" i="27"/>
  <c r="D39" i="4"/>
  <c r="F9" i="26"/>
  <c r="C49" i="27"/>
  <c r="C25" i="27"/>
  <c r="I13" i="12"/>
  <c r="H9" i="3"/>
  <c r="E61" i="27" s="1"/>
  <c r="I7" i="3"/>
  <c r="I25" i="3"/>
  <c r="D29" i="27"/>
  <c r="I24" i="3"/>
  <c r="F27" i="3"/>
  <c r="C17" i="27" s="1"/>
  <c r="K26" i="6"/>
  <c r="C22" i="7"/>
  <c r="F21" i="7"/>
  <c r="I10" i="23"/>
  <c r="H40" i="9"/>
  <c r="H30" i="9"/>
  <c r="H9" i="26"/>
  <c r="H14" i="26"/>
  <c r="E49" i="27"/>
  <c r="E43" i="27"/>
  <c r="H12" i="17"/>
  <c r="O13" i="6"/>
  <c r="N16" i="6"/>
  <c r="C34" i="27"/>
  <c r="C54" i="27"/>
  <c r="H16" i="15"/>
  <c r="E11" i="4"/>
  <c r="K11" i="4" s="1"/>
  <c r="N11" i="4" s="1"/>
  <c r="Q11" i="4" s="1"/>
  <c r="T11" i="4" s="1"/>
  <c r="W11" i="4" s="1"/>
  <c r="G28" i="3"/>
  <c r="G32" i="3"/>
  <c r="D61" i="27"/>
  <c r="G10" i="3"/>
  <c r="G15" i="3" s="1"/>
  <c r="G60" i="8"/>
  <c r="F10" i="3"/>
  <c r="F15" i="3" s="1"/>
  <c r="O16" i="6"/>
  <c r="P13" i="6"/>
  <c r="P16" i="6"/>
  <c r="G15" i="12"/>
  <c r="H15" i="12"/>
  <c r="D48" i="4"/>
  <c r="J48" i="4" s="1"/>
  <c r="M48" i="4" s="1"/>
  <c r="P48" i="4" s="1"/>
  <c r="S48" i="4" s="1"/>
  <c r="V48" i="4" s="1"/>
  <c r="Y48" i="4" s="1"/>
  <c r="G73" i="8"/>
  <c r="D26" i="4"/>
  <c r="J26" i="4" s="1"/>
  <c r="M26" i="4" s="1"/>
  <c r="P26" i="4" s="1"/>
  <c r="S26" i="4" s="1"/>
  <c r="V26" i="4" s="1"/>
  <c r="Y26" i="4" s="1"/>
  <c r="G72" i="8"/>
  <c r="I8" i="9"/>
  <c r="H9" i="9"/>
  <c r="F22" i="7"/>
  <c r="C24" i="7"/>
  <c r="F14" i="26"/>
  <c r="I14" i="12"/>
  <c r="E41" i="4"/>
  <c r="K41" i="4" s="1"/>
  <c r="N41" i="4" s="1"/>
  <c r="Q41" i="4" s="1"/>
  <c r="T41" i="4" s="1"/>
  <c r="W41" i="4" s="1"/>
  <c r="E15" i="4"/>
  <c r="K15" i="4" s="1"/>
  <c r="N15" i="4" s="1"/>
  <c r="Q15" i="4" s="1"/>
  <c r="T15" i="4" s="1"/>
  <c r="W15" i="4" s="1"/>
  <c r="I15" i="12"/>
  <c r="C17" i="4"/>
  <c r="F24" i="7"/>
  <c r="E47" i="27"/>
  <c r="E20" i="27"/>
  <c r="H10" i="9"/>
  <c r="D47" i="4"/>
  <c r="J47" i="4" s="1"/>
  <c r="M47" i="4" s="1"/>
  <c r="P47" i="4" s="1"/>
  <c r="S47" i="4" s="1"/>
  <c r="V47" i="4" s="1"/>
  <c r="Y47" i="4" s="1"/>
  <c r="C15" i="4"/>
  <c r="I15" i="4" s="1"/>
  <c r="L15" i="4" s="1"/>
  <c r="O15" i="4" s="1"/>
  <c r="R15" i="4" s="1"/>
  <c r="U15" i="4" s="1"/>
  <c r="X15" i="4" s="1"/>
  <c r="C41" i="4"/>
  <c r="I41" i="4" s="1"/>
  <c r="L41" i="4" s="1"/>
  <c r="O41" i="4" s="1"/>
  <c r="R41" i="4" s="1"/>
  <c r="U41" i="4" s="1"/>
  <c r="X41" i="4" s="1"/>
  <c r="D24" i="4"/>
  <c r="J25" i="4" s="1"/>
  <c r="M25" i="4" s="1"/>
  <c r="P25" i="4" s="1"/>
  <c r="S25" i="4" s="1"/>
  <c r="V25" i="4" s="1"/>
  <c r="Y25" i="4" s="1"/>
  <c r="D7" i="4"/>
  <c r="H17" i="9"/>
  <c r="I35" i="3"/>
  <c r="E39" i="4"/>
  <c r="E10" i="4"/>
  <c r="K10" i="4" l="1"/>
  <c r="N10" i="4" s="1"/>
  <c r="Q10" i="4" s="1"/>
  <c r="T10" i="4" s="1"/>
  <c r="W10" i="4" s="1"/>
  <c r="J39" i="4"/>
  <c r="M39" i="4" s="1"/>
  <c r="P39" i="4" s="1"/>
  <c r="S39" i="4" s="1"/>
  <c r="V39" i="4" s="1"/>
  <c r="Y39" i="4" s="1"/>
  <c r="J10" i="4"/>
  <c r="M10" i="4" s="1"/>
  <c r="P10" i="4" s="1"/>
  <c r="S10" i="4" s="1"/>
  <c r="V10" i="4" s="1"/>
  <c r="Y10" i="4" s="1"/>
  <c r="K24" i="4"/>
  <c r="N24" i="4" s="1"/>
  <c r="Q24" i="4" s="1"/>
  <c r="T24" i="4" s="1"/>
  <c r="W24" i="4" s="1"/>
  <c r="K23" i="4"/>
  <c r="N23" i="4" s="1"/>
  <c r="Q23" i="4" s="1"/>
  <c r="T23" i="4" s="1"/>
  <c r="W23" i="4" s="1"/>
  <c r="I24" i="4"/>
  <c r="L24" i="4" s="1"/>
  <c r="O24" i="4" s="1"/>
  <c r="R24" i="4" s="1"/>
  <c r="U24" i="4" s="1"/>
  <c r="X24" i="4" s="1"/>
  <c r="I23" i="4"/>
  <c r="L23" i="4" s="1"/>
  <c r="O23" i="4" s="1"/>
  <c r="R23" i="4" s="1"/>
  <c r="U23" i="4" s="1"/>
  <c r="X23" i="4" s="1"/>
  <c r="J24" i="4"/>
  <c r="M24" i="4" s="1"/>
  <c r="P24" i="4" s="1"/>
  <c r="S24" i="4" s="1"/>
  <c r="V24" i="4" s="1"/>
  <c r="Y24" i="4" s="1"/>
  <c r="J23" i="4"/>
  <c r="M23" i="4" s="1"/>
  <c r="P23" i="4" s="1"/>
  <c r="S23" i="4" s="1"/>
  <c r="V23" i="4" s="1"/>
  <c r="Y23" i="4" s="1"/>
  <c r="D56" i="4"/>
  <c r="C56" i="4"/>
  <c r="I55" i="8"/>
  <c r="E24" i="4"/>
  <c r="F60" i="8"/>
  <c r="F26" i="4"/>
  <c r="H26" i="4" s="1"/>
  <c r="I10" i="9"/>
  <c r="I17" i="9" s="1"/>
  <c r="E17" i="27"/>
  <c r="F17" i="27" s="1"/>
  <c r="H28" i="3"/>
  <c r="H32" i="3" s="1"/>
  <c r="H36" i="3" s="1"/>
  <c r="E7" i="4" s="1"/>
  <c r="D21" i="27"/>
  <c r="F21" i="27" s="1"/>
  <c r="G10" i="15"/>
  <c r="I9" i="15"/>
  <c r="E24" i="27"/>
  <c r="F24" i="27" s="1"/>
  <c r="I9" i="9"/>
  <c r="F28" i="3"/>
  <c r="D25" i="27"/>
  <c r="F25" i="27" s="1"/>
  <c r="C47" i="27"/>
  <c r="F47" i="27" s="1"/>
  <c r="F7" i="30"/>
  <c r="H8" i="22"/>
  <c r="H10" i="22" s="1"/>
  <c r="E29" i="27" s="1"/>
  <c r="F29" i="27" s="1"/>
  <c r="G6" i="10"/>
  <c r="I6" i="10" s="1"/>
  <c r="F11" i="22"/>
  <c r="F18" i="22" s="1"/>
  <c r="C29" i="4" s="1"/>
  <c r="I19" i="4" s="1"/>
  <c r="L19" i="4" s="1"/>
  <c r="P19" i="4" s="1"/>
  <c r="T19" i="4" s="1"/>
  <c r="X19" i="4" s="1"/>
  <c r="G9" i="26"/>
  <c r="G14" i="26" s="1"/>
  <c r="H11" i="23"/>
  <c r="F54" i="27"/>
  <c r="F48" i="27"/>
  <c r="F20" i="31"/>
  <c r="F17" i="4"/>
  <c r="F48" i="4"/>
  <c r="H48" i="4" s="1"/>
  <c r="F31" i="8"/>
  <c r="D41" i="4"/>
  <c r="J41" i="4" s="1"/>
  <c r="M41" i="4" s="1"/>
  <c r="P41" i="4" s="1"/>
  <c r="S41" i="4" s="1"/>
  <c r="V41" i="4" s="1"/>
  <c r="Y41" i="4" s="1"/>
  <c r="D15" i="4"/>
  <c r="J15" i="4" s="1"/>
  <c r="M15" i="4" s="1"/>
  <c r="P15" i="4" s="1"/>
  <c r="S15" i="4" s="1"/>
  <c r="V15" i="4" s="1"/>
  <c r="Y15" i="4" s="1"/>
  <c r="I8" i="26"/>
  <c r="I9" i="26"/>
  <c r="I14" i="26" s="1"/>
  <c r="F49" i="27"/>
  <c r="H10" i="3"/>
  <c r="F61" i="27"/>
  <c r="I9" i="3"/>
  <c r="D32" i="8"/>
  <c r="E32" i="8"/>
  <c r="C32" i="8"/>
  <c r="C22" i="4"/>
  <c r="I22" i="4" s="1"/>
  <c r="L22" i="4" s="1"/>
  <c r="O22" i="4" s="1"/>
  <c r="R22" i="4" s="1"/>
  <c r="U22" i="4" s="1"/>
  <c r="X22" i="4" s="1"/>
  <c r="C45" i="4"/>
  <c r="I45" i="4" s="1"/>
  <c r="L45" i="4" s="1"/>
  <c r="O45" i="4" s="1"/>
  <c r="R45" i="4" s="1"/>
  <c r="U45" i="4" s="1"/>
  <c r="X45" i="4" s="1"/>
  <c r="C33" i="27"/>
  <c r="D33" i="27"/>
  <c r="D53" i="27"/>
  <c r="F53" i="27" s="1"/>
  <c r="D12" i="8"/>
  <c r="D29" i="4"/>
  <c r="J19" i="4" s="1"/>
  <c r="N19" i="4" s="1"/>
  <c r="R19" i="4" s="1"/>
  <c r="V19" i="4" s="1"/>
  <c r="I6" i="12"/>
  <c r="H9" i="12"/>
  <c r="H17" i="12" s="1"/>
  <c r="E62" i="27"/>
  <c r="E63" i="27" s="1"/>
  <c r="E8" i="27" s="1"/>
  <c r="E28" i="27"/>
  <c r="G9" i="12"/>
  <c r="G17" i="12" s="1"/>
  <c r="D62" i="27"/>
  <c r="D63" i="27" s="1"/>
  <c r="D8" i="27" s="1"/>
  <c r="D28" i="27"/>
  <c r="F8" i="12"/>
  <c r="G8" i="6"/>
  <c r="G9" i="6" s="1"/>
  <c r="H8" i="6"/>
  <c r="H9" i="6" s="1"/>
  <c r="F8" i="6"/>
  <c r="F12" i="14"/>
  <c r="C17" i="14"/>
  <c r="F17" i="14" s="1"/>
  <c r="F11" i="14"/>
  <c r="F27" i="27"/>
  <c r="E57" i="27"/>
  <c r="E7" i="27" s="1"/>
  <c r="F34" i="27"/>
  <c r="F20" i="27"/>
  <c r="F35" i="27"/>
  <c r="J35" i="4"/>
  <c r="E33" i="17"/>
  <c r="I15" i="17"/>
  <c r="F11" i="17"/>
  <c r="D43" i="27"/>
  <c r="E32" i="17"/>
  <c r="I40" i="4"/>
  <c r="L40" i="4" s="1"/>
  <c r="O40" i="4" s="1"/>
  <c r="R40" i="4" s="1"/>
  <c r="U40" i="4" s="1"/>
  <c r="X40" i="4" s="1"/>
  <c r="K39" i="4"/>
  <c r="F23" i="4"/>
  <c r="H23" i="4" s="1"/>
  <c r="J46" i="4"/>
  <c r="M46" i="4" s="1"/>
  <c r="P46" i="4" s="1"/>
  <c r="S46" i="4" s="1"/>
  <c r="V46" i="4" s="1"/>
  <c r="Y46" i="4" s="1"/>
  <c r="F46" i="4"/>
  <c r="H46" i="4" s="1"/>
  <c r="I11" i="4"/>
  <c r="L11" i="4" s="1"/>
  <c r="O11" i="4" s="1"/>
  <c r="R11" i="4" s="1"/>
  <c r="U11" i="4" s="1"/>
  <c r="X11" i="4" s="1"/>
  <c r="C18" i="27"/>
  <c r="I8" i="10"/>
  <c r="F16" i="10"/>
  <c r="C8" i="4" s="1"/>
  <c r="O15" i="10"/>
  <c r="P15" i="10" s="1"/>
  <c r="M35" i="4" l="1"/>
  <c r="N39" i="4"/>
  <c r="J17" i="4"/>
  <c r="L17" i="4" s="1"/>
  <c r="N17" i="4" s="1"/>
  <c r="P17" i="4" s="1"/>
  <c r="R17" i="4" s="1"/>
  <c r="T17" i="4" s="1"/>
  <c r="V17" i="4" s="1"/>
  <c r="X17" i="4" s="1"/>
  <c r="H17" i="4"/>
  <c r="F52" i="27"/>
  <c r="I60" i="8"/>
  <c r="F33" i="27"/>
  <c r="C19" i="4"/>
  <c r="C42" i="4"/>
  <c r="M19" i="4"/>
  <c r="Q19" i="4" s="1"/>
  <c r="U19" i="4" s="1"/>
  <c r="Y19" i="4" s="1"/>
  <c r="I7" i="4"/>
  <c r="F41" i="4"/>
  <c r="H41" i="4" s="1"/>
  <c r="F32" i="3"/>
  <c r="I28" i="3"/>
  <c r="I11" i="23"/>
  <c r="I17" i="23" s="1"/>
  <c r="H17" i="23"/>
  <c r="I10" i="22"/>
  <c r="G9" i="10"/>
  <c r="G10" i="10" s="1"/>
  <c r="H11" i="22"/>
  <c r="I7" i="30"/>
  <c r="F9" i="30"/>
  <c r="I8" i="22"/>
  <c r="C10" i="4"/>
  <c r="C39" i="4"/>
  <c r="F15" i="4"/>
  <c r="H15" i="4" s="1"/>
  <c r="I7" i="31"/>
  <c r="G14" i="31"/>
  <c r="G16" i="15"/>
  <c r="D11" i="4" s="1"/>
  <c r="F11" i="4" s="1"/>
  <c r="H11" i="4" s="1"/>
  <c r="I10" i="15"/>
  <c r="I16" i="15" s="1"/>
  <c r="H15" i="3"/>
  <c r="I10" i="3"/>
  <c r="I15" i="3" s="1"/>
  <c r="F32" i="8"/>
  <c r="F32" i="27"/>
  <c r="F12" i="8"/>
  <c r="F9" i="12"/>
  <c r="I8" i="12"/>
  <c r="C62" i="27"/>
  <c r="C28" i="27"/>
  <c r="F28" i="27" s="1"/>
  <c r="H20" i="12"/>
  <c r="E57" i="4" s="1"/>
  <c r="H21" i="12"/>
  <c r="E18" i="4" s="1"/>
  <c r="I18" i="4" s="1"/>
  <c r="G20" i="12"/>
  <c r="D57" i="4" s="1"/>
  <c r="D59" i="4" s="1"/>
  <c r="G21" i="12"/>
  <c r="D18" i="4" s="1"/>
  <c r="H10" i="6"/>
  <c r="H16" i="6" s="1"/>
  <c r="E19" i="27"/>
  <c r="E39" i="27" s="1"/>
  <c r="E6" i="27" s="1"/>
  <c r="E9" i="27" s="1"/>
  <c r="E10" i="27" s="1"/>
  <c r="I8" i="6"/>
  <c r="F9" i="6"/>
  <c r="G10" i="6"/>
  <c r="G16" i="6" s="1"/>
  <c r="D19" i="27"/>
  <c r="F12" i="17"/>
  <c r="C43" i="27"/>
  <c r="I11" i="17"/>
  <c r="D35" i="4"/>
  <c r="J8" i="4"/>
  <c r="K31" i="10"/>
  <c r="I14" i="10" s="1"/>
  <c r="D94" i="4" l="1"/>
  <c r="F10" i="4"/>
  <c r="H10" i="4" s="1"/>
  <c r="J7" i="4"/>
  <c r="Q39" i="4"/>
  <c r="P35" i="4"/>
  <c r="E9" i="4"/>
  <c r="D9" i="4"/>
  <c r="E56" i="4"/>
  <c r="E94" i="4" s="1"/>
  <c r="D50" i="27"/>
  <c r="D30" i="27"/>
  <c r="F30" i="27" s="1"/>
  <c r="F23" i="27" s="1"/>
  <c r="C24" i="4"/>
  <c r="C91" i="4" s="1"/>
  <c r="C47" i="4"/>
  <c r="C92" i="4" s="1"/>
  <c r="I63" i="8"/>
  <c r="D18" i="27"/>
  <c r="I10" i="4"/>
  <c r="L10" i="4" s="1"/>
  <c r="O10" i="4" s="1"/>
  <c r="R10" i="4" s="1"/>
  <c r="U10" i="4" s="1"/>
  <c r="X10" i="4" s="1"/>
  <c r="H18" i="22"/>
  <c r="I11" i="22"/>
  <c r="I32" i="3"/>
  <c r="F36" i="3"/>
  <c r="E40" i="4"/>
  <c r="E92" i="4" s="1"/>
  <c r="E14" i="4"/>
  <c r="E91" i="4" s="1"/>
  <c r="I9" i="10"/>
  <c r="J11" i="4"/>
  <c r="M11" i="4" s="1"/>
  <c r="P11" i="4" s="1"/>
  <c r="S11" i="4" s="1"/>
  <c r="V11" i="4" s="1"/>
  <c r="Y11" i="4" s="1"/>
  <c r="C26" i="27"/>
  <c r="F26" i="27" s="1"/>
  <c r="F10" i="30"/>
  <c r="I9" i="30"/>
  <c r="G15" i="31"/>
  <c r="I14" i="31"/>
  <c r="I39" i="4"/>
  <c r="F39" i="4"/>
  <c r="H39" i="4" s="1"/>
  <c r="D22" i="4"/>
  <c r="D45" i="4"/>
  <c r="I57" i="4"/>
  <c r="J57" i="4" s="1"/>
  <c r="K57" i="4" s="1"/>
  <c r="L57" i="4" s="1"/>
  <c r="F62" i="27"/>
  <c r="F60" i="27" s="1"/>
  <c r="C64" i="27" s="1"/>
  <c r="C63" i="27"/>
  <c r="C8" i="27" s="1"/>
  <c r="F8" i="27" s="1"/>
  <c r="F17" i="12"/>
  <c r="I9" i="12"/>
  <c r="I17" i="12" s="1"/>
  <c r="I9" i="6"/>
  <c r="F10" i="6"/>
  <c r="C19" i="27"/>
  <c r="I9" i="4"/>
  <c r="F43" i="27"/>
  <c r="C57" i="27"/>
  <c r="C7" i="27" s="1"/>
  <c r="I12" i="17"/>
  <c r="I17" i="17" s="1"/>
  <c r="F17" i="17"/>
  <c r="D50" i="4"/>
  <c r="J50" i="4" s="1"/>
  <c r="M50" i="4" s="1"/>
  <c r="P50" i="4" s="1"/>
  <c r="S50" i="4" s="1"/>
  <c r="V50" i="4" s="1"/>
  <c r="Y50" i="4" s="1"/>
  <c r="K8" i="4"/>
  <c r="G16" i="10"/>
  <c r="D8" i="4" s="1"/>
  <c r="I10" i="10"/>
  <c r="I16" i="10" s="1"/>
  <c r="F18" i="27"/>
  <c r="D93" i="4" l="1"/>
  <c r="J22" i="4"/>
  <c r="M22" i="4" s="1"/>
  <c r="P22" i="4" s="1"/>
  <c r="S22" i="4" s="1"/>
  <c r="V22" i="4" s="1"/>
  <c r="Y22" i="4" s="1"/>
  <c r="F56" i="4"/>
  <c r="H56" i="4" s="1"/>
  <c r="S35" i="4"/>
  <c r="K7" i="4"/>
  <c r="M57" i="4"/>
  <c r="L60" i="4"/>
  <c r="L39" i="4"/>
  <c r="T39" i="4"/>
  <c r="F24" i="4"/>
  <c r="H24" i="4" s="1"/>
  <c r="I25" i="4"/>
  <c r="L25" i="4" s="1"/>
  <c r="O25" i="4" s="1"/>
  <c r="R25" i="4" s="1"/>
  <c r="U25" i="4" s="1"/>
  <c r="X25" i="4" s="1"/>
  <c r="I56" i="4"/>
  <c r="E59" i="4"/>
  <c r="D39" i="27"/>
  <c r="D6" i="27" s="1"/>
  <c r="F50" i="27"/>
  <c r="F46" i="27" s="1"/>
  <c r="D57" i="27"/>
  <c r="D7" i="27" s="1"/>
  <c r="F7" i="27" s="1"/>
  <c r="I47" i="4"/>
  <c r="L47" i="4" s="1"/>
  <c r="O47" i="4" s="1"/>
  <c r="R47" i="4" s="1"/>
  <c r="U47" i="4" s="1"/>
  <c r="X47" i="4" s="1"/>
  <c r="F47" i="4"/>
  <c r="H47" i="4" s="1"/>
  <c r="K40" i="4"/>
  <c r="F40" i="4"/>
  <c r="H40" i="4" s="1"/>
  <c r="E50" i="4"/>
  <c r="E93" i="4" s="1"/>
  <c r="I36" i="3"/>
  <c r="I38" i="3" s="1"/>
  <c r="C7" i="4"/>
  <c r="I10" i="30"/>
  <c r="F15" i="30"/>
  <c r="G20" i="31"/>
  <c r="I15" i="31"/>
  <c r="K14" i="4"/>
  <c r="N14" i="4" s="1"/>
  <c r="Q14" i="4" s="1"/>
  <c r="T14" i="4" s="1"/>
  <c r="W14" i="4" s="1"/>
  <c r="F14" i="4"/>
  <c r="H14" i="4" s="1"/>
  <c r="E29" i="4"/>
  <c r="E28" i="4" s="1"/>
  <c r="E90" i="4" s="1"/>
  <c r="I18" i="22"/>
  <c r="J45" i="4"/>
  <c r="F45" i="4"/>
  <c r="H45" i="4" s="1"/>
  <c r="F22" i="4"/>
  <c r="F20" i="12"/>
  <c r="F21" i="12"/>
  <c r="F16" i="6"/>
  <c r="I10" i="6"/>
  <c r="I16" i="6" s="1"/>
  <c r="J9" i="4"/>
  <c r="I28" i="4"/>
  <c r="F19" i="27"/>
  <c r="F16" i="27" s="1"/>
  <c r="C40" i="27" s="1"/>
  <c r="C39" i="27"/>
  <c r="C6" i="27" s="1"/>
  <c r="C9" i="27" s="1"/>
  <c r="C10" i="27" s="1"/>
  <c r="D33" i="17"/>
  <c r="D32" i="17"/>
  <c r="L8" i="4"/>
  <c r="F8" i="4"/>
  <c r="H8" i="4" s="1"/>
  <c r="K50" i="4" l="1"/>
  <c r="N50" i="4" s="1"/>
  <c r="Q50" i="4" s="1"/>
  <c r="T50" i="4" s="1"/>
  <c r="W50" i="4" s="1"/>
  <c r="I32" i="4"/>
  <c r="H44" i="4"/>
  <c r="N40" i="4"/>
  <c r="K53" i="4"/>
  <c r="O39" i="4"/>
  <c r="L7" i="4"/>
  <c r="M45" i="4"/>
  <c r="J53" i="4"/>
  <c r="J56" i="4"/>
  <c r="I60" i="4"/>
  <c r="W39" i="4"/>
  <c r="N57" i="4"/>
  <c r="M60" i="4"/>
  <c r="V35" i="4"/>
  <c r="I23" i="31"/>
  <c r="F21" i="4"/>
  <c r="H22" i="4"/>
  <c r="H21" i="4" s="1"/>
  <c r="C9" i="4"/>
  <c r="F9" i="4" s="1"/>
  <c r="H9" i="4" s="1"/>
  <c r="F7" i="4"/>
  <c r="H7" i="4" s="1"/>
  <c r="C58" i="27"/>
  <c r="D9" i="27"/>
  <c r="D10" i="27" s="1"/>
  <c r="F44" i="4"/>
  <c r="D42" i="4"/>
  <c r="D92" i="4" s="1"/>
  <c r="I24" i="31"/>
  <c r="D19" i="4"/>
  <c r="D91" i="4" s="1"/>
  <c r="K19" i="4"/>
  <c r="O19" i="4" s="1"/>
  <c r="S19" i="4" s="1"/>
  <c r="W19" i="4" s="1"/>
  <c r="F29" i="4"/>
  <c r="H29" i="4" s="1"/>
  <c r="E31" i="4"/>
  <c r="I20" i="31"/>
  <c r="C16" i="4"/>
  <c r="F16" i="4" s="1"/>
  <c r="H16" i="4" s="1"/>
  <c r="I15" i="30"/>
  <c r="E52" i="4"/>
  <c r="C18" i="4"/>
  <c r="F18" i="4" s="1"/>
  <c r="H18" i="4" s="1"/>
  <c r="I21" i="12"/>
  <c r="C57" i="4"/>
  <c r="C94" i="4" s="1"/>
  <c r="I20" i="12"/>
  <c r="K9" i="4"/>
  <c r="F6" i="27"/>
  <c r="F9" i="27" s="1"/>
  <c r="F10" i="27" s="1"/>
  <c r="C35" i="4"/>
  <c r="G32" i="17"/>
  <c r="G33" i="17"/>
  <c r="M8" i="4"/>
  <c r="Y35" i="4" l="1"/>
  <c r="P45" i="4"/>
  <c r="M53" i="4"/>
  <c r="R39" i="4"/>
  <c r="H6" i="4"/>
  <c r="O57" i="4"/>
  <c r="N60" i="4"/>
  <c r="K56" i="4"/>
  <c r="K60" i="4" s="1"/>
  <c r="J60" i="4"/>
  <c r="M7" i="4"/>
  <c r="Q40" i="4"/>
  <c r="N53" i="4"/>
  <c r="C28" i="4"/>
  <c r="C31" i="4" s="1"/>
  <c r="F6" i="4"/>
  <c r="F19" i="4"/>
  <c r="D28" i="4"/>
  <c r="D90" i="4" s="1"/>
  <c r="F42" i="4"/>
  <c r="D52" i="4"/>
  <c r="F57" i="4"/>
  <c r="C59" i="4"/>
  <c r="J18" i="4"/>
  <c r="L9" i="4"/>
  <c r="C50" i="4"/>
  <c r="C93" i="4" s="1"/>
  <c r="F35" i="4"/>
  <c r="F34" i="4" s="1"/>
  <c r="N8" i="4"/>
  <c r="D99" i="4" l="1"/>
  <c r="C99" i="4"/>
  <c r="E99" i="4"/>
  <c r="D31" i="4"/>
  <c r="N7" i="4"/>
  <c r="P57" i="4"/>
  <c r="O60" i="4"/>
  <c r="S45" i="4"/>
  <c r="P53" i="4"/>
  <c r="F50" i="4"/>
  <c r="H50" i="4" s="1"/>
  <c r="I50" i="4"/>
  <c r="T40" i="4"/>
  <c r="Q53" i="4"/>
  <c r="U39" i="4"/>
  <c r="F55" i="4"/>
  <c r="H57" i="4"/>
  <c r="F38" i="4"/>
  <c r="H42" i="4"/>
  <c r="H38" i="4" s="1"/>
  <c r="H35" i="4"/>
  <c r="H34" i="4" s="1"/>
  <c r="F13" i="4"/>
  <c r="H19" i="4"/>
  <c r="H13" i="4" s="1"/>
  <c r="F28" i="4"/>
  <c r="K18" i="4"/>
  <c r="J28" i="4"/>
  <c r="J32" i="4" s="1"/>
  <c r="M9" i="4"/>
  <c r="C52" i="4"/>
  <c r="O8" i="4"/>
  <c r="E107" i="4" l="1"/>
  <c r="E103" i="4"/>
  <c r="E106" i="4"/>
  <c r="C106" i="4"/>
  <c r="C107" i="4"/>
  <c r="C103" i="4"/>
  <c r="D103" i="4"/>
  <c r="D106" i="4"/>
  <c r="D107" i="4"/>
  <c r="E98" i="4"/>
  <c r="D98" i="4"/>
  <c r="X39" i="4"/>
  <c r="Q57" i="4"/>
  <c r="P60" i="4"/>
  <c r="W40" i="4"/>
  <c r="W53" i="4" s="1"/>
  <c r="T53" i="4"/>
  <c r="V45" i="4"/>
  <c r="S53" i="4"/>
  <c r="L50" i="4"/>
  <c r="I53" i="4"/>
  <c r="O7" i="4"/>
  <c r="C60" i="4"/>
  <c r="H60" i="4" s="1"/>
  <c r="H55" i="4"/>
  <c r="H53" i="4"/>
  <c r="C53" i="4"/>
  <c r="C32" i="4"/>
  <c r="H28" i="4"/>
  <c r="H32" i="4" s="1"/>
  <c r="L18" i="4"/>
  <c r="K28" i="4"/>
  <c r="K32" i="4" s="1"/>
  <c r="N9" i="4"/>
  <c r="P8" i="4"/>
  <c r="D108" i="4" l="1"/>
  <c r="C108" i="4"/>
  <c r="E108" i="4"/>
  <c r="E102" i="4"/>
  <c r="E104" i="4" s="1"/>
  <c r="E100" i="4"/>
  <c r="C100" i="4"/>
  <c r="C102" i="4"/>
  <c r="C104" i="4" s="1"/>
  <c r="D102" i="4"/>
  <c r="D104" i="4" s="1"/>
  <c r="D100" i="4"/>
  <c r="P7" i="4"/>
  <c r="Y45" i="4"/>
  <c r="Y53" i="4" s="1"/>
  <c r="V53" i="4"/>
  <c r="R57" i="4"/>
  <c r="Q60" i="4"/>
  <c r="O50" i="4"/>
  <c r="L53" i="4"/>
  <c r="M18" i="4"/>
  <c r="L28" i="4"/>
  <c r="L32" i="4" s="1"/>
  <c r="O9" i="4"/>
  <c r="Q8" i="4"/>
  <c r="S57" i="4" l="1"/>
  <c r="R60" i="4"/>
  <c r="Q7" i="4"/>
  <c r="R50" i="4"/>
  <c r="O53" i="4"/>
  <c r="N18" i="4"/>
  <c r="M28" i="4"/>
  <c r="M32" i="4" s="1"/>
  <c r="P9" i="4"/>
  <c r="R8" i="4"/>
  <c r="R7" i="4" l="1"/>
  <c r="U50" i="4"/>
  <c r="R53" i="4"/>
  <c r="T57" i="4"/>
  <c r="S60" i="4"/>
  <c r="O18" i="4"/>
  <c r="N28" i="4"/>
  <c r="N32" i="4" s="1"/>
  <c r="Q9" i="4"/>
  <c r="S8" i="4"/>
  <c r="X50" i="4" l="1"/>
  <c r="X53" i="4" s="1"/>
  <c r="U53" i="4"/>
  <c r="U57" i="4"/>
  <c r="T60" i="4"/>
  <c r="S7" i="4"/>
  <c r="P18" i="4"/>
  <c r="O28" i="4"/>
  <c r="O32" i="4" s="1"/>
  <c r="R9" i="4"/>
  <c r="T8" i="4"/>
  <c r="V57" i="4" l="1"/>
  <c r="U60" i="4"/>
  <c r="T7" i="4"/>
  <c r="Q18" i="4"/>
  <c r="P28" i="4"/>
  <c r="P32" i="4" s="1"/>
  <c r="S9" i="4"/>
  <c r="U8" i="4"/>
  <c r="U7" i="4" l="1"/>
  <c r="W57" i="4"/>
  <c r="V60" i="4"/>
  <c r="R18" i="4"/>
  <c r="Q28" i="4"/>
  <c r="Q32" i="4" s="1"/>
  <c r="T9" i="4"/>
  <c r="V8" i="4"/>
  <c r="V7" i="4" l="1"/>
  <c r="X57" i="4"/>
  <c r="W60" i="4"/>
  <c r="S18" i="4"/>
  <c r="R28" i="4"/>
  <c r="R32" i="4" s="1"/>
  <c r="U9" i="4"/>
  <c r="W8" i="4"/>
  <c r="Y57" i="4" l="1"/>
  <c r="Y60" i="4" s="1"/>
  <c r="X60" i="4"/>
  <c r="W7" i="4"/>
  <c r="T18" i="4"/>
  <c r="S28" i="4"/>
  <c r="S32" i="4" s="1"/>
  <c r="V9" i="4"/>
  <c r="X8" i="4"/>
  <c r="X7" i="4" l="1"/>
  <c r="U18" i="4"/>
  <c r="T28" i="4"/>
  <c r="T32" i="4" s="1"/>
  <c r="W9" i="4"/>
  <c r="Y8" i="4"/>
  <c r="Y7" i="4" l="1"/>
  <c r="V18" i="4"/>
  <c r="U28" i="4"/>
  <c r="U32" i="4" s="1"/>
  <c r="X9" i="4"/>
  <c r="W18" i="4" l="1"/>
  <c r="V28" i="4"/>
  <c r="V32" i="4" s="1"/>
  <c r="Y9" i="4"/>
  <c r="X18" i="4" l="1"/>
  <c r="W28" i="4"/>
  <c r="W32" i="4" s="1"/>
  <c r="Y18" i="4" l="1"/>
  <c r="X28" i="4"/>
  <c r="X32" i="4" s="1"/>
  <c r="Y28" i="4" l="1"/>
  <c r="Y32" i="4" s="1"/>
</calcChain>
</file>

<file path=xl/comments1.xml><?xml version="1.0" encoding="utf-8"?>
<comments xmlns="http://schemas.openxmlformats.org/spreadsheetml/2006/main">
  <authors>
    <author>barry.murphy</author>
  </authors>
  <commentList>
    <comment ref="B16" authorId="0">
      <text>
        <r>
          <rPr>
            <b/>
            <sz val="9"/>
            <color indexed="81"/>
            <rFont val="Tahoma"/>
            <family val="2"/>
          </rPr>
          <t>barry.murphy:</t>
        </r>
        <r>
          <rPr>
            <sz val="9"/>
            <color indexed="81"/>
            <rFont val="Tahoma"/>
            <family val="2"/>
          </rPr>
          <t xml:space="preserve">
Visit costs / Share. May be heavy on electric side. Includes BPI check plan for info. </t>
        </r>
      </text>
    </comment>
    <comment ref="B29" authorId="0">
      <text>
        <r>
          <rPr>
            <b/>
            <sz val="9"/>
            <color indexed="81"/>
            <rFont val="Tahoma"/>
            <family val="2"/>
          </rPr>
          <t>barry.murphy:</t>
        </r>
        <r>
          <rPr>
            <sz val="9"/>
            <color indexed="81"/>
            <rFont val="Tahoma"/>
            <family val="2"/>
          </rPr>
          <t xml:space="preserve">
this component included CEI as well as HER n$250,000</t>
        </r>
      </text>
    </comment>
  </commentList>
</comments>
</file>

<file path=xl/comments2.xml><?xml version="1.0" encoding="utf-8"?>
<comments xmlns="http://schemas.openxmlformats.org/spreadsheetml/2006/main">
  <authors>
    <author>barry.murphy</author>
  </authors>
  <commentList>
    <comment ref="N18" authorId="0">
      <text>
        <r>
          <rPr>
            <b/>
            <sz val="9"/>
            <color indexed="81"/>
            <rFont val="Tahoma"/>
            <family val="2"/>
          </rPr>
          <t>barry.murphy:</t>
        </r>
        <r>
          <rPr>
            <sz val="9"/>
            <color indexed="81"/>
            <rFont val="Tahoma"/>
            <family val="2"/>
          </rPr>
          <t xml:space="preserve">
Roughly for prescriptive project review, average cost from Whill Contract in 2013</t>
        </r>
      </text>
    </comment>
  </commentList>
</comments>
</file>

<file path=xl/comments3.xml><?xml version="1.0" encoding="utf-8"?>
<comments xmlns="http://schemas.openxmlformats.org/spreadsheetml/2006/main">
  <authors>
    <author>brian.cotterill</author>
    <author>tpoor</author>
  </authors>
  <commentList>
    <comment ref="G22" authorId="0">
      <text>
        <r>
          <rPr>
            <b/>
            <sz val="8"/>
            <color indexed="81"/>
            <rFont val="Tahoma"/>
            <family val="2"/>
          </rPr>
          <t>brian.cotterill:</t>
        </r>
        <r>
          <rPr>
            <sz val="8"/>
            <color indexed="81"/>
            <rFont val="Tahoma"/>
            <family val="2"/>
          </rPr>
          <t xml:space="preserve">
Interview questions and interviews of players involved in area selection process</t>
        </r>
      </text>
    </comment>
    <comment ref="G23" authorId="0">
      <text>
        <r>
          <rPr>
            <b/>
            <sz val="8"/>
            <color indexed="81"/>
            <rFont val="Tahoma"/>
            <family val="2"/>
          </rPr>
          <t>brian.cotterill:</t>
        </r>
        <r>
          <rPr>
            <sz val="8"/>
            <color indexed="81"/>
            <rFont val="Tahoma"/>
            <family val="2"/>
          </rPr>
          <t xml:space="preserve">
Participant and non-participant interview questions</t>
        </r>
      </text>
    </comment>
    <comment ref="G27" authorId="1">
      <text>
        <r>
          <rPr>
            <b/>
            <sz val="9"/>
            <color indexed="81"/>
            <rFont val="Tahoma"/>
            <family val="2"/>
          </rPr>
          <t>tpoor:</t>
        </r>
        <r>
          <rPr>
            <sz val="9"/>
            <color indexed="81"/>
            <rFont val="Tahoma"/>
            <family val="2"/>
          </rPr>
          <t xml:space="preserve">
Both reviewing consultant's work and performing final analysis</t>
        </r>
      </text>
    </comment>
  </commentList>
</comments>
</file>

<file path=xl/comments4.xml><?xml version="1.0" encoding="utf-8"?>
<comments xmlns="http://schemas.openxmlformats.org/spreadsheetml/2006/main">
  <authors>
    <author>barry.murphy</author>
  </authors>
  <commentList>
    <comment ref="E26" authorId="0">
      <text>
        <r>
          <rPr>
            <b/>
            <sz val="9"/>
            <color indexed="81"/>
            <rFont val="Tahoma"/>
            <family val="2"/>
          </rPr>
          <t>barry.murphy:</t>
        </r>
        <r>
          <rPr>
            <sz val="9"/>
            <color indexed="81"/>
            <rFont val="Tahoma"/>
            <family val="2"/>
          </rPr>
          <t xml:space="preserve">
2014 costs artificialy low due to overall reduction in base fund due to lreduced participation from States. 2015 number is based on original estimate plus inflation</t>
        </r>
      </text>
    </comment>
  </commentList>
</comments>
</file>

<file path=xl/comments5.xml><?xml version="1.0" encoding="utf-8"?>
<comments xmlns="http://schemas.openxmlformats.org/spreadsheetml/2006/main">
  <authors>
    <author>barry.murphy</author>
  </authors>
  <commentList>
    <comment ref="B48" authorId="0">
      <text>
        <r>
          <rPr>
            <b/>
            <sz val="9"/>
            <color indexed="81"/>
            <rFont val="Tahoma"/>
            <family val="2"/>
          </rPr>
          <t>barry.murphy:</t>
        </r>
        <r>
          <rPr>
            <sz val="9"/>
            <color indexed="81"/>
            <rFont val="Tahoma"/>
            <family val="2"/>
          </rPr>
          <t xml:space="preserve">
Revisit</t>
        </r>
      </text>
    </comment>
  </commentList>
</comments>
</file>

<file path=xl/sharedStrings.xml><?xml version="1.0" encoding="utf-8"?>
<sst xmlns="http://schemas.openxmlformats.org/spreadsheetml/2006/main" count="693" uniqueCount="381">
  <si>
    <t>Energy Savings Accounts</t>
  </si>
  <si>
    <t>Customer Credit Program</t>
  </si>
  <si>
    <t>Benchmarking</t>
  </si>
  <si>
    <t>Total</t>
  </si>
  <si>
    <t>SMEEP</t>
  </si>
  <si>
    <t>Notes</t>
  </si>
  <si>
    <t xml:space="preserve">Total </t>
  </si>
  <si>
    <t>Assumption average per hour cost for internal staff including benefits</t>
  </si>
  <si>
    <t>Staff Hours</t>
  </si>
  <si>
    <t>Internal Staff performing portion of work formerly contractors</t>
  </si>
  <si>
    <t>Total Staff hours</t>
  </si>
  <si>
    <t>assumed contractor costs $/hr</t>
  </si>
  <si>
    <t>Inflation</t>
  </si>
  <si>
    <t>FCM Only</t>
  </si>
  <si>
    <t>BED AND EVT</t>
  </si>
  <si>
    <t>total FCM only budgets</t>
  </si>
  <si>
    <t>Total Staff Costs</t>
  </si>
  <si>
    <t>SV only</t>
  </si>
  <si>
    <t>BED and EVT</t>
  </si>
  <si>
    <t>Contract Management / report review etc.</t>
  </si>
  <si>
    <t>Contract Management/ report review etc.</t>
  </si>
  <si>
    <t>Task</t>
  </si>
  <si>
    <t>Hours to Develop RFP</t>
  </si>
  <si>
    <t xml:space="preserve">Proposal Review </t>
  </si>
  <si>
    <t>Respond to Questions</t>
  </si>
  <si>
    <t>Assume 5 proposals received</t>
  </si>
  <si>
    <t>Negotiation</t>
  </si>
  <si>
    <t>Contract Development</t>
  </si>
  <si>
    <t>See "RFP-Contract Process Assump" tab</t>
  </si>
  <si>
    <t>3 hours per week for 15 weeks + 2 hours per week for 8 weeks</t>
  </si>
  <si>
    <t>Technical Advisory Group and Technical Reference Manual Review</t>
  </si>
  <si>
    <t xml:space="preserve">Contract Management </t>
  </si>
  <si>
    <t>Contractor assistance budget</t>
  </si>
  <si>
    <t>Total Budgets</t>
  </si>
  <si>
    <t>Contractor costs based upon current avg contractor rate for TAG services</t>
  </si>
  <si>
    <t>Contractor Hours Per year</t>
  </si>
  <si>
    <t>Units</t>
  </si>
  <si>
    <t>Hours Per</t>
  </si>
  <si>
    <t>Total Hours</t>
  </si>
  <si>
    <t>Review of EVT proposals</t>
  </si>
  <si>
    <t>Development of counter proposals</t>
  </si>
  <si>
    <t>Discussion of proposals</t>
  </si>
  <si>
    <t>Contractor hours</t>
  </si>
  <si>
    <t xml:space="preserve"> TAG monthly meetings</t>
  </si>
  <si>
    <t>TAG Assumptions</t>
  </si>
  <si>
    <t>TRM Assumptions</t>
  </si>
  <si>
    <t>TRM Updates</t>
  </si>
  <si>
    <t>Meetings and Discussions</t>
  </si>
  <si>
    <t>Technical Advisory Group and Technical Reference Manual</t>
  </si>
  <si>
    <t>Staff Time</t>
  </si>
  <si>
    <t>Estimate 1 program participant 2012-14</t>
  </si>
  <si>
    <t xml:space="preserve">Project Review </t>
  </si>
  <si>
    <t>Evaluate Program Overall</t>
  </si>
  <si>
    <t>Design review process w/EVT &amp; customers</t>
  </si>
  <si>
    <t>Note that this is a bit unknown in terms of projects</t>
  </si>
  <si>
    <t>FCM/SV</t>
  </si>
  <si>
    <t xml:space="preserve">On Call Technical Assistance - Hours </t>
  </si>
  <si>
    <t>Note all estimates to provide a guidance re: budget.  The actual hours may differ significantly as the task/need requires</t>
  </si>
  <si>
    <t>Market Assessments</t>
  </si>
  <si>
    <t>Geotargeting</t>
  </si>
  <si>
    <t>NEEP activities</t>
  </si>
  <si>
    <t>TAG/TRM</t>
  </si>
  <si>
    <t>Misc</t>
  </si>
  <si>
    <t>Energy Savings Accounts &amp; Customer Credit Program</t>
  </si>
  <si>
    <t>Suggest that collections should be averaged over three years</t>
  </si>
  <si>
    <t>Expert Technical Assistance</t>
  </si>
  <si>
    <t>Market Characterizations</t>
  </si>
  <si>
    <t>Regional Coordination</t>
  </si>
  <si>
    <t xml:space="preserve">RFP/hire contractor cost </t>
  </si>
  <si>
    <t>Residential Assumptions</t>
  </si>
  <si>
    <t>DPS Planning</t>
  </si>
  <si>
    <t>Sample Design</t>
  </si>
  <si>
    <t>Homeowner Survey Design</t>
  </si>
  <si>
    <t>Analysis &amp; Reporting</t>
  </si>
  <si>
    <t>Monthly meetings</t>
  </si>
  <si>
    <t>Management &amp; Coordination</t>
  </si>
  <si>
    <t>Business Assumptions</t>
  </si>
  <si>
    <t>Final Report</t>
  </si>
  <si>
    <t>Analysis &amp; Draft Reporting</t>
  </si>
  <si>
    <t>Process Eval - Selection Areas</t>
  </si>
  <si>
    <t>Process Eval - Prog Implementation</t>
  </si>
  <si>
    <t>Impact Evaluation - Savings Results</t>
  </si>
  <si>
    <t>Impact Evaluation - Systems Level</t>
  </si>
  <si>
    <t>Contractor budget</t>
  </si>
  <si>
    <t>GeoTargeting</t>
  </si>
  <si>
    <t>Estimate that contractor would be doing 100% of line 8 work above.</t>
  </si>
  <si>
    <t>Assumes an on-going Benchmarking effort completed in-house</t>
  </si>
  <si>
    <t>Supporting EEC Evaluation</t>
  </si>
  <si>
    <t>Annual Savings Verification</t>
  </si>
  <si>
    <t>FCM Evaluation</t>
  </si>
  <si>
    <t>NEEP</t>
  </si>
  <si>
    <t>CEE</t>
  </si>
  <si>
    <t>Staff Participation - NEEP projects</t>
  </si>
  <si>
    <t>Scope Development</t>
  </si>
  <si>
    <t>Project participation assumptions - per project (2 projects/yr)</t>
  </si>
  <si>
    <t>Review/Comment on Final</t>
  </si>
  <si>
    <t>Review Comment on Drafts/Instruments</t>
  </si>
  <si>
    <t>NEEP Staff Participation</t>
  </si>
  <si>
    <t>Staff Participation - CEE projects</t>
  </si>
  <si>
    <t>CEE Staff Participation</t>
  </si>
  <si>
    <t>Review CEE Materials/Results</t>
  </si>
  <si>
    <t>FUNDING</t>
  </si>
  <si>
    <t>50% of NEEP Costs associated with FCM</t>
  </si>
  <si>
    <t>Note - hours are expected to be significantly greater than historical due to increased rigor in TRM updates and faster changes in efficiency markets</t>
  </si>
  <si>
    <t>Core EEC Evaluation Activities</t>
  </si>
  <si>
    <t>Estimate average hourly rate associated with 2010 GT Evaluation</t>
  </si>
  <si>
    <t xml:space="preserve">Assumes one study in next cycle </t>
  </si>
  <si>
    <t>Note RFP and Mgmt costs not previously included in EEC budgets</t>
  </si>
  <si>
    <t>Largely Process Evaluation</t>
  </si>
  <si>
    <t>Contractor Budget</t>
  </si>
  <si>
    <t>2 RFPs one each res and com</t>
  </si>
  <si>
    <t>Planning</t>
  </si>
  <si>
    <t>Benchmarking Planning/Design</t>
  </si>
  <si>
    <t>Acquire Data</t>
  </si>
  <si>
    <t>Benchmarking Analysis</t>
  </si>
  <si>
    <t xml:space="preserve">Reporting </t>
  </si>
  <si>
    <t>Estimated contractor costs - average of previous contract</t>
  </si>
  <si>
    <t>Behavioral Change Evaluation</t>
  </si>
  <si>
    <t>45 week project 2 hrs week for 2 projects+6 onsites QC for each res/com 4 hrs each</t>
  </si>
  <si>
    <t xml:space="preserve">Planning &amp; Contract Management </t>
  </si>
  <si>
    <t>Reporting in 2013 higher due to Overall Performance Assessment</t>
  </si>
  <si>
    <t>Data Collection - onsite</t>
  </si>
  <si>
    <t>commercial</t>
  </si>
  <si>
    <t>residential</t>
  </si>
  <si>
    <t>contractor</t>
  </si>
  <si>
    <t>contractor (QC included in contract management above)</t>
  </si>
  <si>
    <t>included in contract management above</t>
  </si>
  <si>
    <t>Data Collection on-site</t>
  </si>
  <si>
    <t>Business Sector Budget</t>
  </si>
  <si>
    <t>Residential Sector Budget</t>
  </si>
  <si>
    <t>Contractor budgets assumed to hold nominally flat from 2011 budgets due to efficiencies, DPS assuming some survey design as described below</t>
  </si>
  <si>
    <t>2010 contractor hrs</t>
  </si>
  <si>
    <t>Tasks</t>
  </si>
  <si>
    <t>Review of EVT/BED databases</t>
  </si>
  <si>
    <t>Billing Analysis</t>
  </si>
  <si>
    <t>Sampling</t>
  </si>
  <si>
    <t>Summarize and Report results</t>
  </si>
  <si>
    <t>Metering + Analysis</t>
  </si>
  <si>
    <t>Hours</t>
  </si>
  <si>
    <t>Cost</t>
  </si>
  <si>
    <t>3 hrs/wk for 22.5 weeks</t>
  </si>
  <si>
    <t>Project Review</t>
  </si>
  <si>
    <t>Reporting</t>
  </si>
  <si>
    <t>Behavioral Measures</t>
  </si>
  <si>
    <t>Develop Behavioral Evaluation Plan</t>
  </si>
  <si>
    <t>Total Costs</t>
  </si>
  <si>
    <t>[Notes]</t>
  </si>
  <si>
    <t>Regional Coordination [4]</t>
  </si>
  <si>
    <t xml:space="preserve">Contingency -- All budget values are estimates, and subject to varying degrees of uncertainty - especially with regards to projects that where competitive bids are solicited.  Planning and Management costs not subject to contingency factor (5%) </t>
  </si>
  <si>
    <t>Planning &amp; Management</t>
  </si>
  <si>
    <t>Annual Plan</t>
  </si>
  <si>
    <t>3 Year Plan</t>
  </si>
  <si>
    <t>Conference/Training Costs</t>
  </si>
  <si>
    <t>IEPEC</t>
  </si>
  <si>
    <t>Event/Training</t>
  </si>
  <si>
    <t># employees</t>
  </si>
  <si>
    <t>Other conferences</t>
  </si>
  <si>
    <t>Other trainings</t>
  </si>
  <si>
    <t>Expenses</t>
  </si>
  <si>
    <t>cost per</t>
  </si>
  <si>
    <t>ACEEE/CEE conferences</t>
  </si>
  <si>
    <t>Other Direct Costs</t>
  </si>
  <si>
    <t>Office Equipment</t>
  </si>
  <si>
    <t>Phone</t>
  </si>
  <si>
    <t>Other Misc</t>
  </si>
  <si>
    <t>Home Performance with Energy Star</t>
  </si>
  <si>
    <t>Contractor budget overall</t>
  </si>
  <si>
    <t>res</t>
  </si>
  <si>
    <t>com</t>
  </si>
  <si>
    <t>note some contribution may be made by Gas EEU to provide data in Gas territory</t>
  </si>
  <si>
    <t>Contractor Budgets (EEC Funded)</t>
  </si>
  <si>
    <t>Rough estimate for rates associated with 2011 market assessments</t>
  </si>
  <si>
    <t>3hrs wk for 22.5 weeks</t>
  </si>
  <si>
    <r>
      <t xml:space="preserve">Contingency </t>
    </r>
    <r>
      <rPr>
        <sz val="10"/>
        <rFont val="Arial"/>
        <family val="2"/>
      </rPr>
      <t>[6]</t>
    </r>
  </si>
  <si>
    <r>
      <t xml:space="preserve">Planning and Management </t>
    </r>
    <r>
      <rPr>
        <sz val="10"/>
        <rFont val="Arial"/>
        <family val="2"/>
      </rPr>
      <t>[5]</t>
    </r>
  </si>
  <si>
    <t>Geotargeting [2]</t>
  </si>
  <si>
    <t>Total hours</t>
  </si>
  <si>
    <t>Evaluation Planning &amp; Administration</t>
  </si>
  <si>
    <t>Administrative</t>
  </si>
  <si>
    <t>Not billable to any one task - 2 employees @ 1hr/wk</t>
  </si>
  <si>
    <t>contractor rate</t>
  </si>
  <si>
    <t>Annual EEC Funded budget</t>
  </si>
  <si>
    <t>Evaluation Training &amp; Development</t>
  </si>
  <si>
    <t>Non-Resource Acquisition Evaluation</t>
  </si>
  <si>
    <t xml:space="preserve">Administrative cost RFP/hire contractor </t>
  </si>
  <si>
    <t>Note - process evaluation contractor retained to assist DPS in development of instruments</t>
  </si>
  <si>
    <t>Market Actor Survey Design &amp; Complete</t>
  </si>
  <si>
    <t>GT Assumptions</t>
  </si>
  <si>
    <t>Benchmarking Assumptions</t>
  </si>
  <si>
    <t>Task include Assistance with RFP development, review of proposals, technical assistance throughout the project - survey design, sample design, review of results, etc.</t>
  </si>
  <si>
    <t>Total Staff Hours</t>
  </si>
  <si>
    <t xml:space="preserve">Total Staff Costs </t>
  </si>
  <si>
    <t>Total ESA and CCP Budget</t>
  </si>
  <si>
    <t>Total Budget</t>
  </si>
  <si>
    <t xml:space="preserve">Total Costs </t>
  </si>
  <si>
    <t>Hourly Rate for Technical Assistance</t>
  </si>
  <si>
    <t>Current</t>
  </si>
  <si>
    <t>Increased with inflation.</t>
  </si>
  <si>
    <t>-</t>
  </si>
  <si>
    <t>Total Evaluation Training &amp; Development Budget</t>
  </si>
  <si>
    <t>Total Other Direct Costs</t>
  </si>
  <si>
    <t>Evaluation Budget Summary</t>
  </si>
  <si>
    <t>Administrative Efficiency Evaluation</t>
  </si>
  <si>
    <t>Largely process evaluation</t>
  </si>
  <si>
    <t>HPwES Assumptions</t>
  </si>
  <si>
    <t>On-sites and blower doors</t>
  </si>
  <si>
    <t>Staff time</t>
  </si>
  <si>
    <t>Review process with customer</t>
  </si>
  <si>
    <t>Evaluate program overall</t>
  </si>
  <si>
    <t xml:space="preserve">Project review (paper &amp; on site) </t>
  </si>
  <si>
    <t>Activity 1</t>
  </si>
  <si>
    <t>Activity 2</t>
  </si>
  <si>
    <t>.</t>
  </si>
  <si>
    <t>% Share</t>
  </si>
  <si>
    <t>Assume a process evaluation of one activity</t>
  </si>
  <si>
    <t>Assume regular review of one or more activities</t>
  </si>
  <si>
    <t>Miscellaneous process evaluation chosen to review</t>
  </si>
  <si>
    <t>12 weeks 3 hrs per week</t>
  </si>
  <si>
    <t>2 projects each customer 15 hrs each</t>
  </si>
  <si>
    <t>This budget assumes that ESA projects do not fall into annual verification sample</t>
  </si>
  <si>
    <t>NEEP participation and CEE Costs</t>
  </si>
  <si>
    <t>conferences -- 2 employees @60hrs/yr</t>
  </si>
  <si>
    <t>Blended rate res/commercial market assessments</t>
  </si>
  <si>
    <t>On-site design, data collection design</t>
  </si>
  <si>
    <t>Monthly meetings (included in contract mgmt above for staff</t>
  </si>
  <si>
    <t>Process Eval Design &amp; Prog Implementation(incl surveys)</t>
  </si>
  <si>
    <t>Allocation to EEC</t>
  </si>
  <si>
    <t>hours include some travel time</t>
  </si>
  <si>
    <t>Site Visits</t>
  </si>
  <si>
    <t>10 Site visits at 4 hrs each</t>
  </si>
  <si>
    <t>Annual HPF Funded Budget</t>
  </si>
  <si>
    <t>Annual FCM Evaluation Budget</t>
  </si>
  <si>
    <t>HPwES evaluation assumes cost share equal to HPwES program in 2012. future costs assume full cost funded from HPF Revenue sources</t>
  </si>
  <si>
    <t>Other</t>
  </si>
  <si>
    <t>Natural Gas Efficeincy Evaluation is not included in this spreadsheet</t>
  </si>
  <si>
    <t xml:space="preserve">FCM Contractor Budget is </t>
  </si>
  <si>
    <t>total SV budgets contractor + staff</t>
  </si>
  <si>
    <t>Projected efficiency gains:  holding costs constant - not including inflation</t>
  </si>
  <si>
    <t>Three year totals rounded to nearest 100</t>
  </si>
  <si>
    <t>Funding Mix and Staff Hours Allocation Summary</t>
  </si>
  <si>
    <t xml:space="preserve">Geotargeting </t>
  </si>
  <si>
    <t>Planning and Management</t>
  </si>
  <si>
    <t xml:space="preserve">HPwES Evaluation </t>
  </si>
  <si>
    <t xml:space="preserve">   Core FCM Evaluation</t>
  </si>
  <si>
    <t>*</t>
  </si>
  <si>
    <t xml:space="preserve">Inflation = </t>
  </si>
  <si>
    <t>Market Characterizations*</t>
  </si>
  <si>
    <t xml:space="preserve">   Non-Resource Acquisition Initiatives*</t>
  </si>
  <si>
    <t xml:space="preserve">   Administrative Efficiency*</t>
  </si>
  <si>
    <t xml:space="preserve">   Evaluation Planning &amp; Administration*</t>
  </si>
  <si>
    <t>Expert Technical Assistance*</t>
  </si>
  <si>
    <t>Evaulation Training &amp; Development*</t>
  </si>
  <si>
    <t xml:space="preserve">   Other Direct Costs*</t>
  </si>
  <si>
    <t xml:space="preserve">Core Heating and Process Fuel Evaluation </t>
  </si>
  <si>
    <t>Shared Heating and Process Fuel Evaluation</t>
  </si>
  <si>
    <t>Non-Resource Acquisition Initiatives*</t>
  </si>
  <si>
    <t>Administrative Efficiency*</t>
  </si>
  <si>
    <t>Shared Planning and Management</t>
  </si>
  <si>
    <t>HPF Contingency</t>
  </si>
  <si>
    <t>FCM (25%)</t>
  </si>
  <si>
    <t>FCM Core Evaluation held constat beginning in 2017 recognizing regional work and efficiencies will hold costs down</t>
  </si>
  <si>
    <t>Indicates a split funded EEC (88%) and HPF (12%) activity as described in 'EEC HPF % Share Reference' tab - based on % share of total EEC and HPF three year budgets</t>
  </si>
  <si>
    <t>Annual EEC Hours</t>
  </si>
  <si>
    <t>Annual HPF Hours</t>
  </si>
  <si>
    <t>Annual FCM Hours</t>
  </si>
  <si>
    <t>Energy Efficiency Charge (EEC)</t>
  </si>
  <si>
    <t>Heating and Process Fuels (HPF)</t>
  </si>
  <si>
    <t>Forward Capacity Market (FCM)</t>
  </si>
  <si>
    <t>Summary of Staff Hours</t>
  </si>
  <si>
    <t>Regional Coordination [3]</t>
  </si>
  <si>
    <r>
      <t xml:space="preserve">Total Hours </t>
    </r>
    <r>
      <rPr>
        <sz val="10"/>
        <rFont val="Arial"/>
        <family val="2"/>
      </rPr>
      <t>[1]</t>
    </r>
  </si>
  <si>
    <t>Evaluation Training &amp; Development*</t>
  </si>
  <si>
    <r>
      <t xml:space="preserve">Full Time Staff Equivalent </t>
    </r>
    <r>
      <rPr>
        <i/>
        <sz val="10"/>
        <rFont val="Arial"/>
        <family val="2"/>
      </rPr>
      <t>[2]</t>
    </r>
  </si>
  <si>
    <t>Based on 40 hours per week for 45 weeks</t>
  </si>
  <si>
    <t>Breakout of Staff Hours</t>
  </si>
  <si>
    <t>EEC Share (75%)</t>
  </si>
  <si>
    <t xml:space="preserve">80 hours total from Regional Coordination shared between EEC (75%) and FCM (25%) </t>
  </si>
  <si>
    <t>Contingency</t>
  </si>
  <si>
    <t>Totals do dot include staff hours for any EEC/HPF Contingency, GMP EEF, SMEEP or any future Natural Gas evaluation activities</t>
  </si>
  <si>
    <t>Annual Savings Verification and FCM</t>
  </si>
  <si>
    <t>Some DPS reviews are relatively simple stipulated projects, some are contractors estimate 36 hours per project - blended hour/project used here</t>
  </si>
  <si>
    <t>Number of updates as estimated by EVT average of 1.5 hour per - some are same TRM with changes due to different market</t>
  </si>
  <si>
    <t>RFP-Contract Process Assumptions</t>
  </si>
  <si>
    <t>Staff Rate Assumptions</t>
  </si>
  <si>
    <t>Placeholder</t>
  </si>
  <si>
    <t>Placeholder inserted for work relating to Geotargeting</t>
  </si>
  <si>
    <t>webinars - 5/yr 2hrs each 2 employees</t>
  </si>
  <si>
    <t>State runs on a three year cycle - estimating $2500k per employee for hardware and software upgrades, other office equip</t>
  </si>
  <si>
    <t>Long distance and Conference/Webinar Capabilities X 2</t>
  </si>
  <si>
    <t xml:space="preserve">Staff hours to participate </t>
  </si>
  <si>
    <t xml:space="preserve">NEEP Costs 2015+ Inflation, CEE Costs 2014+ Inflation </t>
  </si>
  <si>
    <t>2015 Expected to include Market assessments</t>
  </si>
  <si>
    <t>2016-2017 expected to include DRP</t>
  </si>
  <si>
    <t>Internal Staff Project Review</t>
  </si>
  <si>
    <t xml:space="preserve">25 hours per project (rough estimate of current)*10 projects - </t>
  </si>
  <si>
    <t>10 projects per year - paper review and write up.  15 hours per project used</t>
  </si>
  <si>
    <t>SV Contractor Budget</t>
  </si>
  <si>
    <t>From proposal received for verification activities 2013-2014. Held constant with inflation adjustment.</t>
  </si>
  <si>
    <t>Allocation to CEED Fund</t>
  </si>
  <si>
    <t>Costs of evaluation CEED within SV held constant</t>
  </si>
  <si>
    <t>Total 2015-17</t>
  </si>
  <si>
    <t>Estimate 2 program participants in 2015-17</t>
  </si>
  <si>
    <t xml:space="preserve">Participate in/Review VEIC studies Res/Comm </t>
  </si>
  <si>
    <t>takes place in 2014</t>
  </si>
  <si>
    <t>Estimate of Contractor costs to evaluate programs:</t>
  </si>
  <si>
    <t xml:space="preserve">DRP </t>
  </si>
  <si>
    <t xml:space="preserve">Staff hours on project </t>
  </si>
  <si>
    <t>`</t>
  </si>
  <si>
    <t>CEED</t>
  </si>
  <si>
    <t>Contractor support</t>
  </si>
  <si>
    <t>year 2014 current process</t>
  </si>
  <si>
    <t>Estimate 1 program participant 2015-17</t>
  </si>
  <si>
    <t xml:space="preserve">8 hours/ week 45 weeks per year </t>
  </si>
  <si>
    <t>2.5 hours a week for 45 weeks</t>
  </si>
  <si>
    <t>2.5 hours per week for 22.5 weeks (half a year)</t>
  </si>
  <si>
    <t>HPwES (elec Only)</t>
  </si>
  <si>
    <t>Home Performance with Energy Star (elec only)</t>
  </si>
  <si>
    <t>2 hrs/wk for 22.5 weeks</t>
  </si>
  <si>
    <t>Approx $150/hr</t>
  </si>
  <si>
    <t>Operational Performance Assessment</t>
  </si>
  <si>
    <t>Policy Goal / Qualitative Performance Review</t>
  </si>
  <si>
    <t>Administratice Audit</t>
  </si>
  <si>
    <t>Orginizational Qualifications</t>
  </si>
  <si>
    <t>Financial Stewardship</t>
  </si>
  <si>
    <t>Operational Performace Assessment</t>
  </si>
  <si>
    <t>Demand Resource Plan</t>
  </si>
  <si>
    <t>EEU Co-ordination</t>
  </si>
  <si>
    <t>PSD Review</t>
  </si>
  <si>
    <t>Potential Study</t>
  </si>
  <si>
    <t>PSB Filings</t>
  </si>
  <si>
    <t>2 hour per week for 22.5 weeks (half a year)</t>
  </si>
  <si>
    <t>DRP</t>
  </si>
  <si>
    <t>Overall Performace Assessment</t>
  </si>
  <si>
    <t>Total 2015-2017 Energy Efficiency Charge Funded Budget</t>
  </si>
  <si>
    <t>GT - Assume no specific GT study necessary.  Setaside for potential future GT study.</t>
  </si>
  <si>
    <t>HPwES Evaluation (electric only ) [3]</t>
  </si>
  <si>
    <t>HPwES study for the electric portion of the overall HPwES study.</t>
  </si>
  <si>
    <t>Regional Coordination is $239,000 over three years shared between EEC (75%) and FCM (25%) revenues, as described on 'Regional' tab.</t>
  </si>
  <si>
    <t>Planning and Management activities, informing and relating to areas funded by multiple sources, are proposed to be funded by both TEPF and EEC Funds as described on the 'plan&amp;Mgmt' tab.</t>
  </si>
  <si>
    <t>TEPF funding is highly uncertain, and thus programs may change throughout the funding period.  DPS proposes a contingency fund of 10% annual evaluation budgets to address specific issues as they arise.  In most cases, TEPF contingency will likely be used to leverage additional evaluation activity from other avenues</t>
  </si>
  <si>
    <t>SMEEP tabincluded on this spreadsheet for reference purposes.  This tab may not represent full costs associated with this efforts.</t>
  </si>
  <si>
    <t>Staff Hours 2015-2017 (TEPF)</t>
  </si>
  <si>
    <t>Staff Hours 2015-17 (EEC)</t>
  </si>
  <si>
    <t>Staff Hours 2015-2017 (FCM)</t>
  </si>
  <si>
    <t>Total 2015-2017 Thermal Energy Process Fuel Evaluation</t>
  </si>
  <si>
    <t>Total 2015-2017 FCM Revenue Funded Budget</t>
  </si>
  <si>
    <t>Behavioral Evaluation Contingency - Budget amount included as contingency depending upon PSB order re behaviour</t>
  </si>
  <si>
    <t>HPwES Evaluation [8]</t>
  </si>
  <si>
    <r>
      <t xml:space="preserve">HPF Contingency </t>
    </r>
    <r>
      <rPr>
        <sz val="10"/>
        <rFont val="Arial"/>
        <family val="2"/>
      </rPr>
      <t>[9]</t>
    </r>
  </si>
  <si>
    <t xml:space="preserve">   Core FCM Evaluation [10]</t>
  </si>
  <si>
    <t>EEC Share (89%)</t>
  </si>
  <si>
    <t>HPF Share (11%)</t>
  </si>
  <si>
    <t>TEPF Potential Study</t>
  </si>
  <si>
    <t>Review of availible databases</t>
  </si>
  <si>
    <t>Analysis</t>
  </si>
  <si>
    <t>Internal Staff Work</t>
  </si>
  <si>
    <t>Behavioral Evaluation [7]</t>
  </si>
  <si>
    <t>[Note 11]]</t>
  </si>
  <si>
    <t>Actual Budget Impact to Funding Source</t>
  </si>
  <si>
    <t>Represents the actual budget impact of Evaluation on calculating the EEC if carrying over these specific ear marked funds are approved. The evaluations that include carryover funds are scheduled for early 2015.</t>
  </si>
  <si>
    <t>[Note 12]</t>
  </si>
  <si>
    <t>[Note 13]</t>
  </si>
  <si>
    <t>Proposed Carryover from 2012-2014 period</t>
  </si>
  <si>
    <t>Carryover represented here is only for prior approved PSD evaluations that have not yet taken place and no funds have been spent. This does not represent all of the funds that the PSD may request to carryover from the 2012-2014 period.</t>
  </si>
  <si>
    <t>EVT EEC Share</t>
  </si>
  <si>
    <t>BED EEC Share</t>
  </si>
  <si>
    <t>EVT TEPF Share</t>
  </si>
  <si>
    <t>BED TEPF Share</t>
  </si>
  <si>
    <t>CEED not shown here due to CEED annual evaluation plan requirements.</t>
  </si>
  <si>
    <t>EEC</t>
  </si>
  <si>
    <t>EEC/TEPF</t>
  </si>
  <si>
    <t>TEPF/EEC</t>
  </si>
  <si>
    <t>TEPF</t>
  </si>
  <si>
    <t>FCM</t>
  </si>
  <si>
    <t>EEC Share</t>
  </si>
  <si>
    <t>TEPF Share</t>
  </si>
  <si>
    <t xml:space="preserve">Indicates a split funded EEC (88%) and TEPF (12%) activity as described in 'EEC TEPF % Share Reference' tab - based on  % share of total EEC and TEPF three year budgets </t>
  </si>
  <si>
    <t>HPF Share</t>
  </si>
  <si>
    <t>EEC Cost Share</t>
  </si>
  <si>
    <t>TEPF Cost Share</t>
  </si>
  <si>
    <t>Thermal Energy and Process Fuels Efficiency</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</si>
</sst>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5" formatCode="&quot;$&quot;#,##0_);\(&quot;$&quot;#,##0\)"/>
    <numFmt numFmtId="6" formatCode="&quot;$&quot;#,##0_);[Red]\(&quot;$&quot;#,##0\)"/>
    <numFmt numFmtId="44" formatCode="_(&quot;$&quot;* #,##0.00_);_(&quot;$&quot;* \(#,##0.00\);_(&quot;$&quot;* &quot;-&quot;??_);_(@_)"/>
    <numFmt numFmtId="43" formatCode="_(* #,##0.00_);_(* \(#,##0.00\);_(* &quot;-&quot;??_);_(@_)"/>
    <numFmt numFmtId="164" formatCode="&quot;$&quot;#,##0.00"/>
    <numFmt numFmtId="165" formatCode="0.000"/>
    <numFmt numFmtId="166" formatCode="&quot;$&quot;#,##0"/>
    <numFmt numFmtId="167" formatCode="_(&quot;$&quot;* #,##0_);_(&quot;$&quot;* \(#,##0\);_(&quot;$&quot;* &quot;-&quot;??_);_(@_)"/>
    <numFmt numFmtId="168" formatCode="[$-F800]dddd\,\ mmmm\ dd\,\ yyyy"/>
  </numFmts>
  <fonts count="26" x14ac:knownFonts="1">
    <font>
      <sz val="10"/>
      <name val="Arial"/>
    </font>
    <font>
      <sz val="10"/>
      <name val="Arial"/>
      <family val="2"/>
    </font>
    <font>
      <sz val="8"/>
      <color indexed="81"/>
      <name val="Tahoma"/>
      <family val="2"/>
    </font>
    <font>
      <b/>
      <sz val="8"/>
      <color indexed="81"/>
      <name val="Tahoma"/>
      <family val="2"/>
    </font>
    <font>
      <b/>
      <sz val="10"/>
      <name val="Arial"/>
      <family val="2"/>
    </font>
    <font>
      <sz val="10"/>
      <name val="Arial"/>
      <family val="2"/>
    </font>
    <font>
      <sz val="9"/>
      <color indexed="81"/>
      <name val="Tahoma"/>
      <family val="2"/>
    </font>
    <font>
      <b/>
      <sz val="9"/>
      <color indexed="81"/>
      <name val="Tahoma"/>
      <family val="2"/>
    </font>
    <font>
      <sz val="8"/>
      <name val="Arial"/>
      <family val="2"/>
    </font>
    <font>
      <b/>
      <sz val="8"/>
      <name val="Arial"/>
      <family val="2"/>
    </font>
    <font>
      <sz val="8"/>
      <color indexed="60"/>
      <name val="Times New Roman"/>
      <family val="1"/>
    </font>
    <font>
      <sz val="8"/>
      <name val="Arial"/>
      <family val="2"/>
    </font>
    <font>
      <b/>
      <sz val="11"/>
      <name val="Calibri"/>
      <family val="2"/>
    </font>
    <font>
      <sz val="11"/>
      <name val="Calibri"/>
      <family val="2"/>
    </font>
    <font>
      <b/>
      <sz val="8"/>
      <name val="Arial"/>
      <family val="2"/>
    </font>
    <font>
      <b/>
      <sz val="10"/>
      <name val="Arial"/>
      <family val="2"/>
    </font>
    <font>
      <sz val="10"/>
      <name val="Arial"/>
      <family val="2"/>
    </font>
    <font>
      <b/>
      <sz val="11"/>
      <name val="Arial"/>
      <family val="2"/>
    </font>
    <font>
      <sz val="8"/>
      <name val="Arial"/>
      <family val="2"/>
    </font>
    <font>
      <sz val="12"/>
      <name val="Calibri"/>
      <family val="2"/>
    </font>
    <font>
      <b/>
      <i/>
      <sz val="10"/>
      <name val="Arial"/>
      <family val="2"/>
    </font>
    <font>
      <i/>
      <sz val="10"/>
      <name val="Arial"/>
      <family val="2"/>
    </font>
    <font>
      <sz val="10"/>
      <color indexed="17"/>
      <name val="Arial"/>
      <family val="2"/>
    </font>
    <font>
      <sz val="11"/>
      <color rgb="FF006100"/>
      <name val="Calibri"/>
      <family val="2"/>
      <scheme val="minor"/>
    </font>
    <font>
      <sz val="10"/>
      <color theme="1"/>
      <name val="Arial"/>
      <family val="2"/>
    </font>
    <font>
      <sz val="11"/>
      <name val="Calibri"/>
      <family val="2"/>
      <scheme val="minor"/>
    </font>
  </fonts>
  <fills count="15">
    <fill>
      <patternFill patternType="none"/>
    </fill>
    <fill>
      <patternFill patternType="gray125"/>
    </fill>
    <fill>
      <patternFill patternType="solid">
        <fgColor indexed="13"/>
        <bgColor indexed="64"/>
      </patternFill>
    </fill>
    <fill>
      <patternFill patternType="solid">
        <fgColor indexed="29"/>
        <bgColor indexed="64"/>
      </patternFill>
    </fill>
    <fill>
      <patternFill patternType="solid">
        <fgColor indexed="22"/>
        <bgColor indexed="64"/>
      </patternFill>
    </fill>
    <fill>
      <patternFill patternType="solid">
        <fgColor indexed="11"/>
        <bgColor indexed="64"/>
      </patternFill>
    </fill>
    <fill>
      <patternFill patternType="solid">
        <fgColor indexed="51"/>
        <bgColor indexed="64"/>
      </patternFill>
    </fill>
    <fill>
      <patternFill patternType="solid">
        <fgColor indexed="55"/>
        <bgColor indexed="64"/>
      </patternFill>
    </fill>
    <fill>
      <patternFill patternType="solid">
        <fgColor indexed="23"/>
        <bgColor indexed="64"/>
      </patternFill>
    </fill>
    <fill>
      <patternFill patternType="solid">
        <fgColor indexed="42"/>
        <bgColor indexed="64"/>
      </patternFill>
    </fill>
    <fill>
      <patternFill patternType="solid">
        <fgColor rgb="FFC6EFCE"/>
      </patternFill>
    </fill>
    <fill>
      <patternFill patternType="solid">
        <fgColor rgb="FF92D050"/>
        <bgColor indexed="64"/>
      </patternFill>
    </fill>
    <fill>
      <patternFill patternType="solid">
        <fgColor rgb="FFFFFF00"/>
        <bgColor indexed="64"/>
      </patternFill>
    </fill>
    <fill>
      <patternFill patternType="solid">
        <fgColor theme="3" tint="0.79998168889431442"/>
        <bgColor indexed="64"/>
      </patternFill>
    </fill>
    <fill>
      <patternFill patternType="solid">
        <fgColor theme="8" tint="0.79998168889431442"/>
        <bgColor indexed="64"/>
      </patternFill>
    </fill>
  </fills>
  <borders count="36">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theme="1"/>
      </left>
      <right style="thin">
        <color theme="1"/>
      </right>
      <top style="thin">
        <color theme="1"/>
      </top>
      <bottom style="thin">
        <color theme="1"/>
      </bottom>
      <diagonal/>
    </border>
  </borders>
  <cellStyleXfs count="4">
    <xf numFmtId="0" fontId="0" fillId="0" borderId="0"/>
    <xf numFmtId="44" fontId="1" fillId="0" borderId="0" applyFont="0" applyFill="0" applyBorder="0" applyAlignment="0" applyProtection="0"/>
    <xf numFmtId="0" fontId="23" fillId="10" borderId="0" applyNumberFormat="0" applyBorder="0" applyAlignment="0" applyProtection="0"/>
    <xf numFmtId="9" fontId="1" fillId="0" borderId="0" applyFont="0" applyFill="0" applyBorder="0" applyAlignment="0" applyProtection="0"/>
  </cellStyleXfs>
  <cellXfs count="454">
    <xf numFmtId="0" fontId="0" fillId="0" borderId="0" xfId="0"/>
    <xf numFmtId="0" fontId="0" fillId="2" borderId="1" xfId="0" applyFill="1" applyBorder="1" applyAlignment="1">
      <alignment vertical="top"/>
    </xf>
    <xf numFmtId="165" fontId="0" fillId="2" borderId="2" xfId="0" applyNumberFormat="1" applyFill="1" applyBorder="1" applyAlignment="1">
      <alignment vertical="top"/>
    </xf>
    <xf numFmtId="0" fontId="0" fillId="0" borderId="0" xfId="0" applyBorder="1"/>
    <xf numFmtId="164" fontId="0" fillId="0" borderId="0" xfId="0" applyNumberFormat="1"/>
    <xf numFmtId="0" fontId="5" fillId="0" borderId="0" xfId="0" applyFont="1"/>
    <xf numFmtId="0" fontId="0" fillId="3" borderId="3" xfId="0" applyFill="1" applyBorder="1"/>
    <xf numFmtId="164" fontId="0" fillId="3" borderId="3" xfId="1" applyNumberFormat="1" applyFont="1" applyFill="1" applyBorder="1"/>
    <xf numFmtId="0" fontId="8" fillId="4" borderId="3" xfId="0" applyFont="1" applyFill="1" applyBorder="1"/>
    <xf numFmtId="0" fontId="9" fillId="3" borderId="3" xfId="0" applyFont="1" applyFill="1" applyBorder="1"/>
    <xf numFmtId="0" fontId="8" fillId="0" borderId="0" xfId="0" applyFont="1"/>
    <xf numFmtId="166" fontId="8" fillId="5" borderId="3" xfId="1" applyNumberFormat="1" applyFont="1" applyFill="1" applyBorder="1"/>
    <xf numFmtId="164" fontId="8" fillId="5" borderId="3" xfId="0" applyNumberFormat="1" applyFont="1" applyFill="1" applyBorder="1"/>
    <xf numFmtId="166" fontId="8" fillId="5" borderId="0" xfId="0" applyNumberFormat="1" applyFont="1" applyFill="1"/>
    <xf numFmtId="0" fontId="8" fillId="5" borderId="3" xfId="0" applyFont="1" applyFill="1" applyBorder="1"/>
    <xf numFmtId="166" fontId="8" fillId="5" borderId="3" xfId="0" applyNumberFormat="1" applyFont="1" applyFill="1" applyBorder="1"/>
    <xf numFmtId="166" fontId="9" fillId="0" borderId="0" xfId="1" applyNumberFormat="1" applyFont="1"/>
    <xf numFmtId="166" fontId="9" fillId="0" borderId="0" xfId="0" applyNumberFormat="1" applyFont="1"/>
    <xf numFmtId="0" fontId="8" fillId="0" borderId="0" xfId="0" applyFont="1" applyFill="1"/>
    <xf numFmtId="164" fontId="8" fillId="0" borderId="0" xfId="0" applyNumberFormat="1" applyFont="1" applyFill="1"/>
    <xf numFmtId="166" fontId="8" fillId="0" borderId="0" xfId="0" applyNumberFormat="1" applyFont="1" applyFill="1"/>
    <xf numFmtId="0" fontId="8" fillId="0" borderId="1" xfId="0" applyFont="1" applyBorder="1"/>
    <xf numFmtId="0" fontId="8" fillId="0" borderId="4" xfId="0" applyFont="1" applyBorder="1"/>
    <xf numFmtId="0" fontId="8" fillId="0" borderId="2" xfId="0" applyFont="1" applyBorder="1"/>
    <xf numFmtId="0" fontId="8" fillId="0" borderId="5" xfId="0" applyFont="1" applyBorder="1"/>
    <xf numFmtId="0" fontId="8" fillId="0" borderId="0" xfId="0" applyFont="1" applyBorder="1"/>
    <xf numFmtId="0" fontId="8" fillId="0" borderId="6" xfId="0" applyFont="1" applyBorder="1"/>
    <xf numFmtId="164" fontId="8" fillId="0" borderId="0" xfId="0" applyNumberFormat="1" applyFont="1" applyBorder="1"/>
    <xf numFmtId="0" fontId="8" fillId="0" borderId="7" xfId="0" applyFont="1" applyBorder="1"/>
    <xf numFmtId="0" fontId="4" fillId="0" borderId="0" xfId="0" applyFont="1"/>
    <xf numFmtId="166" fontId="8" fillId="0" borderId="0" xfId="0" applyNumberFormat="1" applyFont="1"/>
    <xf numFmtId="166" fontId="0" fillId="0" borderId="0" xfId="0" applyNumberFormat="1"/>
    <xf numFmtId="0" fontId="0" fillId="0" borderId="0" xfId="0" applyNumberFormat="1"/>
    <xf numFmtId="164" fontId="4" fillId="4" borderId="3" xfId="0" applyNumberFormat="1" applyFont="1" applyFill="1" applyBorder="1"/>
    <xf numFmtId="0" fontId="4" fillId="4" borderId="3" xfId="0" applyNumberFormat="1" applyFont="1" applyFill="1" applyBorder="1"/>
    <xf numFmtId="166" fontId="0" fillId="0" borderId="3" xfId="0" applyNumberFormat="1" applyBorder="1"/>
    <xf numFmtId="166" fontId="8" fillId="4" borderId="3" xfId="1" applyNumberFormat="1" applyFont="1" applyFill="1" applyBorder="1"/>
    <xf numFmtId="164" fontId="8" fillId="4" borderId="3" xfId="0" applyNumberFormat="1" applyFont="1" applyFill="1" applyBorder="1"/>
    <xf numFmtId="166" fontId="8" fillId="4" borderId="3" xfId="0" applyNumberFormat="1" applyFont="1" applyFill="1" applyBorder="1"/>
    <xf numFmtId="0" fontId="8" fillId="6" borderId="3" xfId="0" applyFont="1" applyFill="1" applyBorder="1"/>
    <xf numFmtId="166" fontId="9" fillId="7" borderId="3" xfId="1" applyNumberFormat="1" applyFont="1" applyFill="1" applyBorder="1"/>
    <xf numFmtId="166" fontId="9" fillId="7" borderId="3" xfId="0" applyNumberFormat="1" applyFont="1" applyFill="1" applyBorder="1"/>
    <xf numFmtId="1" fontId="8" fillId="0" borderId="0" xfId="0" applyNumberFormat="1" applyFont="1"/>
    <xf numFmtId="0" fontId="8" fillId="7" borderId="3" xfId="0" applyFont="1" applyFill="1" applyBorder="1"/>
    <xf numFmtId="0" fontId="8" fillId="7" borderId="8" xfId="0" applyFont="1" applyFill="1" applyBorder="1"/>
    <xf numFmtId="0" fontId="0" fillId="0" borderId="0" xfId="0" applyFill="1"/>
    <xf numFmtId="1" fontId="0" fillId="0" borderId="0" xfId="0" applyNumberFormat="1"/>
    <xf numFmtId="164" fontId="8" fillId="0" borderId="0" xfId="0" applyNumberFormat="1" applyFont="1"/>
    <xf numFmtId="0" fontId="8" fillId="4" borderId="0" xfId="0" applyFont="1" applyFill="1" applyAlignment="1">
      <alignment horizontal="left"/>
    </xf>
    <xf numFmtId="0" fontId="8" fillId="0" borderId="0" xfId="0" applyFont="1" applyFill="1" applyBorder="1"/>
    <xf numFmtId="0" fontId="8" fillId="0" borderId="0" xfId="0" applyFont="1" applyFill="1" applyBorder="1" applyAlignment="1">
      <alignment horizontal="center"/>
    </xf>
    <xf numFmtId="0" fontId="8" fillId="0" borderId="0" xfId="0" applyFont="1" applyFill="1" applyBorder="1" applyAlignment="1">
      <alignment horizontal="right"/>
    </xf>
    <xf numFmtId="167" fontId="8" fillId="0" borderId="0" xfId="1" applyNumberFormat="1" applyFont="1" applyFill="1" applyBorder="1"/>
    <xf numFmtId="164" fontId="9" fillId="0" borderId="0" xfId="0" applyNumberFormat="1" applyFont="1" applyFill="1" applyBorder="1"/>
    <xf numFmtId="166" fontId="9" fillId="0" borderId="0" xfId="1" applyNumberFormat="1" applyFont="1" applyFill="1" applyBorder="1"/>
    <xf numFmtId="166" fontId="9" fillId="0" borderId="0" xfId="0" applyNumberFormat="1" applyFont="1" applyFill="1" applyBorder="1"/>
    <xf numFmtId="164" fontId="8" fillId="0" borderId="9" xfId="0" applyNumberFormat="1" applyFont="1" applyBorder="1"/>
    <xf numFmtId="164" fontId="8" fillId="0" borderId="10" xfId="0" applyNumberFormat="1" applyFont="1" applyBorder="1"/>
    <xf numFmtId="164" fontId="8" fillId="0" borderId="7" xfId="0" applyNumberFormat="1" applyFont="1" applyBorder="1"/>
    <xf numFmtId="0" fontId="8" fillId="0" borderId="11" xfId="0" applyFont="1" applyBorder="1"/>
    <xf numFmtId="0" fontId="8" fillId="0" borderId="12" xfId="0" applyFont="1" applyBorder="1"/>
    <xf numFmtId="0" fontId="8" fillId="0" borderId="8" xfId="0" applyFont="1" applyBorder="1"/>
    <xf numFmtId="3" fontId="9" fillId="0" borderId="0" xfId="0" applyNumberFormat="1" applyFont="1" applyAlignment="1">
      <alignment horizontal="right"/>
    </xf>
    <xf numFmtId="0" fontId="9" fillId="0" borderId="0" xfId="0" applyFont="1" applyAlignment="1">
      <alignment horizontal="left"/>
    </xf>
    <xf numFmtId="0" fontId="9" fillId="0" borderId="0" xfId="0" applyFont="1" applyAlignment="1">
      <alignment horizontal="right"/>
    </xf>
    <xf numFmtId="164" fontId="8" fillId="0" borderId="0" xfId="0" applyNumberFormat="1" applyFont="1" applyBorder="1" applyAlignment="1">
      <alignment horizontal="left"/>
    </xf>
    <xf numFmtId="0" fontId="8" fillId="0" borderId="5" xfId="0" applyFont="1" applyBorder="1" applyAlignment="1"/>
    <xf numFmtId="0" fontId="11" fillId="0" borderId="0" xfId="0" applyFont="1"/>
    <xf numFmtId="0" fontId="8" fillId="4" borderId="8" xfId="0" applyFont="1" applyFill="1" applyBorder="1"/>
    <xf numFmtId="0" fontId="0" fillId="0" borderId="0" xfId="0" applyFill="1" applyBorder="1"/>
    <xf numFmtId="0" fontId="0" fillId="0" borderId="0" xfId="0" applyFill="1" applyBorder="1" applyAlignment="1">
      <alignment horizontal="left" indent="1"/>
    </xf>
    <xf numFmtId="43" fontId="8" fillId="0" borderId="0" xfId="0" applyNumberFormat="1" applyFont="1"/>
    <xf numFmtId="0" fontId="8" fillId="0" borderId="3" xfId="0" applyFont="1" applyBorder="1"/>
    <xf numFmtId="166" fontId="8" fillId="0" borderId="3" xfId="1" applyNumberFormat="1" applyFont="1" applyBorder="1"/>
    <xf numFmtId="166" fontId="8" fillId="0" borderId="3" xfId="0" applyNumberFormat="1" applyFont="1" applyBorder="1"/>
    <xf numFmtId="164" fontId="0" fillId="0" borderId="3" xfId="0" applyNumberFormat="1" applyBorder="1" applyAlignment="1">
      <alignment horizontal="left" indent="1"/>
    </xf>
    <xf numFmtId="164" fontId="4" fillId="0" borderId="3" xfId="0" applyNumberFormat="1" applyFont="1" applyFill="1" applyBorder="1"/>
    <xf numFmtId="0" fontId="4" fillId="0" borderId="3" xfId="0" applyNumberFormat="1" applyFont="1" applyFill="1" applyBorder="1"/>
    <xf numFmtId="164" fontId="5" fillId="0" borderId="3" xfId="0" applyNumberFormat="1" applyFont="1" applyBorder="1" applyAlignment="1">
      <alignment horizontal="left" indent="1"/>
    </xf>
    <xf numFmtId="164" fontId="4" fillId="0" borderId="3" xfId="0" applyNumberFormat="1" applyFont="1" applyBorder="1"/>
    <xf numFmtId="164" fontId="4" fillId="0" borderId="3" xfId="0" applyNumberFormat="1" applyFont="1" applyBorder="1" applyAlignment="1">
      <alignment horizontal="left"/>
    </xf>
    <xf numFmtId="0" fontId="8" fillId="4" borderId="6" xfId="0" applyFont="1" applyFill="1" applyBorder="1" applyAlignment="1"/>
    <xf numFmtId="0" fontId="8" fillId="4" borderId="11" xfId="0" applyFont="1" applyFill="1" applyBorder="1" applyAlignment="1">
      <alignment horizontal="center"/>
    </xf>
    <xf numFmtId="164" fontId="5" fillId="0" borderId="0" xfId="0" applyNumberFormat="1" applyFont="1"/>
    <xf numFmtId="166" fontId="8" fillId="0" borderId="3" xfId="1" applyNumberFormat="1" applyFont="1" applyFill="1" applyBorder="1"/>
    <xf numFmtId="166" fontId="8" fillId="0" borderId="3" xfId="0" applyNumberFormat="1" applyFont="1" applyFill="1" applyBorder="1"/>
    <xf numFmtId="164" fontId="5" fillId="0" borderId="3" xfId="0" applyNumberFormat="1" applyFont="1" applyBorder="1"/>
    <xf numFmtId="0" fontId="9" fillId="4" borderId="3" xfId="0" applyNumberFormat="1" applyFont="1" applyFill="1" applyBorder="1"/>
    <xf numFmtId="0" fontId="9" fillId="0" borderId="3" xfId="0" applyNumberFormat="1" applyFont="1" applyFill="1" applyBorder="1"/>
    <xf numFmtId="166" fontId="8" fillId="2" borderId="3" xfId="0" applyNumberFormat="1" applyFont="1" applyFill="1" applyBorder="1"/>
    <xf numFmtId="164" fontId="8" fillId="2" borderId="3" xfId="0" applyNumberFormat="1" applyFont="1" applyFill="1" applyBorder="1"/>
    <xf numFmtId="0" fontId="8" fillId="2" borderId="0" xfId="0" applyFont="1" applyFill="1"/>
    <xf numFmtId="164" fontId="8" fillId="2" borderId="0" xfId="0" applyNumberFormat="1" applyFont="1" applyFill="1"/>
    <xf numFmtId="164" fontId="5" fillId="0" borderId="3" xfId="0" applyNumberFormat="1" applyFont="1" applyBorder="1" applyAlignment="1">
      <alignment horizontal="left"/>
    </xf>
    <xf numFmtId="0" fontId="23" fillId="10" borderId="3" xfId="2" applyNumberFormat="1" applyBorder="1"/>
    <xf numFmtId="164" fontId="8" fillId="0" borderId="3" xfId="0" applyNumberFormat="1" applyFont="1" applyBorder="1" applyAlignment="1">
      <alignment horizontal="left"/>
    </xf>
    <xf numFmtId="164" fontId="8" fillId="0" borderId="3" xfId="0" applyNumberFormat="1" applyFont="1" applyBorder="1"/>
    <xf numFmtId="0" fontId="9" fillId="0" borderId="0" xfId="0" applyFont="1" applyFill="1" applyBorder="1"/>
    <xf numFmtId="166" fontId="8" fillId="0" borderId="0" xfId="0" applyNumberFormat="1" applyFont="1" applyFill="1" applyBorder="1"/>
    <xf numFmtId="0" fontId="8" fillId="0" borderId="13" xfId="0" applyFont="1" applyFill="1" applyBorder="1"/>
    <xf numFmtId="0" fontId="8" fillId="2" borderId="3" xfId="0" applyFont="1" applyFill="1" applyBorder="1"/>
    <xf numFmtId="166" fontId="5" fillId="0" borderId="3" xfId="0" applyNumberFormat="1" applyFont="1" applyBorder="1"/>
    <xf numFmtId="164" fontId="4" fillId="0" borderId="3" xfId="0" applyNumberFormat="1" applyFont="1" applyBorder="1" applyAlignment="1"/>
    <xf numFmtId="166" fontId="9" fillId="2" borderId="3" xfId="1" applyNumberFormat="1" applyFont="1" applyFill="1" applyBorder="1"/>
    <xf numFmtId="166" fontId="9" fillId="2" borderId="3" xfId="0" applyNumberFormat="1" applyFont="1" applyFill="1" applyBorder="1"/>
    <xf numFmtId="0" fontId="8" fillId="2" borderId="3" xfId="0" applyFont="1" applyFill="1" applyBorder="1" applyAlignment="1">
      <alignment horizontal="right"/>
    </xf>
    <xf numFmtId="0" fontId="8" fillId="7" borderId="3" xfId="0" applyFont="1" applyFill="1" applyBorder="1" applyAlignment="1">
      <alignment horizontal="right"/>
    </xf>
    <xf numFmtId="166" fontId="8" fillId="4" borderId="3" xfId="0" applyNumberFormat="1" applyFont="1" applyFill="1" applyBorder="1" applyAlignment="1">
      <alignment horizontal="right"/>
    </xf>
    <xf numFmtId="0" fontId="8" fillId="0" borderId="0" xfId="0" applyFont="1" applyAlignment="1">
      <alignment horizontal="center"/>
    </xf>
    <xf numFmtId="0" fontId="8" fillId="4" borderId="11" xfId="0" applyFont="1" applyFill="1" applyBorder="1" applyAlignment="1">
      <alignment horizontal="right"/>
    </xf>
    <xf numFmtId="0" fontId="8" fillId="4" borderId="8" xfId="0" applyFont="1" applyFill="1" applyBorder="1" applyAlignment="1">
      <alignment horizontal="right"/>
    </xf>
    <xf numFmtId="166" fontId="12" fillId="10" borderId="3" xfId="2" applyNumberFormat="1" applyFont="1" applyBorder="1"/>
    <xf numFmtId="166" fontId="13" fillId="10" borderId="3" xfId="2" applyNumberFormat="1" applyFont="1" applyBorder="1"/>
    <xf numFmtId="164" fontId="5" fillId="0" borderId="13" xfId="0" applyNumberFormat="1" applyFont="1" applyBorder="1" applyAlignment="1">
      <alignment horizontal="left" indent="1"/>
    </xf>
    <xf numFmtId="164" fontId="4" fillId="2" borderId="3" xfId="0" applyNumberFormat="1" applyFont="1" applyFill="1" applyBorder="1" applyAlignment="1">
      <alignment horizontal="center"/>
    </xf>
    <xf numFmtId="0" fontId="9" fillId="0" borderId="0" xfId="0" applyFont="1" applyFill="1"/>
    <xf numFmtId="15" fontId="0" fillId="0" borderId="0" xfId="0" applyNumberFormat="1"/>
    <xf numFmtId="0" fontId="9" fillId="3" borderId="3" xfId="0" applyFont="1" applyFill="1" applyBorder="1" applyAlignment="1">
      <alignment horizontal="right"/>
    </xf>
    <xf numFmtId="0" fontId="8" fillId="0" borderId="0" xfId="0" applyFont="1" applyAlignment="1">
      <alignment horizontal="right"/>
    </xf>
    <xf numFmtId="0" fontId="8" fillId="4" borderId="6" xfId="0" applyFont="1" applyFill="1" applyBorder="1" applyAlignment="1">
      <alignment horizontal="left"/>
    </xf>
    <xf numFmtId="0" fontId="8" fillId="4" borderId="5" xfId="0" applyFont="1" applyFill="1" applyBorder="1" applyAlignment="1">
      <alignment horizontal="left"/>
    </xf>
    <xf numFmtId="0" fontId="8" fillId="4" borderId="0" xfId="0" applyFont="1" applyFill="1" applyBorder="1" applyAlignment="1">
      <alignment horizontal="left"/>
    </xf>
    <xf numFmtId="0" fontId="8" fillId="2" borderId="11" xfId="0" applyFont="1" applyFill="1" applyBorder="1"/>
    <xf numFmtId="0" fontId="8" fillId="2" borderId="12" xfId="0" applyFont="1" applyFill="1" applyBorder="1"/>
    <xf numFmtId="164" fontId="8" fillId="2" borderId="8" xfId="0" applyNumberFormat="1" applyFont="1" applyFill="1" applyBorder="1"/>
    <xf numFmtId="0" fontId="8" fillId="4" borderId="5" xfId="0" applyFont="1" applyFill="1" applyBorder="1" applyAlignment="1"/>
    <xf numFmtId="0" fontId="8" fillId="4" borderId="0" xfId="0" applyFont="1" applyFill="1" applyBorder="1" applyAlignment="1"/>
    <xf numFmtId="0" fontId="8" fillId="4" borderId="9" xfId="0" applyFont="1" applyFill="1" applyBorder="1" applyAlignment="1"/>
    <xf numFmtId="0" fontId="8" fillId="4" borderId="10" xfId="0" applyFont="1" applyFill="1" applyBorder="1" applyAlignment="1"/>
    <xf numFmtId="0" fontId="8" fillId="4" borderId="7" xfId="0" applyFont="1" applyFill="1" applyBorder="1" applyAlignment="1"/>
    <xf numFmtId="0" fontId="11" fillId="0" borderId="0" xfId="0" applyFont="1" applyFill="1" applyBorder="1"/>
    <xf numFmtId="0" fontId="11" fillId="0" borderId="0" xfId="0" applyFont="1" applyFill="1"/>
    <xf numFmtId="166" fontId="11" fillId="2" borderId="3" xfId="0" applyNumberFormat="1" applyFont="1" applyFill="1" applyBorder="1"/>
    <xf numFmtId="166" fontId="11" fillId="0" borderId="0" xfId="0" applyNumberFormat="1" applyFont="1"/>
    <xf numFmtId="0" fontId="16" fillId="0" borderId="0" xfId="0" applyFont="1"/>
    <xf numFmtId="0" fontId="11" fillId="4" borderId="3" xfId="0" applyFont="1" applyFill="1" applyBorder="1"/>
    <xf numFmtId="0" fontId="11" fillId="4" borderId="3" xfId="0" applyFont="1" applyFill="1" applyBorder="1" applyAlignment="1">
      <alignment horizontal="right"/>
    </xf>
    <xf numFmtId="0" fontId="11" fillId="2" borderId="3" xfId="0" applyFont="1" applyFill="1" applyBorder="1" applyAlignment="1">
      <alignment horizontal="center"/>
    </xf>
    <xf numFmtId="0" fontId="14" fillId="3" borderId="3" xfId="0" applyFont="1" applyFill="1" applyBorder="1" applyAlignment="1">
      <alignment horizontal="right"/>
    </xf>
    <xf numFmtId="0" fontId="14" fillId="3" borderId="3" xfId="0" applyFont="1" applyFill="1" applyBorder="1"/>
    <xf numFmtId="0" fontId="11" fillId="7" borderId="14" xfId="0" applyFont="1" applyFill="1" applyBorder="1" applyAlignment="1">
      <alignment horizontal="right"/>
    </xf>
    <xf numFmtId="0" fontId="11" fillId="7" borderId="3" xfId="0" applyFont="1" applyFill="1" applyBorder="1" applyAlignment="1">
      <alignment horizontal="right"/>
    </xf>
    <xf numFmtId="0" fontId="9" fillId="0" borderId="0" xfId="0" applyFont="1"/>
    <xf numFmtId="0" fontId="8" fillId="0" borderId="1" xfId="0" applyFont="1" applyBorder="1" applyAlignment="1">
      <alignment horizontal="right"/>
    </xf>
    <xf numFmtId="0" fontId="8" fillId="0" borderId="5" xfId="0" applyFont="1" applyBorder="1" applyAlignment="1">
      <alignment horizontal="right"/>
    </xf>
    <xf numFmtId="0" fontId="8" fillId="0" borderId="9" xfId="0" applyFont="1" applyBorder="1" applyAlignment="1">
      <alignment horizontal="right"/>
    </xf>
    <xf numFmtId="0" fontId="8" fillId="0" borderId="11" xfId="0" applyFont="1" applyBorder="1" applyAlignment="1">
      <alignment horizontal="right"/>
    </xf>
    <xf numFmtId="0" fontId="8" fillId="4" borderId="3" xfId="0" applyFont="1" applyFill="1" applyBorder="1" applyAlignment="1">
      <alignment horizontal="right"/>
    </xf>
    <xf numFmtId="166" fontId="9" fillId="3" borderId="3" xfId="0" applyNumberFormat="1" applyFont="1" applyFill="1" applyBorder="1"/>
    <xf numFmtId="0" fontId="0" fillId="4" borderId="0" xfId="0" applyFill="1"/>
    <xf numFmtId="0" fontId="8" fillId="4" borderId="3" xfId="0" applyNumberFormat="1" applyFont="1" applyFill="1" applyBorder="1"/>
    <xf numFmtId="0" fontId="9" fillId="3" borderId="14" xfId="0" applyFont="1" applyFill="1" applyBorder="1" applyAlignment="1">
      <alignment horizontal="right"/>
    </xf>
    <xf numFmtId="0" fontId="9" fillId="3" borderId="14" xfId="0" applyFont="1" applyFill="1" applyBorder="1"/>
    <xf numFmtId="0" fontId="9" fillId="3" borderId="0" xfId="0" applyFont="1" applyFill="1"/>
    <xf numFmtId="0" fontId="8" fillId="0" borderId="15" xfId="0" applyFont="1" applyBorder="1"/>
    <xf numFmtId="0" fontId="8" fillId="0" borderId="16" xfId="0" applyFont="1" applyBorder="1"/>
    <xf numFmtId="0" fontId="8" fillId="0" borderId="17" xfId="0" applyFont="1" applyBorder="1"/>
    <xf numFmtId="0" fontId="8" fillId="0" borderId="18" xfId="0" applyFont="1" applyBorder="1"/>
    <xf numFmtId="166" fontId="8" fillId="0" borderId="19" xfId="1" applyNumberFormat="1" applyFont="1" applyBorder="1"/>
    <xf numFmtId="166" fontId="8" fillId="0" borderId="20" xfId="1" applyNumberFormat="1" applyFont="1" applyBorder="1"/>
    <xf numFmtId="166" fontId="8" fillId="0" borderId="21" xfId="1" applyNumberFormat="1" applyFont="1" applyBorder="1"/>
    <xf numFmtId="166" fontId="8" fillId="0" borderId="22" xfId="1" applyNumberFormat="1" applyFont="1" applyBorder="1"/>
    <xf numFmtId="166" fontId="8" fillId="4" borderId="8" xfId="0" applyNumberFormat="1" applyFont="1" applyFill="1" applyBorder="1"/>
    <xf numFmtId="0" fontId="8" fillId="4" borderId="17" xfId="0" applyFont="1" applyFill="1" applyBorder="1" applyAlignment="1">
      <alignment horizontal="right"/>
    </xf>
    <xf numFmtId="166" fontId="8" fillId="4" borderId="18" xfId="0" applyNumberFormat="1" applyFont="1" applyFill="1" applyBorder="1" applyAlignment="1">
      <alignment horizontal="right"/>
    </xf>
    <xf numFmtId="0" fontId="8" fillId="4" borderId="20" xfId="0" applyFont="1" applyFill="1" applyBorder="1" applyAlignment="1">
      <alignment horizontal="right"/>
    </xf>
    <xf numFmtId="166" fontId="8" fillId="4" borderId="21" xfId="0" applyNumberFormat="1" applyFont="1" applyFill="1" applyBorder="1" applyAlignment="1">
      <alignment horizontal="right"/>
    </xf>
    <xf numFmtId="166" fontId="8" fillId="4" borderId="22" xfId="0" applyNumberFormat="1" applyFont="1" applyFill="1" applyBorder="1" applyAlignment="1">
      <alignment horizontal="right"/>
    </xf>
    <xf numFmtId="0" fontId="8" fillId="7" borderId="23" xfId="0" applyFont="1" applyFill="1" applyBorder="1" applyAlignment="1">
      <alignment horizontal="right"/>
    </xf>
    <xf numFmtId="0" fontId="8" fillId="4" borderId="9" xfId="0" applyFont="1" applyFill="1" applyBorder="1" applyAlignment="1">
      <alignment horizontal="right"/>
    </xf>
    <xf numFmtId="0" fontId="8" fillId="4" borderId="24" xfId="0" applyFont="1" applyFill="1" applyBorder="1" applyAlignment="1">
      <alignment horizontal="center"/>
    </xf>
    <xf numFmtId="0" fontId="8" fillId="4" borderId="7" xfId="0" applyFont="1" applyFill="1" applyBorder="1" applyAlignment="1">
      <alignment horizontal="center"/>
    </xf>
    <xf numFmtId="0" fontId="8" fillId="4" borderId="25" xfId="0" applyFont="1" applyFill="1" applyBorder="1" applyAlignment="1">
      <alignment horizontal="center"/>
    </xf>
    <xf numFmtId="0" fontId="8" fillId="4" borderId="7" xfId="0" applyFont="1" applyFill="1" applyBorder="1"/>
    <xf numFmtId="0" fontId="8" fillId="4" borderId="23" xfId="0" applyFont="1" applyFill="1" applyBorder="1"/>
    <xf numFmtId="0" fontId="11" fillId="4" borderId="23" xfId="0" applyFont="1" applyFill="1" applyBorder="1"/>
    <xf numFmtId="0" fontId="11" fillId="3" borderId="3" xfId="0" applyFont="1" applyFill="1" applyBorder="1"/>
    <xf numFmtId="0" fontId="11" fillId="4" borderId="3" xfId="0" applyFont="1" applyFill="1" applyBorder="1" applyAlignment="1">
      <alignment horizontal="left"/>
    </xf>
    <xf numFmtId="0" fontId="11" fillId="4" borderId="0" xfId="0" applyFont="1" applyFill="1"/>
    <xf numFmtId="166" fontId="11" fillId="4" borderId="3" xfId="0" applyNumberFormat="1" applyFont="1" applyFill="1" applyBorder="1"/>
    <xf numFmtId="166" fontId="9" fillId="2" borderId="23" xfId="0" applyNumberFormat="1" applyFont="1" applyFill="1" applyBorder="1"/>
    <xf numFmtId="0" fontId="11" fillId="0" borderId="0" xfId="0" applyFont="1" applyFill="1" applyBorder="1" applyAlignment="1">
      <alignment horizontal="center"/>
    </xf>
    <xf numFmtId="168" fontId="0" fillId="0" borderId="0" xfId="0" applyNumberFormat="1" applyAlignment="1">
      <alignment horizontal="left"/>
    </xf>
    <xf numFmtId="164" fontId="17" fillId="0" borderId="0" xfId="0" applyNumberFormat="1" applyFont="1"/>
    <xf numFmtId="164" fontId="4" fillId="0" borderId="3" xfId="0" applyNumberFormat="1" applyFont="1" applyBorder="1" applyAlignment="1">
      <alignment horizontal="center"/>
    </xf>
    <xf numFmtId="166" fontId="4" fillId="0" borderId="3" xfId="0" applyNumberFormat="1" applyFont="1" applyBorder="1"/>
    <xf numFmtId="166" fontId="8" fillId="4" borderId="3" xfId="1" applyNumberFormat="1" applyFont="1" applyFill="1" applyBorder="1" applyAlignment="1">
      <alignment horizontal="center"/>
    </xf>
    <xf numFmtId="0" fontId="0" fillId="4" borderId="0" xfId="0" applyFill="1" applyAlignment="1">
      <alignment horizontal="center"/>
    </xf>
    <xf numFmtId="0" fontId="8" fillId="4" borderId="3" xfId="0" applyFont="1" applyFill="1" applyBorder="1" applyAlignment="1">
      <alignment horizontal="center"/>
    </xf>
    <xf numFmtId="0" fontId="8" fillId="6" borderId="3" xfId="0" applyFont="1" applyFill="1" applyBorder="1" applyAlignment="1">
      <alignment horizontal="right"/>
    </xf>
    <xf numFmtId="3" fontId="0" fillId="0" borderId="0" xfId="0" applyNumberFormat="1" applyAlignment="1"/>
    <xf numFmtId="164" fontId="0" fillId="0" borderId="0" xfId="0" applyNumberFormat="1" applyBorder="1"/>
    <xf numFmtId="166" fontId="5" fillId="0" borderId="0" xfId="0" applyNumberFormat="1" applyFont="1" applyBorder="1"/>
    <xf numFmtId="164" fontId="0" fillId="0" borderId="0" xfId="0" applyNumberFormat="1" applyBorder="1" applyAlignment="1">
      <alignment horizontal="left"/>
    </xf>
    <xf numFmtId="166" fontId="8" fillId="2" borderId="3" xfId="0" applyNumberFormat="1" applyFont="1" applyFill="1" applyBorder="1" applyAlignment="1">
      <alignment horizontal="center"/>
    </xf>
    <xf numFmtId="0" fontId="0" fillId="4" borderId="3" xfId="0" applyFill="1" applyBorder="1"/>
    <xf numFmtId="0" fontId="0" fillId="2" borderId="3" xfId="0" applyFill="1" applyBorder="1"/>
    <xf numFmtId="166" fontId="8" fillId="2" borderId="23" xfId="0" applyNumberFormat="1" applyFont="1" applyFill="1" applyBorder="1"/>
    <xf numFmtId="0" fontId="8" fillId="0" borderId="0" xfId="0" applyFont="1" applyFill="1" applyBorder="1" applyAlignment="1">
      <alignment horizontal="left"/>
    </xf>
    <xf numFmtId="44" fontId="8" fillId="0" borderId="3" xfId="1" applyFont="1" applyBorder="1"/>
    <xf numFmtId="166" fontId="13" fillId="10" borderId="11" xfId="2" applyNumberFormat="1" applyFont="1" applyBorder="1"/>
    <xf numFmtId="166" fontId="8" fillId="0" borderId="13" xfId="0" applyNumberFormat="1" applyFont="1" applyBorder="1"/>
    <xf numFmtId="166" fontId="8" fillId="0" borderId="23" xfId="0" applyNumberFormat="1" applyFont="1" applyBorder="1"/>
    <xf numFmtId="166" fontId="8" fillId="8" borderId="1" xfId="0" applyNumberFormat="1" applyFont="1" applyFill="1" applyBorder="1"/>
    <xf numFmtId="166" fontId="8" fillId="8" borderId="4" xfId="0" applyNumberFormat="1" applyFont="1" applyFill="1" applyBorder="1"/>
    <xf numFmtId="166" fontId="8" fillId="8" borderId="9" xfId="0" applyNumberFormat="1" applyFont="1" applyFill="1" applyBorder="1"/>
    <xf numFmtId="166" fontId="8" fillId="8" borderId="10" xfId="0" applyNumberFormat="1" applyFont="1" applyFill="1" applyBorder="1"/>
    <xf numFmtId="9" fontId="8" fillId="0" borderId="3" xfId="3" applyFont="1" applyBorder="1"/>
    <xf numFmtId="9" fontId="8" fillId="2" borderId="3" xfId="0" applyNumberFormat="1" applyFont="1" applyFill="1" applyBorder="1"/>
    <xf numFmtId="9" fontId="8" fillId="2" borderId="23" xfId="0" applyNumberFormat="1" applyFont="1" applyFill="1" applyBorder="1"/>
    <xf numFmtId="166" fontId="1" fillId="0" borderId="3" xfId="0" applyNumberFormat="1" applyFont="1" applyBorder="1"/>
    <xf numFmtId="164" fontId="1" fillId="0" borderId="3" xfId="0" applyNumberFormat="1" applyFont="1" applyBorder="1"/>
    <xf numFmtId="0" fontId="9" fillId="0" borderId="11" xfId="0" applyNumberFormat="1" applyFont="1" applyFill="1" applyBorder="1"/>
    <xf numFmtId="166" fontId="8" fillId="0" borderId="11" xfId="0" applyNumberFormat="1" applyFont="1" applyBorder="1"/>
    <xf numFmtId="166" fontId="8" fillId="0" borderId="1" xfId="0" applyNumberFormat="1" applyFont="1" applyBorder="1"/>
    <xf numFmtId="166" fontId="8" fillId="0" borderId="9" xfId="0" applyNumberFormat="1" applyFont="1" applyBorder="1"/>
    <xf numFmtId="164" fontId="1" fillId="0" borderId="0" xfId="0" applyNumberFormat="1" applyFont="1" applyBorder="1" applyAlignment="1">
      <alignment horizontal="left"/>
    </xf>
    <xf numFmtId="164" fontId="1" fillId="0" borderId="0" xfId="0" applyNumberFormat="1" applyFont="1"/>
    <xf numFmtId="3" fontId="1" fillId="0" borderId="0" xfId="0" applyNumberFormat="1" applyFont="1" applyAlignment="1"/>
    <xf numFmtId="6" fontId="10" fillId="0" borderId="0" xfId="0" applyNumberFormat="1" applyFont="1" applyBorder="1" applyAlignment="1">
      <alignment horizontal="right"/>
    </xf>
    <xf numFmtId="164" fontId="17" fillId="0" borderId="0" xfId="0" applyNumberFormat="1" applyFont="1" applyAlignment="1">
      <alignment horizontal="right"/>
    </xf>
    <xf numFmtId="168" fontId="0" fillId="0" borderId="0" xfId="0" applyNumberFormat="1" applyAlignment="1">
      <alignment horizontal="right"/>
    </xf>
    <xf numFmtId="168" fontId="1" fillId="0" borderId="0" xfId="0" applyNumberFormat="1" applyFont="1" applyAlignment="1">
      <alignment horizontal="left"/>
    </xf>
    <xf numFmtId="164" fontId="4" fillId="4" borderId="11" xfId="0" applyNumberFormat="1" applyFont="1" applyFill="1" applyBorder="1"/>
    <xf numFmtId="1" fontId="4" fillId="4" borderId="20" xfId="0" applyNumberFormat="1" applyFont="1" applyFill="1" applyBorder="1"/>
    <xf numFmtId="1" fontId="4" fillId="4" borderId="21" xfId="0" applyNumberFormat="1" applyFont="1" applyFill="1" applyBorder="1"/>
    <xf numFmtId="0" fontId="9" fillId="0" borderId="0" xfId="0" applyNumberFormat="1" applyFont="1" applyFill="1" applyBorder="1"/>
    <xf numFmtId="164" fontId="1" fillId="0" borderId="3" xfId="0" applyNumberFormat="1" applyFont="1" applyBorder="1" applyAlignment="1">
      <alignment horizontal="left" indent="1"/>
    </xf>
    <xf numFmtId="3" fontId="4" fillId="0" borderId="3" xfId="0" applyNumberFormat="1" applyFont="1" applyBorder="1" applyAlignment="1">
      <alignment horizontal="right"/>
    </xf>
    <xf numFmtId="3" fontId="4" fillId="0" borderId="3" xfId="0" applyNumberFormat="1" applyFont="1" applyBorder="1" applyAlignment="1"/>
    <xf numFmtId="164" fontId="1" fillId="0" borderId="13" xfId="0" applyNumberFormat="1" applyFont="1" applyBorder="1" applyAlignment="1">
      <alignment horizontal="left" indent="1"/>
    </xf>
    <xf numFmtId="164" fontId="1" fillId="0" borderId="3" xfId="0" applyNumberFormat="1" applyFont="1" applyBorder="1" applyAlignment="1">
      <alignment horizontal="left"/>
    </xf>
    <xf numFmtId="164" fontId="0" fillId="0" borderId="0" xfId="0" applyNumberFormat="1" applyAlignment="1">
      <alignment horizontal="right"/>
    </xf>
    <xf numFmtId="164" fontId="0" fillId="0" borderId="0" xfId="0" applyNumberFormat="1" applyAlignment="1">
      <alignment horizontal="center"/>
    </xf>
    <xf numFmtId="3" fontId="0" fillId="0" borderId="0" xfId="0" applyNumberFormat="1"/>
    <xf numFmtId="164" fontId="5" fillId="0" borderId="0" xfId="0" applyNumberFormat="1" applyFont="1" applyAlignment="1">
      <alignment horizontal="right"/>
    </xf>
    <xf numFmtId="0" fontId="9" fillId="2" borderId="3" xfId="0" applyFont="1" applyFill="1" applyBorder="1" applyAlignment="1">
      <alignment horizontal="right"/>
    </xf>
    <xf numFmtId="164" fontId="8" fillId="0" borderId="0" xfId="0" applyNumberFormat="1" applyFont="1" applyFill="1" applyBorder="1"/>
    <xf numFmtId="164" fontId="8" fillId="2" borderId="3" xfId="0" applyNumberFormat="1" applyFont="1" applyFill="1" applyBorder="1" applyAlignment="1">
      <alignment horizontal="right"/>
    </xf>
    <xf numFmtId="166" fontId="18" fillId="2" borderId="3" xfId="0" applyNumberFormat="1" applyFont="1" applyFill="1" applyBorder="1"/>
    <xf numFmtId="0" fontId="4" fillId="0" borderId="0" xfId="0" applyNumberFormat="1" applyFont="1" applyFill="1" applyBorder="1"/>
    <xf numFmtId="0" fontId="23" fillId="0" borderId="0" xfId="2" applyNumberFormat="1" applyFill="1" applyBorder="1"/>
    <xf numFmtId="166" fontId="12" fillId="0" borderId="0" xfId="2" applyNumberFormat="1" applyFont="1" applyFill="1" applyBorder="1"/>
    <xf numFmtId="166" fontId="1" fillId="0" borderId="0" xfId="0" applyNumberFormat="1" applyFont="1" applyFill="1" applyBorder="1"/>
    <xf numFmtId="166" fontId="13" fillId="0" borderId="0" xfId="2" applyNumberFormat="1" applyFont="1" applyFill="1" applyBorder="1"/>
    <xf numFmtId="166" fontId="1" fillId="0" borderId="0" xfId="0" applyNumberFormat="1" applyFont="1" applyFill="1" applyBorder="1" applyAlignment="1">
      <alignment horizontal="center"/>
    </xf>
    <xf numFmtId="164" fontId="4" fillId="0" borderId="23" xfId="0" applyNumberFormat="1" applyFont="1" applyFill="1" applyBorder="1"/>
    <xf numFmtId="164" fontId="4" fillId="0" borderId="0" xfId="0" applyNumberFormat="1" applyFont="1" applyFill="1" applyBorder="1" applyAlignment="1">
      <alignment horizontal="center"/>
    </xf>
    <xf numFmtId="166" fontId="4" fillId="0" borderId="0" xfId="0" applyNumberFormat="1" applyFont="1" applyFill="1" applyBorder="1" applyAlignment="1">
      <alignment horizontal="center"/>
    </xf>
    <xf numFmtId="166" fontId="8" fillId="0" borderId="0" xfId="0" applyNumberFormat="1" applyFont="1" applyFill="1" applyBorder="1" applyAlignment="1">
      <alignment horizontal="center"/>
    </xf>
    <xf numFmtId="0" fontId="4" fillId="0" borderId="0" xfId="0" applyFont="1" applyFill="1" applyBorder="1" applyAlignment="1">
      <alignment horizontal="center"/>
    </xf>
    <xf numFmtId="166" fontId="0" fillId="0" borderId="0" xfId="0" applyNumberFormat="1" applyFill="1" applyBorder="1" applyAlignment="1"/>
    <xf numFmtId="166" fontId="23" fillId="0" borderId="0" xfId="2" applyNumberFormat="1" applyFill="1" applyBorder="1" applyAlignment="1"/>
    <xf numFmtId="166" fontId="1" fillId="0" borderId="0" xfId="0" applyNumberFormat="1" applyFont="1" applyFill="1" applyBorder="1" applyAlignment="1"/>
    <xf numFmtId="166" fontId="13" fillId="0" borderId="0" xfId="2" applyNumberFormat="1" applyFont="1" applyFill="1" applyBorder="1" applyAlignment="1"/>
    <xf numFmtId="166" fontId="8" fillId="0" borderId="0" xfId="0" applyNumberFormat="1" applyFont="1" applyFill="1" applyBorder="1" applyAlignment="1"/>
    <xf numFmtId="166" fontId="12" fillId="0" borderId="0" xfId="2" applyNumberFormat="1" applyFont="1" applyFill="1" applyBorder="1" applyAlignment="1"/>
    <xf numFmtId="164" fontId="1" fillId="0" borderId="0" xfId="0" applyNumberFormat="1" applyFont="1" applyAlignment="1">
      <alignment horizontal="right"/>
    </xf>
    <xf numFmtId="4" fontId="1" fillId="0" borderId="0" xfId="0" applyNumberFormat="1" applyFont="1" applyFill="1" applyBorder="1" applyAlignment="1"/>
    <xf numFmtId="0" fontId="9" fillId="2" borderId="3" xfId="0" applyFont="1" applyFill="1" applyBorder="1" applyAlignment="1">
      <alignment horizontal="left"/>
    </xf>
    <xf numFmtId="0" fontId="9" fillId="2" borderId="3" xfId="0" applyFont="1" applyFill="1" applyBorder="1"/>
    <xf numFmtId="164" fontId="0" fillId="0" borderId="0" xfId="0" applyNumberFormat="1" applyFill="1"/>
    <xf numFmtId="3" fontId="4" fillId="0" borderId="0" xfId="0" applyNumberFormat="1" applyFont="1" applyFill="1" applyBorder="1" applyAlignment="1">
      <alignment horizontal="center"/>
    </xf>
    <xf numFmtId="3" fontId="13" fillId="0" borderId="0" xfId="0" applyNumberFormat="1" applyFont="1" applyFill="1" applyBorder="1" applyAlignment="1"/>
    <xf numFmtId="164" fontId="4" fillId="4" borderId="1" xfId="0" applyNumberFormat="1" applyFont="1" applyFill="1" applyBorder="1"/>
    <xf numFmtId="168" fontId="4" fillId="0" borderId="3" xfId="0" applyNumberFormat="1" applyFont="1" applyBorder="1" applyAlignment="1">
      <alignment horizontal="left"/>
    </xf>
    <xf numFmtId="3" fontId="1" fillId="0" borderId="3" xfId="0" applyNumberFormat="1" applyFont="1" applyBorder="1" applyAlignment="1">
      <alignment horizontal="right"/>
    </xf>
    <xf numFmtId="168" fontId="4" fillId="0" borderId="0" xfId="0" applyNumberFormat="1" applyFont="1" applyBorder="1" applyAlignment="1">
      <alignment horizontal="left"/>
    </xf>
    <xf numFmtId="3" fontId="1" fillId="0" borderId="0" xfId="0" applyNumberFormat="1" applyFont="1" applyBorder="1" applyAlignment="1">
      <alignment horizontal="right"/>
    </xf>
    <xf numFmtId="3" fontId="19" fillId="0" borderId="0" xfId="0" applyNumberFormat="1" applyFont="1" applyBorder="1" applyAlignment="1">
      <alignment horizontal="right"/>
    </xf>
    <xf numFmtId="3" fontId="1" fillId="0" borderId="23" xfId="0" applyNumberFormat="1" applyFont="1" applyFill="1" applyBorder="1" applyAlignment="1">
      <alignment horizontal="right"/>
    </xf>
    <xf numFmtId="1" fontId="4" fillId="4" borderId="26" xfId="0" applyNumberFormat="1" applyFont="1" applyFill="1" applyBorder="1"/>
    <xf numFmtId="1" fontId="4" fillId="4" borderId="27" xfId="0" applyNumberFormat="1" applyFont="1" applyFill="1" applyBorder="1"/>
    <xf numFmtId="3" fontId="1" fillId="0" borderId="0" xfId="0" applyNumberFormat="1" applyFont="1" applyAlignment="1">
      <alignment horizontal="right"/>
    </xf>
    <xf numFmtId="168" fontId="20" fillId="4" borderId="11" xfId="0" applyNumberFormat="1" applyFont="1" applyFill="1" applyBorder="1" applyAlignment="1">
      <alignment horizontal="right"/>
    </xf>
    <xf numFmtId="4" fontId="20" fillId="4" borderId="12" xfId="0" applyNumberFormat="1" applyFont="1" applyFill="1" applyBorder="1" applyAlignment="1">
      <alignment horizontal="right"/>
    </xf>
    <xf numFmtId="4" fontId="20" fillId="4" borderId="8" xfId="0" applyNumberFormat="1" applyFont="1" applyFill="1" applyBorder="1" applyAlignment="1">
      <alignment horizontal="right"/>
    </xf>
    <xf numFmtId="164" fontId="22" fillId="9" borderId="28" xfId="0" applyNumberFormat="1" applyFont="1" applyFill="1" applyBorder="1" applyAlignment="1">
      <alignment horizontal="center"/>
    </xf>
    <xf numFmtId="164" fontId="22" fillId="9" borderId="22" xfId="0" applyNumberFormat="1" applyFont="1" applyFill="1" applyBorder="1" applyAlignment="1">
      <alignment horizontal="center"/>
    </xf>
    <xf numFmtId="164" fontId="4" fillId="9" borderId="23" xfId="0" applyNumberFormat="1" applyFont="1" applyFill="1" applyBorder="1" applyAlignment="1">
      <alignment horizontal="right"/>
    </xf>
    <xf numFmtId="3" fontId="4" fillId="9" borderId="3" xfId="0" applyNumberFormat="1" applyFont="1" applyFill="1" applyBorder="1" applyAlignment="1">
      <alignment horizontal="right"/>
    </xf>
    <xf numFmtId="3" fontId="5" fillId="0" borderId="3" xfId="0" applyNumberFormat="1" applyFont="1" applyBorder="1" applyAlignment="1">
      <alignment horizontal="right"/>
    </xf>
    <xf numFmtId="3" fontId="5" fillId="9" borderId="3" xfId="0" applyNumberFormat="1" applyFont="1" applyFill="1" applyBorder="1" applyAlignment="1">
      <alignment horizontal="right"/>
    </xf>
    <xf numFmtId="3" fontId="15" fillId="0" borderId="3" xfId="0" applyNumberFormat="1" applyFont="1" applyBorder="1" applyAlignment="1">
      <alignment horizontal="right"/>
    </xf>
    <xf numFmtId="3" fontId="15" fillId="9" borderId="3" xfId="0" applyNumberFormat="1" applyFont="1" applyFill="1" applyBorder="1" applyAlignment="1">
      <alignment horizontal="right"/>
    </xf>
    <xf numFmtId="3" fontId="16" fillId="0" borderId="3" xfId="0" applyNumberFormat="1" applyFont="1" applyBorder="1" applyAlignment="1">
      <alignment horizontal="right"/>
    </xf>
    <xf numFmtId="3" fontId="16" fillId="9" borderId="3" xfId="0" applyNumberFormat="1" applyFont="1" applyFill="1" applyBorder="1" applyAlignment="1">
      <alignment horizontal="right"/>
    </xf>
    <xf numFmtId="3" fontId="16" fillId="9" borderId="3" xfId="0" applyNumberFormat="1" applyFont="1" applyFill="1" applyBorder="1" applyAlignment="1"/>
    <xf numFmtId="3" fontId="4" fillId="9" borderId="3" xfId="0" applyNumberFormat="1" applyFont="1" applyFill="1" applyBorder="1" applyAlignment="1"/>
    <xf numFmtId="3" fontId="5" fillId="9" borderId="3" xfId="0" applyNumberFormat="1" applyFont="1" applyFill="1" applyBorder="1" applyAlignment="1"/>
    <xf numFmtId="3" fontId="5" fillId="0" borderId="13" xfId="0" applyNumberFormat="1" applyFont="1" applyBorder="1" applyAlignment="1">
      <alignment horizontal="right"/>
    </xf>
    <xf numFmtId="3" fontId="15" fillId="9" borderId="3" xfId="0" applyNumberFormat="1" applyFont="1" applyFill="1" applyBorder="1" applyAlignment="1"/>
    <xf numFmtId="3" fontId="15" fillId="0" borderId="3" xfId="0" applyNumberFormat="1" applyFont="1" applyBorder="1" applyAlignment="1"/>
    <xf numFmtId="3" fontId="5" fillId="0" borderId="3" xfId="0" applyNumberFormat="1" applyFont="1" applyBorder="1" applyAlignment="1"/>
    <xf numFmtId="3" fontId="16" fillId="0" borderId="3" xfId="0" applyNumberFormat="1" applyFont="1" applyBorder="1" applyAlignment="1"/>
    <xf numFmtId="3" fontId="1" fillId="9" borderId="23" xfId="0" applyNumberFormat="1" applyFont="1" applyFill="1" applyBorder="1" applyAlignment="1">
      <alignment horizontal="right"/>
    </xf>
    <xf numFmtId="3" fontId="1" fillId="9" borderId="3" xfId="0" applyNumberFormat="1" applyFont="1" applyFill="1" applyBorder="1" applyAlignment="1">
      <alignment horizontal="right"/>
    </xf>
    <xf numFmtId="168" fontId="4" fillId="0" borderId="3" xfId="0" applyNumberFormat="1" applyFont="1" applyBorder="1" applyAlignment="1">
      <alignment horizontal="right"/>
    </xf>
    <xf numFmtId="0" fontId="17" fillId="0" borderId="0" xfId="0" applyFont="1"/>
    <xf numFmtId="0" fontId="8" fillId="4" borderId="12" xfId="0" applyFont="1" applyFill="1" applyBorder="1" applyAlignment="1">
      <alignment horizontal="right"/>
    </xf>
    <xf numFmtId="0" fontId="1" fillId="0" borderId="0" xfId="0" applyFont="1"/>
    <xf numFmtId="166" fontId="8" fillId="11" borderId="35" xfId="0" applyNumberFormat="1" applyFont="1" applyFill="1" applyBorder="1"/>
    <xf numFmtId="5" fontId="8" fillId="0" borderId="3" xfId="0" applyNumberFormat="1" applyFont="1" applyBorder="1"/>
    <xf numFmtId="5" fontId="8" fillId="0" borderId="11" xfId="0" applyNumberFormat="1" applyFont="1" applyBorder="1"/>
    <xf numFmtId="164" fontId="5" fillId="0" borderId="3" xfId="0" applyNumberFormat="1" applyFont="1" applyFill="1" applyBorder="1" applyAlignment="1">
      <alignment horizontal="left" indent="1"/>
    </xf>
    <xf numFmtId="164" fontId="5" fillId="0" borderId="3" xfId="0" applyNumberFormat="1" applyFont="1" applyFill="1" applyBorder="1"/>
    <xf numFmtId="164" fontId="1" fillId="0" borderId="3" xfId="0" applyNumberFormat="1" applyFont="1" applyFill="1" applyBorder="1" applyAlignment="1">
      <alignment horizontal="left" indent="1"/>
    </xf>
    <xf numFmtId="164" fontId="4" fillId="12" borderId="3" xfId="0" applyNumberFormat="1" applyFont="1" applyFill="1" applyBorder="1" applyAlignment="1"/>
    <xf numFmtId="164" fontId="1" fillId="12" borderId="3" xfId="0" applyNumberFormat="1" applyFont="1" applyFill="1" applyBorder="1"/>
    <xf numFmtId="44" fontId="8" fillId="0" borderId="0" xfId="1" applyFont="1" applyFill="1" applyBorder="1"/>
    <xf numFmtId="0" fontId="8" fillId="0" borderId="0" xfId="0" applyFont="1" applyFill="1" applyBorder="1" applyAlignment="1"/>
    <xf numFmtId="166" fontId="8" fillId="2" borderId="3" xfId="0" applyNumberFormat="1" applyFont="1" applyFill="1" applyBorder="1" applyAlignment="1">
      <alignment horizontal="right"/>
    </xf>
    <xf numFmtId="164" fontId="24" fillId="0" borderId="3" xfId="0" applyNumberFormat="1" applyFont="1" applyBorder="1"/>
    <xf numFmtId="3" fontId="24" fillId="0" borderId="3" xfId="0" applyNumberFormat="1" applyFont="1" applyBorder="1" applyAlignment="1"/>
    <xf numFmtId="3" fontId="24" fillId="9" borderId="3" xfId="0" applyNumberFormat="1" applyFont="1" applyFill="1" applyBorder="1" applyAlignment="1"/>
    <xf numFmtId="164" fontId="24" fillId="0" borderId="3" xfId="0" applyNumberFormat="1" applyFont="1" applyBorder="1" applyAlignment="1">
      <alignment horizontal="left" indent="1"/>
    </xf>
    <xf numFmtId="0" fontId="8" fillId="4" borderId="11" xfId="0" applyFont="1" applyFill="1" applyBorder="1" applyAlignment="1">
      <alignment horizontal="right"/>
    </xf>
    <xf numFmtId="0" fontId="8" fillId="4" borderId="12" xfId="0" applyFont="1" applyFill="1" applyBorder="1" applyAlignment="1">
      <alignment horizontal="right"/>
    </xf>
    <xf numFmtId="0" fontId="8" fillId="4" borderId="8" xfId="0" applyFont="1" applyFill="1" applyBorder="1" applyAlignment="1">
      <alignment horizontal="right"/>
    </xf>
    <xf numFmtId="0" fontId="0" fillId="0" borderId="0" xfId="0" applyNumberFormat="1" applyFill="1"/>
    <xf numFmtId="0" fontId="13" fillId="10" borderId="3" xfId="2" applyNumberFormat="1" applyFont="1" applyBorder="1"/>
    <xf numFmtId="0" fontId="9" fillId="2" borderId="3" xfId="0" applyFont="1" applyFill="1" applyBorder="1" applyAlignment="1">
      <alignment horizontal="right"/>
    </xf>
    <xf numFmtId="164" fontId="4" fillId="12" borderId="3" xfId="0" applyNumberFormat="1" applyFont="1" applyFill="1" applyBorder="1" applyAlignment="1">
      <alignment horizontal="left"/>
    </xf>
    <xf numFmtId="0" fontId="13" fillId="0" borderId="3" xfId="2" applyNumberFormat="1" applyFont="1" applyFill="1" applyBorder="1"/>
    <xf numFmtId="166" fontId="12" fillId="0" borderId="3" xfId="2" applyNumberFormat="1" applyFont="1" applyFill="1" applyBorder="1"/>
    <xf numFmtId="166" fontId="13" fillId="0" borderId="3" xfId="2" applyNumberFormat="1" applyFont="1" applyFill="1" applyBorder="1"/>
    <xf numFmtId="166" fontId="23" fillId="0" borderId="3" xfId="2" applyNumberFormat="1" applyFill="1" applyBorder="1"/>
    <xf numFmtId="166" fontId="23" fillId="10" borderId="11" xfId="2" applyNumberFormat="1" applyBorder="1"/>
    <xf numFmtId="166" fontId="12" fillId="10" borderId="11" xfId="2" applyNumberFormat="1" applyFont="1" applyBorder="1"/>
    <xf numFmtId="166" fontId="4" fillId="12" borderId="3" xfId="0" applyNumberFormat="1" applyFont="1" applyFill="1" applyBorder="1" applyAlignment="1">
      <alignment horizontal="center"/>
    </xf>
    <xf numFmtId="0" fontId="4" fillId="12" borderId="3" xfId="0" applyFont="1" applyFill="1" applyBorder="1" applyAlignment="1">
      <alignment horizontal="center"/>
    </xf>
    <xf numFmtId="0" fontId="25" fillId="13" borderId="3" xfId="2" applyNumberFormat="1" applyFont="1" applyFill="1" applyBorder="1" applyAlignment="1">
      <alignment wrapText="1"/>
    </xf>
    <xf numFmtId="164" fontId="8" fillId="0" borderId="11" xfId="0" applyNumberFormat="1" applyFont="1" applyBorder="1"/>
    <xf numFmtId="166" fontId="8" fillId="14" borderId="5" xfId="0" applyNumberFormat="1" applyFont="1" applyFill="1" applyBorder="1"/>
    <xf numFmtId="1" fontId="0" fillId="0" borderId="0" xfId="0" applyNumberFormat="1" applyAlignment="1">
      <alignment horizontal="center"/>
    </xf>
    <xf numFmtId="1" fontId="8" fillId="0" borderId="0" xfId="0" applyNumberFormat="1" applyFont="1" applyAlignment="1">
      <alignment horizontal="center"/>
    </xf>
    <xf numFmtId="10" fontId="0" fillId="0" borderId="0" xfId="0" applyNumberFormat="1"/>
    <xf numFmtId="166" fontId="23" fillId="0" borderId="0" xfId="2" applyNumberFormat="1" applyFill="1" applyBorder="1"/>
    <xf numFmtId="164" fontId="5" fillId="0" borderId="0" xfId="0" applyNumberFormat="1" applyFont="1" applyFill="1" applyBorder="1"/>
    <xf numFmtId="166" fontId="0" fillId="0" borderId="0" xfId="0" applyNumberFormat="1" applyFill="1" applyBorder="1"/>
    <xf numFmtId="9" fontId="0" fillId="0" borderId="0" xfId="0" applyNumberFormat="1" applyFill="1" applyBorder="1"/>
    <xf numFmtId="166" fontId="1" fillId="0" borderId="0" xfId="0" applyNumberFormat="1" applyFont="1" applyFill="1" applyBorder="1" applyAlignment="1">
      <alignment shrinkToFit="1"/>
    </xf>
    <xf numFmtId="0" fontId="0" fillId="0" borderId="0" xfId="0" applyNumberFormat="1" applyAlignment="1">
      <alignment horizontal="center"/>
    </xf>
    <xf numFmtId="1" fontId="0" fillId="0" borderId="0" xfId="0" applyNumberFormat="1" applyBorder="1" applyAlignment="1">
      <alignment horizontal="center"/>
    </xf>
    <xf numFmtId="1" fontId="8" fillId="0" borderId="0" xfId="0" applyNumberFormat="1" applyFont="1" applyBorder="1" applyAlignment="1">
      <alignment horizontal="center"/>
    </xf>
    <xf numFmtId="164" fontId="1" fillId="0" borderId="0" xfId="0" applyNumberFormat="1" applyFont="1" applyBorder="1" applyAlignment="1">
      <alignment horizontal="right"/>
    </xf>
    <xf numFmtId="166" fontId="8" fillId="0" borderId="0" xfId="0" applyNumberFormat="1" applyFont="1" applyBorder="1" applyAlignment="1">
      <alignment horizontal="right"/>
    </xf>
    <xf numFmtId="166" fontId="8" fillId="0" borderId="0" xfId="0" applyNumberFormat="1" applyFont="1" applyBorder="1" applyAlignment="1"/>
    <xf numFmtId="166" fontId="8" fillId="0" borderId="0" xfId="0" applyNumberFormat="1" applyFont="1" applyBorder="1" applyAlignment="1">
      <alignment horizontal="center"/>
    </xf>
    <xf numFmtId="164" fontId="0" fillId="0" borderId="0" xfId="0" applyNumberFormat="1" applyBorder="1" applyAlignment="1"/>
    <xf numFmtId="164" fontId="8" fillId="0" borderId="0" xfId="0" applyNumberFormat="1" applyFont="1" applyBorder="1" applyAlignment="1"/>
    <xf numFmtId="166" fontId="4" fillId="2" borderId="11" xfId="0" applyNumberFormat="1" applyFont="1" applyFill="1" applyBorder="1" applyAlignment="1">
      <alignment horizontal="center"/>
    </xf>
    <xf numFmtId="166" fontId="4" fillId="2" borderId="12" xfId="0" applyNumberFormat="1" applyFont="1" applyFill="1" applyBorder="1" applyAlignment="1">
      <alignment horizontal="center"/>
    </xf>
    <xf numFmtId="0" fontId="4" fillId="2" borderId="12" xfId="0" applyFont="1" applyFill="1" applyBorder="1" applyAlignment="1">
      <alignment horizontal="center"/>
    </xf>
    <xf numFmtId="168" fontId="4" fillId="4" borderId="29" xfId="0" applyNumberFormat="1" applyFont="1" applyFill="1" applyBorder="1" applyAlignment="1">
      <alignment horizontal="center"/>
    </xf>
    <xf numFmtId="0" fontId="0" fillId="0" borderId="30" xfId="0" applyBorder="1"/>
    <xf numFmtId="0" fontId="0" fillId="0" borderId="31" xfId="0" applyBorder="1"/>
    <xf numFmtId="3" fontId="15" fillId="2" borderId="11" xfId="0" applyNumberFormat="1" applyFont="1" applyFill="1" applyBorder="1" applyAlignment="1">
      <alignment horizontal="center"/>
    </xf>
    <xf numFmtId="3" fontId="15" fillId="2" borderId="12" xfId="0" applyNumberFormat="1" applyFont="1" applyFill="1" applyBorder="1" applyAlignment="1">
      <alignment horizontal="center"/>
    </xf>
    <xf numFmtId="3" fontId="15" fillId="2" borderId="8" xfId="0" applyNumberFormat="1" applyFont="1" applyFill="1" applyBorder="1" applyAlignment="1">
      <alignment horizontal="center"/>
    </xf>
    <xf numFmtId="168" fontId="4" fillId="4" borderId="32" xfId="0" applyNumberFormat="1" applyFont="1" applyFill="1" applyBorder="1" applyAlignment="1">
      <alignment horizontal="center"/>
    </xf>
    <xf numFmtId="168" fontId="4" fillId="4" borderId="33" xfId="0" applyNumberFormat="1" applyFont="1" applyFill="1" applyBorder="1" applyAlignment="1">
      <alignment horizontal="center"/>
    </xf>
    <xf numFmtId="168" fontId="4" fillId="4" borderId="34" xfId="0" applyNumberFormat="1" applyFont="1" applyFill="1" applyBorder="1" applyAlignment="1">
      <alignment horizontal="center"/>
    </xf>
    <xf numFmtId="3" fontId="4" fillId="2" borderId="11" xfId="0" applyNumberFormat="1" applyFont="1" applyFill="1" applyBorder="1" applyAlignment="1">
      <alignment horizontal="center"/>
    </xf>
    <xf numFmtId="3" fontId="4" fillId="2" borderId="12" xfId="0" applyNumberFormat="1" applyFont="1" applyFill="1" applyBorder="1" applyAlignment="1">
      <alignment horizontal="center"/>
    </xf>
    <xf numFmtId="3" fontId="4" fillId="2" borderId="8" xfId="0" applyNumberFormat="1" applyFont="1" applyFill="1" applyBorder="1" applyAlignment="1">
      <alignment horizontal="center"/>
    </xf>
    <xf numFmtId="0" fontId="8" fillId="3" borderId="3" xfId="0" applyFont="1" applyFill="1" applyBorder="1" applyAlignment="1">
      <alignment horizontal="center"/>
    </xf>
    <xf numFmtId="0" fontId="8" fillId="0" borderId="0" xfId="0" applyFont="1" applyAlignment="1">
      <alignment wrapText="1"/>
    </xf>
    <xf numFmtId="0" fontId="8" fillId="2" borderId="3" xfId="0" applyFont="1" applyFill="1" applyBorder="1" applyAlignment="1">
      <alignment horizontal="center"/>
    </xf>
    <xf numFmtId="0" fontId="8" fillId="0" borderId="3" xfId="0" applyFont="1" applyBorder="1" applyAlignment="1">
      <alignment horizontal="center"/>
    </xf>
    <xf numFmtId="0" fontId="8" fillId="4" borderId="3" xfId="0" applyFont="1" applyFill="1" applyBorder="1" applyAlignment="1">
      <alignment horizontal="right"/>
    </xf>
    <xf numFmtId="0" fontId="8" fillId="5" borderId="3" xfId="0" applyFont="1" applyFill="1" applyBorder="1" applyAlignment="1">
      <alignment horizontal="right"/>
    </xf>
    <xf numFmtId="0" fontId="9" fillId="3" borderId="3" xfId="0" applyFont="1" applyFill="1" applyBorder="1" applyAlignment="1">
      <alignment horizontal="right"/>
    </xf>
    <xf numFmtId="0" fontId="8" fillId="0" borderId="11" xfId="0" applyFont="1" applyFill="1" applyBorder="1" applyAlignment="1">
      <alignment horizontal="right"/>
    </xf>
    <xf numFmtId="0" fontId="8" fillId="0" borderId="12" xfId="0" applyFont="1" applyFill="1" applyBorder="1" applyAlignment="1">
      <alignment horizontal="right"/>
    </xf>
    <xf numFmtId="0" fontId="8" fillId="0" borderId="8" xfId="0" applyFont="1" applyFill="1" applyBorder="1" applyAlignment="1">
      <alignment horizontal="right"/>
    </xf>
    <xf numFmtId="0" fontId="8" fillId="4" borderId="11" xfId="0" applyFont="1" applyFill="1" applyBorder="1" applyAlignment="1">
      <alignment horizontal="center"/>
    </xf>
    <xf numFmtId="0" fontId="8" fillId="4" borderId="12" xfId="0" applyFont="1" applyFill="1" applyBorder="1" applyAlignment="1">
      <alignment horizontal="center"/>
    </xf>
    <xf numFmtId="0" fontId="8" fillId="4" borderId="8" xfId="0" applyFont="1" applyFill="1" applyBorder="1" applyAlignment="1">
      <alignment horizontal="center"/>
    </xf>
    <xf numFmtId="0" fontId="8" fillId="7" borderId="3" xfId="0" applyFont="1" applyFill="1" applyBorder="1" applyAlignment="1">
      <alignment horizontal="right"/>
    </xf>
    <xf numFmtId="0" fontId="8" fillId="4" borderId="5" xfId="0" applyFont="1" applyFill="1" applyBorder="1" applyAlignment="1">
      <alignment horizontal="left"/>
    </xf>
    <xf numFmtId="0" fontId="8" fillId="4" borderId="0" xfId="0" applyFont="1" applyFill="1" applyBorder="1" applyAlignment="1">
      <alignment horizontal="left"/>
    </xf>
    <xf numFmtId="0" fontId="8" fillId="4" borderId="6" xfId="0" applyFont="1" applyFill="1" applyBorder="1" applyAlignment="1">
      <alignment horizontal="left"/>
    </xf>
    <xf numFmtId="0" fontId="8" fillId="2" borderId="11" xfId="0" applyFont="1" applyFill="1" applyBorder="1" applyAlignment="1">
      <alignment horizontal="right"/>
    </xf>
    <xf numFmtId="0" fontId="8" fillId="2" borderId="12" xfId="0" applyFont="1" applyFill="1" applyBorder="1" applyAlignment="1">
      <alignment horizontal="right"/>
    </xf>
    <xf numFmtId="0" fontId="8" fillId="2" borderId="8" xfId="0" applyFont="1" applyFill="1" applyBorder="1" applyAlignment="1">
      <alignment horizontal="right"/>
    </xf>
    <xf numFmtId="0" fontId="8" fillId="4" borderId="1" xfId="0" applyFont="1" applyFill="1" applyBorder="1" applyAlignment="1"/>
    <xf numFmtId="0" fontId="8" fillId="4" borderId="4" xfId="0" applyFont="1" applyFill="1" applyBorder="1" applyAlignment="1"/>
    <xf numFmtId="0" fontId="8" fillId="4" borderId="2" xfId="0" applyFont="1" applyFill="1" applyBorder="1" applyAlignment="1"/>
    <xf numFmtId="0" fontId="8" fillId="0" borderId="0" xfId="0" applyFont="1" applyFill="1" applyBorder="1" applyAlignment="1">
      <alignment horizontal="center"/>
    </xf>
    <xf numFmtId="0" fontId="8" fillId="4" borderId="9" xfId="0" applyFont="1" applyFill="1" applyBorder="1" applyAlignment="1">
      <alignment horizontal="left"/>
    </xf>
    <xf numFmtId="0" fontId="8" fillId="4" borderId="10" xfId="0" applyFont="1" applyFill="1" applyBorder="1" applyAlignment="1">
      <alignment horizontal="left"/>
    </xf>
    <xf numFmtId="0" fontId="8" fillId="4" borderId="7" xfId="0" applyFont="1" applyFill="1" applyBorder="1" applyAlignment="1">
      <alignment horizontal="left"/>
    </xf>
    <xf numFmtId="0" fontId="8" fillId="0" borderId="0" xfId="0" applyFont="1" applyAlignment="1">
      <alignment horizontal="center"/>
    </xf>
    <xf numFmtId="0" fontId="8" fillId="0" borderId="0" xfId="0" applyFont="1" applyAlignment="1">
      <alignment horizontal="right"/>
    </xf>
    <xf numFmtId="0" fontId="8" fillId="4" borderId="1" xfId="0" applyFont="1" applyFill="1" applyBorder="1" applyAlignment="1">
      <alignment horizontal="left"/>
    </xf>
    <xf numFmtId="0" fontId="8" fillId="4" borderId="4" xfId="0" applyFont="1" applyFill="1" applyBorder="1" applyAlignment="1">
      <alignment horizontal="left"/>
    </xf>
    <xf numFmtId="0" fontId="8" fillId="4" borderId="2" xfId="0" applyFont="1" applyFill="1" applyBorder="1" applyAlignment="1">
      <alignment horizontal="left"/>
    </xf>
    <xf numFmtId="0" fontId="8" fillId="0" borderId="5" xfId="0" applyFont="1" applyBorder="1" applyAlignment="1">
      <alignment wrapText="1"/>
    </xf>
    <xf numFmtId="166" fontId="8" fillId="0" borderId="0" xfId="0" applyNumberFormat="1" applyFont="1" applyFill="1" applyBorder="1" applyAlignment="1">
      <alignment wrapText="1"/>
    </xf>
    <xf numFmtId="0" fontId="0" fillId="0" borderId="0" xfId="0" applyAlignment="1">
      <alignment wrapText="1"/>
    </xf>
    <xf numFmtId="0" fontId="8" fillId="0" borderId="10" xfId="0" applyFont="1" applyBorder="1" applyAlignment="1">
      <alignment horizontal="center"/>
    </xf>
    <xf numFmtId="0" fontId="9" fillId="2" borderId="3" xfId="0" applyFont="1" applyFill="1" applyBorder="1" applyAlignment="1">
      <alignment horizontal="right"/>
    </xf>
    <xf numFmtId="0" fontId="15" fillId="2" borderId="3" xfId="0" applyFont="1" applyFill="1" applyBorder="1" applyAlignment="1">
      <alignment horizontal="right"/>
    </xf>
    <xf numFmtId="0" fontId="8" fillId="4" borderId="5" xfId="0" applyFont="1" applyFill="1" applyBorder="1" applyAlignment="1">
      <alignment horizontal="left" indent="1"/>
    </xf>
    <xf numFmtId="0" fontId="8" fillId="4" borderId="0" xfId="0" applyFont="1" applyFill="1" applyBorder="1" applyAlignment="1">
      <alignment horizontal="left" indent="1"/>
    </xf>
    <xf numFmtId="0" fontId="8" fillId="4" borderId="6" xfId="0" applyFont="1" applyFill="1" applyBorder="1" applyAlignment="1">
      <alignment horizontal="left" indent="1"/>
    </xf>
    <xf numFmtId="0" fontId="8" fillId="4" borderId="11" xfId="0" applyFont="1" applyFill="1" applyBorder="1" applyAlignment="1">
      <alignment horizontal="right"/>
    </xf>
    <xf numFmtId="0" fontId="8" fillId="4" borderId="12" xfId="0" applyFont="1" applyFill="1" applyBorder="1" applyAlignment="1">
      <alignment horizontal="right"/>
    </xf>
    <xf numFmtId="0" fontId="8" fillId="4" borderId="8" xfId="0" applyFont="1" applyFill="1" applyBorder="1" applyAlignment="1">
      <alignment horizontal="right"/>
    </xf>
    <xf numFmtId="0" fontId="15" fillId="3" borderId="11" xfId="0" applyFont="1" applyFill="1" applyBorder="1" applyAlignment="1">
      <alignment horizontal="center"/>
    </xf>
    <xf numFmtId="0" fontId="15" fillId="3" borderId="12" xfId="0" applyFont="1" applyFill="1" applyBorder="1" applyAlignment="1">
      <alignment horizontal="center"/>
    </xf>
    <xf numFmtId="0" fontId="0" fillId="0" borderId="8" xfId="0" applyBorder="1" applyAlignment="1">
      <alignment horizontal="center"/>
    </xf>
    <xf numFmtId="0" fontId="11" fillId="0" borderId="0" xfId="0" applyFont="1" applyAlignment="1">
      <alignment wrapText="1"/>
    </xf>
    <xf numFmtId="0" fontId="8" fillId="0" borderId="3" xfId="0" applyFont="1" applyFill="1" applyBorder="1" applyAlignment="1">
      <alignment horizontal="center"/>
    </xf>
    <xf numFmtId="0" fontId="8" fillId="3" borderId="3" xfId="0" applyFont="1" applyFill="1" applyBorder="1" applyAlignment="1">
      <alignment horizontal="right"/>
    </xf>
    <xf numFmtId="0" fontId="8" fillId="3" borderId="11" xfId="0" applyFont="1" applyFill="1" applyBorder="1" applyAlignment="1">
      <alignment horizontal="center"/>
    </xf>
    <xf numFmtId="0" fontId="8" fillId="3" borderId="12" xfId="0" applyFont="1" applyFill="1" applyBorder="1" applyAlignment="1">
      <alignment horizontal="center"/>
    </xf>
    <xf numFmtId="0" fontId="8" fillId="3" borderId="8" xfId="0" applyFont="1" applyFill="1" applyBorder="1" applyAlignment="1">
      <alignment horizontal="center"/>
    </xf>
    <xf numFmtId="0" fontId="0" fillId="7" borderId="3" xfId="0" applyFill="1" applyBorder="1" applyAlignment="1">
      <alignment horizontal="right"/>
    </xf>
    <xf numFmtId="0" fontId="8" fillId="2" borderId="11" xfId="0" applyFont="1" applyFill="1" applyBorder="1" applyAlignment="1">
      <alignment horizontal="center"/>
    </xf>
    <xf numFmtId="0" fontId="8" fillId="2" borderId="12" xfId="0" applyFont="1" applyFill="1" applyBorder="1" applyAlignment="1">
      <alignment horizontal="center"/>
    </xf>
    <xf numFmtId="0" fontId="8" fillId="2" borderId="8" xfId="0" applyFont="1" applyFill="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0" fillId="0" borderId="12" xfId="0" applyBorder="1" applyAlignment="1">
      <alignment horizontal="center"/>
    </xf>
    <xf numFmtId="0" fontId="0" fillId="0" borderId="3" xfId="0" applyBorder="1" applyAlignment="1"/>
    <xf numFmtId="0" fontId="11" fillId="2" borderId="23" xfId="0" applyFont="1" applyFill="1" applyBorder="1" applyAlignment="1">
      <alignment horizontal="center"/>
    </xf>
    <xf numFmtId="0" fontId="11" fillId="4" borderId="3" xfId="0" applyFont="1" applyFill="1" applyBorder="1" applyAlignment="1">
      <alignment horizontal="right"/>
    </xf>
    <xf numFmtId="0" fontId="0" fillId="0" borderId="8" xfId="0" applyBorder="1" applyAlignment="1">
      <alignment horizontal="right"/>
    </xf>
    <xf numFmtId="0" fontId="8" fillId="4" borderId="11" xfId="0" applyFont="1" applyFill="1" applyBorder="1" applyAlignment="1">
      <alignment horizontal="left"/>
    </xf>
    <xf numFmtId="0" fontId="0" fillId="0" borderId="8" xfId="0" applyBorder="1" applyAlignment="1">
      <alignment horizontal="left"/>
    </xf>
    <xf numFmtId="0" fontId="9" fillId="2" borderId="11" xfId="0" applyFont="1" applyFill="1" applyBorder="1" applyAlignment="1">
      <alignment horizontal="right"/>
    </xf>
    <xf numFmtId="0" fontId="11" fillId="2" borderId="11" xfId="0" applyFont="1" applyFill="1" applyBorder="1" applyAlignment="1">
      <alignment horizontal="center"/>
    </xf>
    <xf numFmtId="0" fontId="11" fillId="4" borderId="3" xfId="0" applyFont="1" applyFill="1" applyBorder="1" applyAlignment="1"/>
    <xf numFmtId="0" fontId="8" fillId="0" borderId="4" xfId="0" applyFont="1" applyFill="1" applyBorder="1" applyAlignment="1">
      <alignment horizontal="right"/>
    </xf>
    <xf numFmtId="0" fontId="8" fillId="0" borderId="8" xfId="0" applyFont="1" applyBorder="1" applyAlignment="1"/>
    <xf numFmtId="0" fontId="8" fillId="7" borderId="11" xfId="0" applyFont="1" applyFill="1" applyBorder="1" applyAlignment="1">
      <alignment horizontal="right"/>
    </xf>
    <xf numFmtId="0" fontId="8" fillId="7" borderId="8" xfId="0" applyFont="1" applyFill="1" applyBorder="1" applyAlignment="1">
      <alignment horizontal="right"/>
    </xf>
    <xf numFmtId="0" fontId="8" fillId="4" borderId="0" xfId="0" applyFont="1" applyFill="1" applyAlignment="1">
      <alignment horizontal="left"/>
    </xf>
    <xf numFmtId="0" fontId="8" fillId="4" borderId="0" xfId="0" applyFont="1" applyFill="1" applyAlignment="1"/>
    <xf numFmtId="0" fontId="8" fillId="4" borderId="6" xfId="0" applyFont="1" applyFill="1" applyBorder="1" applyAlignment="1"/>
    <xf numFmtId="0" fontId="5" fillId="3" borderId="11" xfId="0" applyFont="1" applyFill="1" applyBorder="1" applyAlignment="1">
      <alignment horizontal="center" wrapText="1"/>
    </xf>
    <xf numFmtId="0" fontId="5" fillId="3" borderId="12" xfId="0" applyFont="1" applyFill="1" applyBorder="1" applyAlignment="1">
      <alignment horizontal="center" wrapText="1"/>
    </xf>
    <xf numFmtId="0" fontId="5" fillId="3" borderId="8" xfId="0" applyFont="1" applyFill="1" applyBorder="1" applyAlignment="1">
      <alignment horizontal="center" wrapText="1"/>
    </xf>
    <xf numFmtId="0" fontId="8" fillId="0" borderId="11" xfId="0" applyFont="1" applyBorder="1" applyAlignment="1"/>
    <xf numFmtId="0" fontId="8" fillId="0" borderId="12" xfId="0" applyFont="1" applyBorder="1" applyAlignment="1"/>
    <xf numFmtId="0" fontId="8" fillId="0" borderId="11" xfId="0" applyFont="1" applyBorder="1" applyAlignment="1">
      <alignment horizontal="right"/>
    </xf>
    <xf numFmtId="0" fontId="8" fillId="0" borderId="12" xfId="0" applyFont="1" applyBorder="1" applyAlignment="1">
      <alignment horizontal="right"/>
    </xf>
    <xf numFmtId="0" fontId="8" fillId="0" borderId="8" xfId="0" applyFont="1" applyBorder="1" applyAlignment="1">
      <alignment horizontal="right"/>
    </xf>
    <xf numFmtId="0" fontId="8" fillId="0" borderId="11" xfId="0" applyFont="1" applyBorder="1" applyAlignment="1">
      <alignment horizontal="center"/>
    </xf>
    <xf numFmtId="0" fontId="8" fillId="0" borderId="12" xfId="0" applyFont="1" applyBorder="1" applyAlignment="1">
      <alignment horizontal="center"/>
    </xf>
    <xf numFmtId="0" fontId="8" fillId="0" borderId="8" xfId="0" applyFont="1" applyBorder="1" applyAlignment="1">
      <alignment horizontal="center"/>
    </xf>
  </cellXfs>
  <cellStyles count="4">
    <cellStyle name="Currency" xfId="1" builtinId="4"/>
    <cellStyle name="Good" xfId="2" builtinId="26"/>
    <cellStyle name="Normal" xfId="0" builtinId="0"/>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SD/PSD%20-%20Shared/Projects/EEU/DRP%20Proceeding%202015-2017/Eval%20Budget/Eval%20Budget%204.01.11_PSB%20F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all Summary"/>
      <sheetName val="Staff Hours Summary"/>
      <sheetName val="SVFCM"/>
      <sheetName val="GT"/>
      <sheetName val="TAGTRM"/>
      <sheetName val="Mkt Characterizations"/>
      <sheetName val="Benchmarking"/>
      <sheetName val="NRA"/>
      <sheetName val="Admin Efficiency"/>
      <sheetName val="Res Custom"/>
      <sheetName val="ESA CCP"/>
      <sheetName val="Regional"/>
      <sheetName val="Behavioral"/>
      <sheetName val="Plan&amp;Mgmt"/>
      <sheetName val="HPF"/>
      <sheetName val="GMP EEF"/>
      <sheetName val="SMEEP"/>
      <sheetName val="RFP-Contract Process Assump"/>
      <sheetName val="Staff rate assump"/>
      <sheetName val="EEC HPF % Share Reference "/>
      <sheetName val="Budget Contra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10">
          <cell r="B10">
            <v>45.5</v>
          </cell>
          <cell r="C10">
            <v>47.361111111111107</v>
          </cell>
          <cell r="D10">
            <v>49.194444444444443</v>
          </cell>
        </row>
      </sheetData>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Z142"/>
  <sheetViews>
    <sheetView tabSelected="1" workbookViewId="0">
      <selection activeCell="J64" sqref="J64"/>
    </sheetView>
  </sheetViews>
  <sheetFormatPr defaultColWidth="9.109375" defaultRowHeight="13.2" x14ac:dyDescent="0.25"/>
  <cols>
    <col min="1" max="1" width="2.88671875" style="4" customWidth="1"/>
    <col min="2" max="2" width="52.33203125" style="4" customWidth="1"/>
    <col min="3" max="3" width="12.6640625" style="4" bestFit="1" customWidth="1"/>
    <col min="4" max="5" width="11.6640625" style="4" bestFit="1" customWidth="1"/>
    <col min="6" max="6" width="12.6640625" style="4" customWidth="1"/>
    <col min="7" max="8" width="12.6640625" style="4" hidden="1" customWidth="1"/>
    <col min="9" max="17" width="10.33203125" style="4" bestFit="1" customWidth="1"/>
    <col min="18" max="18" width="8.6640625" style="4" customWidth="1"/>
    <col min="19" max="22" width="10.33203125" style="4" bestFit="1" customWidth="1"/>
    <col min="23" max="23" width="9" style="4" bestFit="1" customWidth="1"/>
    <col min="24" max="25" width="8.5546875" style="4" bestFit="1" customWidth="1"/>
    <col min="26" max="16384" width="9.109375" style="4"/>
  </cols>
  <sheetData>
    <row r="2" spans="1:25" ht="13.8" x14ac:dyDescent="0.25">
      <c r="A2" s="116"/>
      <c r="B2" s="183" t="s">
        <v>201</v>
      </c>
    </row>
    <row r="3" spans="1:25" x14ac:dyDescent="0.25">
      <c r="B3" s="182">
        <v>41739</v>
      </c>
    </row>
    <row r="4" spans="1:25" ht="57.6" x14ac:dyDescent="0.3">
      <c r="B4" s="33" t="s">
        <v>21</v>
      </c>
      <c r="C4" s="34">
        <v>2015</v>
      </c>
      <c r="D4" s="34">
        <v>2016</v>
      </c>
      <c r="E4" s="34">
        <v>2017</v>
      </c>
      <c r="F4" s="94" t="s">
        <v>300</v>
      </c>
      <c r="G4" s="331" t="s">
        <v>362</v>
      </c>
      <c r="H4" s="331" t="s">
        <v>358</v>
      </c>
      <c r="I4" s="87">
        <v>2018</v>
      </c>
      <c r="J4" s="87">
        <v>2019</v>
      </c>
      <c r="K4" s="87">
        <v>2020</v>
      </c>
      <c r="L4" s="87">
        <v>2021</v>
      </c>
      <c r="M4" s="87">
        <v>2022</v>
      </c>
      <c r="N4" s="87">
        <v>2023</v>
      </c>
      <c r="O4" s="87">
        <v>2024</v>
      </c>
      <c r="P4" s="87">
        <v>2025</v>
      </c>
      <c r="Q4" s="87">
        <v>2026</v>
      </c>
      <c r="R4" s="87">
        <v>2027</v>
      </c>
      <c r="S4" s="87">
        <v>2028</v>
      </c>
      <c r="T4" s="87">
        <v>2029</v>
      </c>
      <c r="U4" s="87">
        <v>2030</v>
      </c>
      <c r="V4" s="87">
        <v>2031</v>
      </c>
      <c r="W4" s="87">
        <v>2032</v>
      </c>
      <c r="X4" s="87">
        <v>2033</v>
      </c>
      <c r="Y4" s="87">
        <v>2034</v>
      </c>
    </row>
    <row r="5" spans="1:25" ht="14.4" x14ac:dyDescent="0.3">
      <c r="B5" s="76"/>
      <c r="C5" s="77"/>
      <c r="D5" s="77"/>
      <c r="E5" s="77"/>
      <c r="F5" s="320" t="s">
        <v>357</v>
      </c>
      <c r="G5" s="323" t="s">
        <v>360</v>
      </c>
      <c r="H5" s="323" t="s">
        <v>361</v>
      </c>
      <c r="I5" s="88"/>
      <c r="J5" s="88"/>
      <c r="K5" s="212"/>
      <c r="L5" s="88"/>
      <c r="M5" s="88"/>
      <c r="N5" s="212"/>
      <c r="O5" s="88"/>
      <c r="P5" s="88"/>
      <c r="Q5" s="88"/>
      <c r="R5" s="88"/>
      <c r="S5" s="88"/>
      <c r="T5" s="88"/>
      <c r="U5" s="88"/>
      <c r="V5" s="88"/>
      <c r="W5" s="88"/>
      <c r="X5" s="88"/>
      <c r="Y5" s="88"/>
    </row>
    <row r="6" spans="1:25" ht="14.4" x14ac:dyDescent="0.3">
      <c r="B6" s="76" t="s">
        <v>104</v>
      </c>
      <c r="C6" s="77"/>
      <c r="D6" s="77"/>
      <c r="E6" s="77"/>
      <c r="F6" s="111">
        <f>SUM(F7:F11)</f>
        <v>2124000</v>
      </c>
      <c r="G6" s="324"/>
      <c r="H6" s="324">
        <f>SUM(H7:H11)</f>
        <v>892700</v>
      </c>
      <c r="I6" s="88"/>
      <c r="J6" s="88"/>
      <c r="K6" s="212"/>
      <c r="L6" s="88"/>
      <c r="M6" s="88"/>
      <c r="N6" s="212"/>
      <c r="O6" s="88"/>
      <c r="P6" s="88"/>
      <c r="Q6" s="88"/>
      <c r="R6" s="88"/>
      <c r="S6" s="88"/>
      <c r="T6" s="88"/>
      <c r="U6" s="88"/>
      <c r="V6" s="88"/>
      <c r="W6" s="88"/>
      <c r="X6" s="88"/>
      <c r="Y6" s="88"/>
    </row>
    <row r="7" spans="1:25" ht="14.4" x14ac:dyDescent="0.3">
      <c r="B7" s="304" t="s">
        <v>88</v>
      </c>
      <c r="C7" s="101">
        <f>SVFCM!F36</f>
        <v>160113.34</v>
      </c>
      <c r="D7" s="101">
        <f>SVFCM!G36</f>
        <v>160977.4032</v>
      </c>
      <c r="E7" s="101">
        <f>SVFCM!H36</f>
        <v>168006.195064</v>
      </c>
      <c r="F7" s="112">
        <f t="shared" ref="F7:F11" si="0">ROUND(SUM(C7:E7),-2)</f>
        <v>489100</v>
      </c>
      <c r="G7" s="325"/>
      <c r="H7" s="325">
        <f t="shared" ref="H7:H29" si="1">F7</f>
        <v>489100</v>
      </c>
      <c r="I7" s="74">
        <f>E7*1.02</f>
        <v>171366.31896527999</v>
      </c>
      <c r="J7" s="74">
        <f t="shared" ref="J7:Y7" si="2">I7*$C$68</f>
        <v>174793.64534458559</v>
      </c>
      <c r="K7" s="213">
        <f t="shared" si="2"/>
        <v>178289.5182514773</v>
      </c>
      <c r="L7" s="74">
        <f t="shared" si="2"/>
        <v>181855.30861650687</v>
      </c>
      <c r="M7" s="74">
        <f t="shared" si="2"/>
        <v>185492.41478883702</v>
      </c>
      <c r="N7" s="213">
        <f t="shared" si="2"/>
        <v>189202.26308461378</v>
      </c>
      <c r="O7" s="74">
        <f t="shared" si="2"/>
        <v>192986.30834630606</v>
      </c>
      <c r="P7" s="74">
        <f t="shared" si="2"/>
        <v>196846.03451323218</v>
      </c>
      <c r="Q7" s="74">
        <f t="shared" si="2"/>
        <v>200782.95520349682</v>
      </c>
      <c r="R7" s="74">
        <f t="shared" si="2"/>
        <v>204798.61430756675</v>
      </c>
      <c r="S7" s="74">
        <f t="shared" si="2"/>
        <v>208894.58659371809</v>
      </c>
      <c r="T7" s="74">
        <f t="shared" si="2"/>
        <v>213072.47832559247</v>
      </c>
      <c r="U7" s="74">
        <f t="shared" si="2"/>
        <v>217333.92789210432</v>
      </c>
      <c r="V7" s="74">
        <f t="shared" si="2"/>
        <v>221680.60644994641</v>
      </c>
      <c r="W7" s="74">
        <f t="shared" si="2"/>
        <v>226114.21857894535</v>
      </c>
      <c r="X7" s="74">
        <f t="shared" si="2"/>
        <v>230636.50295052427</v>
      </c>
      <c r="Y7" s="74">
        <f t="shared" si="2"/>
        <v>235249.23300953477</v>
      </c>
    </row>
    <row r="8" spans="1:25" ht="14.4" x14ac:dyDescent="0.3">
      <c r="B8" s="304" t="s">
        <v>175</v>
      </c>
      <c r="C8" s="101">
        <f>GT!F16</f>
        <v>0</v>
      </c>
      <c r="D8" s="101">
        <f>GT!G16</f>
        <v>4831.5700000000006</v>
      </c>
      <c r="E8" s="101">
        <f>GT!H16</f>
        <v>168191.96683600309</v>
      </c>
      <c r="F8" s="112">
        <f t="shared" si="0"/>
        <v>173000</v>
      </c>
      <c r="G8" s="325">
        <v>142078</v>
      </c>
      <c r="H8" s="325">
        <f>ROUND(SUM(F8-G8),-2)</f>
        <v>30900</v>
      </c>
      <c r="I8" s="74">
        <v>0</v>
      </c>
      <c r="J8" s="74">
        <f t="shared" ref="J8:Y8" si="3">I8*$C$68</f>
        <v>0</v>
      </c>
      <c r="K8" s="213">
        <f t="shared" si="3"/>
        <v>0</v>
      </c>
      <c r="L8" s="74">
        <f t="shared" si="3"/>
        <v>0</v>
      </c>
      <c r="M8" s="74">
        <f t="shared" si="3"/>
        <v>0</v>
      </c>
      <c r="N8" s="213">
        <f t="shared" si="3"/>
        <v>0</v>
      </c>
      <c r="O8" s="74">
        <f t="shared" si="3"/>
        <v>0</v>
      </c>
      <c r="P8" s="74">
        <f t="shared" si="3"/>
        <v>0</v>
      </c>
      <c r="Q8" s="74">
        <f t="shared" si="3"/>
        <v>0</v>
      </c>
      <c r="R8" s="74">
        <f t="shared" si="3"/>
        <v>0</v>
      </c>
      <c r="S8" s="74">
        <f t="shared" si="3"/>
        <v>0</v>
      </c>
      <c r="T8" s="74">
        <f t="shared" si="3"/>
        <v>0</v>
      </c>
      <c r="U8" s="74">
        <f t="shared" si="3"/>
        <v>0</v>
      </c>
      <c r="V8" s="74">
        <f t="shared" si="3"/>
        <v>0</v>
      </c>
      <c r="W8" s="74">
        <f t="shared" si="3"/>
        <v>0</v>
      </c>
      <c r="X8" s="74">
        <f t="shared" si="3"/>
        <v>0</v>
      </c>
      <c r="Y8" s="74">
        <f t="shared" si="3"/>
        <v>0</v>
      </c>
    </row>
    <row r="9" spans="1:25" ht="14.4" x14ac:dyDescent="0.3">
      <c r="B9" s="304" t="s">
        <v>48</v>
      </c>
      <c r="C9" s="101">
        <f>TAGTRM!F16</f>
        <v>63930.065000000002</v>
      </c>
      <c r="D9" s="101">
        <f>TAGTRM!G16</f>
        <v>65290.385000000002</v>
      </c>
      <c r="E9" s="101">
        <f>TAGTRM!H16</f>
        <v>66700.299999999988</v>
      </c>
      <c r="F9" s="112">
        <f t="shared" si="0"/>
        <v>195900</v>
      </c>
      <c r="G9" s="325"/>
      <c r="H9" s="325">
        <f t="shared" si="1"/>
        <v>195900</v>
      </c>
      <c r="I9" s="74">
        <f>E9*1.026</f>
        <v>68434.507799999992</v>
      </c>
      <c r="J9" s="74">
        <f t="shared" ref="J9:Y9" si="4">I9*$C$68</f>
        <v>69803.197955999989</v>
      </c>
      <c r="K9" s="213">
        <f t="shared" si="4"/>
        <v>71199.261915119991</v>
      </c>
      <c r="L9" s="74">
        <f t="shared" si="4"/>
        <v>72623.247153422388</v>
      </c>
      <c r="M9" s="74">
        <f t="shared" si="4"/>
        <v>74075.712096490839</v>
      </c>
      <c r="N9" s="213">
        <f t="shared" si="4"/>
        <v>75557.22633842066</v>
      </c>
      <c r="O9" s="74">
        <f t="shared" si="4"/>
        <v>77068.370865189077</v>
      </c>
      <c r="P9" s="74">
        <f t="shared" si="4"/>
        <v>78609.738282492865</v>
      </c>
      <c r="Q9" s="74">
        <f t="shared" si="4"/>
        <v>80181.933048142717</v>
      </c>
      <c r="R9" s="74">
        <f t="shared" si="4"/>
        <v>81785.57170910557</v>
      </c>
      <c r="S9" s="74">
        <f t="shared" si="4"/>
        <v>83421.283143287685</v>
      </c>
      <c r="T9" s="74">
        <f t="shared" si="4"/>
        <v>85089.708806153445</v>
      </c>
      <c r="U9" s="74">
        <f t="shared" si="4"/>
        <v>86791.502982276521</v>
      </c>
      <c r="V9" s="74">
        <f t="shared" si="4"/>
        <v>88527.333041922058</v>
      </c>
      <c r="W9" s="74">
        <f t="shared" si="4"/>
        <v>90297.879702760503</v>
      </c>
      <c r="X9" s="74">
        <f t="shared" si="4"/>
        <v>92103.83729681572</v>
      </c>
      <c r="Y9" s="74">
        <f t="shared" si="4"/>
        <v>93945.914042752032</v>
      </c>
    </row>
    <row r="10" spans="1:25" ht="14.4" x14ac:dyDescent="0.3">
      <c r="A10" s="233"/>
      <c r="B10" s="304" t="s">
        <v>246</v>
      </c>
      <c r="C10" s="101">
        <f>'Mkt Characterizations'!F19</f>
        <v>1177293.128</v>
      </c>
      <c r="D10" s="101">
        <f>'Mkt Characterizations'!G19</f>
        <v>0</v>
      </c>
      <c r="E10" s="101">
        <f>'Mkt Characterizations'!H19</f>
        <v>0</v>
      </c>
      <c r="F10" s="112">
        <f t="shared" si="0"/>
        <v>1177300</v>
      </c>
      <c r="G10" s="325">
        <v>1089248</v>
      </c>
      <c r="H10" s="325">
        <f>ROUND(SUM(F10-G10),-2)</f>
        <v>88100</v>
      </c>
      <c r="I10" s="74">
        <f t="shared" ref="I10:K11" si="5">C10*$C$68^3</f>
        <v>1249352.8857786239</v>
      </c>
      <c r="J10" s="74">
        <f t="shared" si="5"/>
        <v>0</v>
      </c>
      <c r="K10" s="213">
        <f t="shared" si="5"/>
        <v>0</v>
      </c>
      <c r="L10" s="74">
        <f t="shared" ref="L10:Y11" si="6">I10*$C$68^3</f>
        <v>1325823.2772113618</v>
      </c>
      <c r="M10" s="74">
        <f t="shared" si="6"/>
        <v>0</v>
      </c>
      <c r="N10" s="213">
        <f t="shared" si="6"/>
        <v>0</v>
      </c>
      <c r="O10" s="74">
        <f t="shared" si="6"/>
        <v>1406974.2683629147</v>
      </c>
      <c r="P10" s="74">
        <f t="shared" si="6"/>
        <v>0</v>
      </c>
      <c r="Q10" s="74">
        <f t="shared" si="6"/>
        <v>0</v>
      </c>
      <c r="R10" s="74">
        <f t="shared" si="6"/>
        <v>1493092.3493808717</v>
      </c>
      <c r="S10" s="74">
        <f t="shared" si="6"/>
        <v>0</v>
      </c>
      <c r="T10" s="74">
        <f t="shared" si="6"/>
        <v>0</v>
      </c>
      <c r="U10" s="74">
        <f t="shared" si="6"/>
        <v>1584481.5459017761</v>
      </c>
      <c r="V10" s="74">
        <f t="shared" si="6"/>
        <v>0</v>
      </c>
      <c r="W10" s="74">
        <f t="shared" si="6"/>
        <v>0</v>
      </c>
      <c r="X10" s="74">
        <f t="shared" si="6"/>
        <v>1681464.4923633318</v>
      </c>
      <c r="Y10" s="74">
        <f t="shared" si="6"/>
        <v>0</v>
      </c>
    </row>
    <row r="11" spans="1:25" ht="14.4" x14ac:dyDescent="0.3">
      <c r="A11" s="233"/>
      <c r="B11" s="304" t="s">
        <v>2</v>
      </c>
      <c r="C11" s="101">
        <f>Benchmarking!F16</f>
        <v>3831.2</v>
      </c>
      <c r="D11" s="101">
        <f>Benchmarking!G16</f>
        <v>80690.149999999994</v>
      </c>
      <c r="E11" s="101">
        <f>Benchmarking!H16</f>
        <v>4144</v>
      </c>
      <c r="F11" s="112">
        <f t="shared" si="0"/>
        <v>88700</v>
      </c>
      <c r="G11" s="325"/>
      <c r="H11" s="325">
        <f t="shared" si="1"/>
        <v>88700</v>
      </c>
      <c r="I11" s="74">
        <f t="shared" si="5"/>
        <v>4065.7000895999995</v>
      </c>
      <c r="J11" s="74">
        <f t="shared" si="5"/>
        <v>85629.032701199991</v>
      </c>
      <c r="K11" s="213">
        <f t="shared" si="5"/>
        <v>4397.6459519999999</v>
      </c>
      <c r="L11" s="74">
        <f t="shared" si="6"/>
        <v>4314.5534606842357</v>
      </c>
      <c r="M11" s="74">
        <f t="shared" si="6"/>
        <v>90870.214534775034</v>
      </c>
      <c r="N11" s="213">
        <f t="shared" si="6"/>
        <v>4666.8170654300156</v>
      </c>
      <c r="O11" s="74">
        <f t="shared" si="6"/>
        <v>4578.6386489057959</v>
      </c>
      <c r="P11" s="74">
        <f t="shared" si="6"/>
        <v>96432.198626019541</v>
      </c>
      <c r="Q11" s="74">
        <f t="shared" si="6"/>
        <v>4952.463604370856</v>
      </c>
      <c r="R11" s="74">
        <f t="shared" si="6"/>
        <v>4858.8879633280212</v>
      </c>
      <c r="S11" s="74">
        <f t="shared" si="6"/>
        <v>102334.62063952094</v>
      </c>
      <c r="T11" s="74">
        <f t="shared" si="6"/>
        <v>5255.5939966671867</v>
      </c>
      <c r="U11" s="74">
        <f t="shared" si="6"/>
        <v>5156.2907777874025</v>
      </c>
      <c r="V11" s="74">
        <f t="shared" si="6"/>
        <v>108598.31809962474</v>
      </c>
      <c r="W11" s="74">
        <f t="shared" si="6"/>
        <v>5577.2783940151912</v>
      </c>
      <c r="X11" s="74">
        <f t="shared" si="6"/>
        <v>5471.897023714213</v>
      </c>
      <c r="Y11" s="74">
        <f t="shared" si="6"/>
        <v>115245.40395386657</v>
      </c>
    </row>
    <row r="12" spans="1:25" ht="14.4" x14ac:dyDescent="0.3">
      <c r="A12" s="233"/>
      <c r="B12" s="305"/>
      <c r="C12" s="101"/>
      <c r="D12" s="101"/>
      <c r="E12" s="101"/>
      <c r="F12" s="112"/>
      <c r="G12" s="325"/>
      <c r="H12" s="324"/>
      <c r="I12" s="74"/>
      <c r="J12" s="74"/>
      <c r="K12" s="213"/>
      <c r="L12" s="74"/>
      <c r="M12" s="74"/>
      <c r="N12" s="213"/>
      <c r="O12" s="74"/>
      <c r="P12" s="74"/>
      <c r="Q12" s="74"/>
      <c r="R12" s="74"/>
      <c r="S12" s="74"/>
      <c r="T12" s="74"/>
      <c r="U12" s="74"/>
      <c r="V12" s="74"/>
      <c r="W12" s="74"/>
      <c r="X12" s="74"/>
      <c r="Y12" s="74"/>
    </row>
    <row r="13" spans="1:25" ht="14.4" x14ac:dyDescent="0.3">
      <c r="A13" s="233"/>
      <c r="B13" s="76" t="s">
        <v>87</v>
      </c>
      <c r="C13" s="101"/>
      <c r="D13" s="101"/>
      <c r="E13" s="101"/>
      <c r="F13" s="111">
        <f>SUM(F14:F19)</f>
        <v>707200</v>
      </c>
      <c r="G13" s="324"/>
      <c r="H13" s="324">
        <f>SUM(H14:H19)</f>
        <v>604600</v>
      </c>
      <c r="I13" s="74"/>
      <c r="J13" s="74"/>
      <c r="K13" s="213"/>
      <c r="L13" s="74"/>
      <c r="M13" s="74"/>
      <c r="N13" s="213"/>
      <c r="O13" s="74"/>
      <c r="P13" s="74"/>
      <c r="Q13" s="74"/>
      <c r="R13" s="74"/>
      <c r="S13" s="74"/>
      <c r="T13" s="74"/>
      <c r="U13" s="74"/>
      <c r="V13" s="74"/>
      <c r="W13" s="74"/>
      <c r="X13" s="74"/>
      <c r="Y13" s="74"/>
    </row>
    <row r="14" spans="1:25" ht="14.4" x14ac:dyDescent="0.3">
      <c r="A14" s="233"/>
      <c r="B14" s="305" t="s">
        <v>247</v>
      </c>
      <c r="C14" s="101">
        <f>NRA!F19</f>
        <v>3371.4559999999997</v>
      </c>
      <c r="D14" s="101">
        <f>NRA!G19</f>
        <v>8766.56</v>
      </c>
      <c r="E14" s="101">
        <f>NRA!H19</f>
        <v>38868.368000000002</v>
      </c>
      <c r="F14" s="112">
        <f t="shared" ref="F14:F19" si="7">ROUND(SUM(C14:E14),-2)</f>
        <v>51000</v>
      </c>
      <c r="G14" s="325"/>
      <c r="H14" s="325">
        <f t="shared" si="1"/>
        <v>51000</v>
      </c>
      <c r="I14" s="74">
        <f t="shared" ref="I14:K15" si="8">C14*$C$68^3</f>
        <v>3577.8160788479995</v>
      </c>
      <c r="J14" s="74">
        <f t="shared" si="8"/>
        <v>9303.1436044799993</v>
      </c>
      <c r="K14" s="213">
        <f t="shared" si="8"/>
        <v>41247.423068543998</v>
      </c>
      <c r="L14" s="74">
        <f t="shared" ref="L14:Y15" si="9">I14*$C$68^3</f>
        <v>3796.8070454021276</v>
      </c>
      <c r="M14" s="74">
        <f t="shared" si="9"/>
        <v>9872.5704182230111</v>
      </c>
      <c r="N14" s="213">
        <f t="shared" si="9"/>
        <v>43772.095339723433</v>
      </c>
      <c r="O14" s="74">
        <f t="shared" si="9"/>
        <v>4029.2020110371009</v>
      </c>
      <c r="P14" s="74">
        <f t="shared" si="9"/>
        <v>10476.850708381604</v>
      </c>
      <c r="Q14" s="74">
        <f t="shared" si="9"/>
        <v>46451.29775127722</v>
      </c>
      <c r="R14" s="74">
        <f t="shared" si="9"/>
        <v>4275.8214077286593</v>
      </c>
      <c r="S14" s="74">
        <f t="shared" si="9"/>
        <v>11118.117786540224</v>
      </c>
      <c r="T14" s="74">
        <f t="shared" si="9"/>
        <v>49294.488784037392</v>
      </c>
      <c r="U14" s="74">
        <f t="shared" si="9"/>
        <v>4537.5358844529146</v>
      </c>
      <c r="V14" s="74">
        <f t="shared" si="9"/>
        <v>11798.635540018777</v>
      </c>
      <c r="W14" s="74">
        <f t="shared" si="9"/>
        <v>52311.705853530751</v>
      </c>
      <c r="X14" s="74">
        <f t="shared" si="9"/>
        <v>4815.2693808685081</v>
      </c>
      <c r="Y14" s="74">
        <f t="shared" si="9"/>
        <v>12520.806424152244</v>
      </c>
    </row>
    <row r="15" spans="1:25" ht="14.4" x14ac:dyDescent="0.3">
      <c r="A15" s="233"/>
      <c r="B15" s="305" t="s">
        <v>248</v>
      </c>
      <c r="C15" s="101">
        <f>'Admin Efficiency'!F16</f>
        <v>0</v>
      </c>
      <c r="D15" s="101">
        <f>'Admin Efficiency'!G16</f>
        <v>139604.9908</v>
      </c>
      <c r="E15" s="101">
        <f>'Admin Efficiency'!H16</f>
        <v>0</v>
      </c>
      <c r="F15" s="112">
        <f t="shared" si="7"/>
        <v>139600</v>
      </c>
      <c r="G15" s="325"/>
      <c r="H15" s="325">
        <f t="shared" si="1"/>
        <v>139600</v>
      </c>
      <c r="I15" s="74">
        <f t="shared" si="8"/>
        <v>0</v>
      </c>
      <c r="J15" s="74">
        <f t="shared" si="8"/>
        <v>148149.9330768864</v>
      </c>
      <c r="K15" s="213">
        <f t="shared" si="8"/>
        <v>0</v>
      </c>
      <c r="L15" s="74">
        <f t="shared" si="9"/>
        <v>0</v>
      </c>
      <c r="M15" s="74">
        <f t="shared" si="9"/>
        <v>157217.89418065644</v>
      </c>
      <c r="N15" s="213">
        <f t="shared" si="9"/>
        <v>0</v>
      </c>
      <c r="O15" s="74">
        <f t="shared" si="9"/>
        <v>0</v>
      </c>
      <c r="P15" s="74">
        <f t="shared" si="9"/>
        <v>166840.88704766604</v>
      </c>
      <c r="Q15" s="74">
        <f t="shared" si="9"/>
        <v>0</v>
      </c>
      <c r="R15" s="74">
        <f t="shared" si="9"/>
        <v>0</v>
      </c>
      <c r="S15" s="74">
        <f t="shared" si="9"/>
        <v>177052.88406207957</v>
      </c>
      <c r="T15" s="74">
        <f t="shared" si="9"/>
        <v>0</v>
      </c>
      <c r="U15" s="74">
        <f t="shared" si="9"/>
        <v>0</v>
      </c>
      <c r="V15" s="74">
        <f t="shared" si="9"/>
        <v>187889.93698975132</v>
      </c>
      <c r="W15" s="74">
        <f t="shared" si="9"/>
        <v>0</v>
      </c>
      <c r="X15" s="74">
        <f t="shared" si="9"/>
        <v>0</v>
      </c>
      <c r="Y15" s="74">
        <f t="shared" si="9"/>
        <v>199390.30425302</v>
      </c>
    </row>
    <row r="16" spans="1:25" ht="14.4" x14ac:dyDescent="0.3">
      <c r="A16" s="233"/>
      <c r="B16" s="306" t="s">
        <v>335</v>
      </c>
      <c r="C16" s="101">
        <f>'HPwEs (elec)'!F15</f>
        <v>117615.69500000001</v>
      </c>
      <c r="D16" s="101">
        <f>'HPwEs (elec)'!G15</f>
        <v>0</v>
      </c>
      <c r="E16" s="101">
        <f>'HPwEs (elec)'!H15</f>
        <v>0</v>
      </c>
      <c r="F16" s="112">
        <f t="shared" si="7"/>
        <v>117600</v>
      </c>
      <c r="G16" s="325">
        <v>102600</v>
      </c>
      <c r="H16" s="325">
        <f>F16-G16</f>
        <v>15000</v>
      </c>
      <c r="I16" s="74">
        <v>0</v>
      </c>
      <c r="J16" s="74">
        <v>0</v>
      </c>
      <c r="K16" s="74">
        <v>0</v>
      </c>
      <c r="L16" s="74">
        <v>0</v>
      </c>
      <c r="M16" s="74">
        <v>0</v>
      </c>
      <c r="N16" s="74">
        <v>0</v>
      </c>
      <c r="O16" s="74">
        <v>0</v>
      </c>
      <c r="P16" s="74">
        <v>0</v>
      </c>
      <c r="Q16" s="74">
        <v>0</v>
      </c>
      <c r="R16" s="74">
        <v>0</v>
      </c>
      <c r="S16" s="74">
        <v>0</v>
      </c>
      <c r="T16" s="74">
        <v>0</v>
      </c>
      <c r="U16" s="74">
        <v>0</v>
      </c>
      <c r="V16" s="74">
        <v>0</v>
      </c>
      <c r="W16" s="74">
        <v>0</v>
      </c>
      <c r="X16" s="74">
        <v>0</v>
      </c>
      <c r="Y16" s="74">
        <v>0</v>
      </c>
    </row>
    <row r="17" spans="1:25" ht="14.4" x14ac:dyDescent="0.3">
      <c r="A17" s="233"/>
      <c r="B17" s="304" t="s">
        <v>63</v>
      </c>
      <c r="C17" s="101">
        <f>'ESA CCP'!C24</f>
        <v>8141.3</v>
      </c>
      <c r="D17" s="101">
        <f>'ESA CCP'!D24</f>
        <v>8467.7000000000007</v>
      </c>
      <c r="E17" s="101">
        <f>'ESA CCP'!E24</f>
        <v>15022</v>
      </c>
      <c r="F17" s="112">
        <f t="shared" si="7"/>
        <v>31600</v>
      </c>
      <c r="G17" s="325"/>
      <c r="H17" s="325">
        <f t="shared" si="1"/>
        <v>31600</v>
      </c>
      <c r="I17" s="74">
        <f>E17*$C$68</f>
        <v>15322.44</v>
      </c>
      <c r="J17" s="74">
        <f>F17*$C$68</f>
        <v>32232</v>
      </c>
      <c r="K17" s="74">
        <f t="shared" ref="K17:Y17" si="10">I17*$C$68</f>
        <v>15628.888800000001</v>
      </c>
      <c r="L17" s="74">
        <f t="shared" si="10"/>
        <v>32876.639999999999</v>
      </c>
      <c r="M17" s="74">
        <f t="shared" si="10"/>
        <v>15941.466576000001</v>
      </c>
      <c r="N17" s="74">
        <f t="shared" si="10"/>
        <v>33534.1728</v>
      </c>
      <c r="O17" s="74">
        <f t="shared" si="10"/>
        <v>16260.295907520001</v>
      </c>
      <c r="P17" s="74">
        <f t="shared" si="10"/>
        <v>34204.856255999999</v>
      </c>
      <c r="Q17" s="74">
        <f t="shared" si="10"/>
        <v>16585.501825670402</v>
      </c>
      <c r="R17" s="74">
        <f t="shared" si="10"/>
        <v>34888.953381120002</v>
      </c>
      <c r="S17" s="74">
        <f t="shared" si="10"/>
        <v>16917.211862183813</v>
      </c>
      <c r="T17" s="74">
        <f t="shared" si="10"/>
        <v>35586.732448742405</v>
      </c>
      <c r="U17" s="74">
        <f t="shared" si="10"/>
        <v>17255.556099427489</v>
      </c>
      <c r="V17" s="74">
        <f t="shared" si="10"/>
        <v>36298.46709771725</v>
      </c>
      <c r="W17" s="74">
        <f t="shared" si="10"/>
        <v>17600.667221416039</v>
      </c>
      <c r="X17" s="74">
        <f t="shared" si="10"/>
        <v>37024.436439671597</v>
      </c>
      <c r="Y17" s="74">
        <f t="shared" si="10"/>
        <v>17952.680565844359</v>
      </c>
    </row>
    <row r="18" spans="1:25" ht="14.4" x14ac:dyDescent="0.3">
      <c r="A18" s="233"/>
      <c r="B18" s="304" t="s">
        <v>147</v>
      </c>
      <c r="C18" s="101">
        <f>Regional!F21</f>
        <v>58417.740000000005</v>
      </c>
      <c r="D18" s="101">
        <f>Regional!G21</f>
        <v>59649.600000000006</v>
      </c>
      <c r="E18" s="101">
        <f>Regional!H21</f>
        <v>60908.182799999995</v>
      </c>
      <c r="F18" s="112">
        <f t="shared" si="7"/>
        <v>179000</v>
      </c>
      <c r="G18" s="325"/>
      <c r="H18" s="325">
        <f t="shared" si="1"/>
        <v>179000</v>
      </c>
      <c r="I18" s="302">
        <f>E18*$C$68</f>
        <v>62126.346455999999</v>
      </c>
      <c r="J18" s="302">
        <f>F18*$C$68</f>
        <v>182580</v>
      </c>
      <c r="K18" s="303">
        <f t="shared" ref="K18:Y18" si="11">J18*$C$68</f>
        <v>186231.6</v>
      </c>
      <c r="L18" s="302">
        <f t="shared" si="11"/>
        <v>189956.23200000002</v>
      </c>
      <c r="M18" s="302">
        <f t="shared" si="11"/>
        <v>193755.35664000001</v>
      </c>
      <c r="N18" s="303">
        <f t="shared" si="11"/>
        <v>197630.46377280002</v>
      </c>
      <c r="O18" s="302">
        <f t="shared" si="11"/>
        <v>201583.07304825602</v>
      </c>
      <c r="P18" s="302">
        <f t="shared" si="11"/>
        <v>205614.73450922113</v>
      </c>
      <c r="Q18" s="302">
        <f t="shared" si="11"/>
        <v>209727.02919940557</v>
      </c>
      <c r="R18" s="302">
        <f t="shared" si="11"/>
        <v>213921.5697833937</v>
      </c>
      <c r="S18" s="302">
        <f t="shared" si="11"/>
        <v>218200.00117906157</v>
      </c>
      <c r="T18" s="302">
        <f t="shared" si="11"/>
        <v>222564.0012026428</v>
      </c>
      <c r="U18" s="302">
        <f t="shared" si="11"/>
        <v>227015.28122669566</v>
      </c>
      <c r="V18" s="302">
        <f t="shared" si="11"/>
        <v>231555.58685122957</v>
      </c>
      <c r="W18" s="302">
        <f t="shared" si="11"/>
        <v>236186.69858825416</v>
      </c>
      <c r="X18" s="302">
        <f t="shared" si="11"/>
        <v>240910.43256001925</v>
      </c>
      <c r="Y18" s="302">
        <f t="shared" si="11"/>
        <v>245728.64121121966</v>
      </c>
    </row>
    <row r="19" spans="1:25" ht="14.4" x14ac:dyDescent="0.3">
      <c r="A19" s="233"/>
      <c r="B19" s="306" t="s">
        <v>332</v>
      </c>
      <c r="C19" s="101">
        <f>OPA!F20*0.88</f>
        <v>188352.34</v>
      </c>
      <c r="D19" s="101">
        <f>OPA!G20*0.88</f>
        <v>0</v>
      </c>
      <c r="E19" s="101">
        <f>OPA!H20*0.88</f>
        <v>0</v>
      </c>
      <c r="F19" s="112">
        <f t="shared" si="7"/>
        <v>188400</v>
      </c>
      <c r="G19" s="325"/>
      <c r="H19" s="325">
        <f t="shared" si="1"/>
        <v>188400</v>
      </c>
      <c r="I19" s="74">
        <f>C29*$C$68</f>
        <v>267138.67830000003</v>
      </c>
      <c r="J19" s="74">
        <f>D29*$C$68</f>
        <v>264526.16249999998</v>
      </c>
      <c r="K19" s="74">
        <f>E29*$C$68</f>
        <v>268129.74599999998</v>
      </c>
      <c r="L19" s="74">
        <f>I19*$C$68</f>
        <v>272481.45186600002</v>
      </c>
      <c r="M19" s="74">
        <f t="shared" ref="M19:Y19" si="12">I19*$C$68</f>
        <v>272481.45186600002</v>
      </c>
      <c r="N19" s="74">
        <f t="shared" si="12"/>
        <v>269816.68575</v>
      </c>
      <c r="O19" s="74">
        <f t="shared" si="12"/>
        <v>273492.34091999999</v>
      </c>
      <c r="P19" s="74">
        <f t="shared" si="12"/>
        <v>277931.08090332005</v>
      </c>
      <c r="Q19" s="74">
        <f t="shared" si="12"/>
        <v>277931.08090332005</v>
      </c>
      <c r="R19" s="74">
        <f t="shared" si="12"/>
        <v>275213.01946500002</v>
      </c>
      <c r="S19" s="74">
        <f t="shared" si="12"/>
        <v>278962.18773840001</v>
      </c>
      <c r="T19" s="74">
        <f t="shared" si="12"/>
        <v>283489.70252138644</v>
      </c>
      <c r="U19" s="74">
        <f t="shared" si="12"/>
        <v>283489.70252138644</v>
      </c>
      <c r="V19" s="74">
        <f t="shared" si="12"/>
        <v>280717.27985430002</v>
      </c>
      <c r="W19" s="74">
        <f t="shared" si="12"/>
        <v>284541.431493168</v>
      </c>
      <c r="X19" s="74">
        <f t="shared" si="12"/>
        <v>289159.49657181418</v>
      </c>
      <c r="Y19" s="74">
        <f t="shared" si="12"/>
        <v>289159.49657181418</v>
      </c>
    </row>
    <row r="20" spans="1:25" ht="14.4" x14ac:dyDescent="0.3">
      <c r="A20" s="233"/>
      <c r="B20" s="78"/>
      <c r="C20" s="101"/>
      <c r="D20" s="101"/>
      <c r="E20" s="101"/>
      <c r="F20" s="112"/>
      <c r="G20" s="325"/>
      <c r="H20" s="324"/>
      <c r="I20" s="74"/>
      <c r="J20" s="74"/>
      <c r="K20" s="213"/>
      <c r="L20" s="74"/>
      <c r="M20" s="74"/>
      <c r="N20" s="213"/>
      <c r="O20" s="74"/>
      <c r="P20" s="74"/>
      <c r="Q20" s="74"/>
      <c r="R20" s="74"/>
      <c r="S20" s="74"/>
      <c r="T20" s="74"/>
      <c r="U20" s="74"/>
      <c r="V20" s="74"/>
      <c r="W20" s="74"/>
      <c r="X20" s="74"/>
      <c r="Y20" s="74"/>
    </row>
    <row r="21" spans="1:25" ht="14.4" x14ac:dyDescent="0.3">
      <c r="A21" s="233"/>
      <c r="B21" s="79" t="s">
        <v>174</v>
      </c>
      <c r="C21" s="101"/>
      <c r="D21" s="101"/>
      <c r="E21" s="101"/>
      <c r="F21" s="111">
        <f>SUM(F22:F26)</f>
        <v>201300</v>
      </c>
      <c r="G21" s="325"/>
      <c r="H21" s="324">
        <f>SUM(H22:H26)</f>
        <v>201300</v>
      </c>
      <c r="I21" s="74"/>
      <c r="J21" s="74"/>
      <c r="K21" s="213"/>
      <c r="L21" s="74"/>
      <c r="M21" s="74"/>
      <c r="N21" s="213"/>
      <c r="O21" s="74"/>
      <c r="P21" s="74"/>
      <c r="Q21" s="74"/>
      <c r="R21" s="74"/>
      <c r="S21" s="74"/>
      <c r="T21" s="74"/>
      <c r="U21" s="74"/>
      <c r="V21" s="74"/>
      <c r="W21" s="74"/>
      <c r="X21" s="74"/>
      <c r="Y21" s="74"/>
    </row>
    <row r="22" spans="1:25" ht="14.4" x14ac:dyDescent="0.3">
      <c r="A22" s="233"/>
      <c r="B22" s="86" t="s">
        <v>249</v>
      </c>
      <c r="C22" s="101">
        <f>'Plan&amp;Mgmt'!C14</f>
        <v>8950.6409999999996</v>
      </c>
      <c r="D22" s="101">
        <f>'Plan&amp;Mgmt'!D14</f>
        <v>9309.4889999999996</v>
      </c>
      <c r="E22" s="101">
        <f>'Plan&amp;Mgmt'!E14</f>
        <v>16135.7</v>
      </c>
      <c r="F22" s="112">
        <f>ROUND(SUM(C22:E22),-2)</f>
        <v>34400</v>
      </c>
      <c r="G22" s="324"/>
      <c r="H22" s="325">
        <f t="shared" si="1"/>
        <v>34400</v>
      </c>
      <c r="I22" s="74">
        <f>C22*$C$68^3</f>
        <v>9498.4918343279987</v>
      </c>
      <c r="J22" s="74">
        <f t="shared" ref="J22:K22" si="13">D22*$C$68^3</f>
        <v>9879.3042027119991</v>
      </c>
      <c r="K22" s="74">
        <f t="shared" si="13"/>
        <v>17123.3339256</v>
      </c>
      <c r="L22" s="74">
        <f t="shared" ref="L22:Y25" si="14">I22*$C$68^3</f>
        <v>10079.875522523545</v>
      </c>
      <c r="M22" s="74">
        <f t="shared" si="14"/>
        <v>10483.996654351595</v>
      </c>
      <c r="N22" s="74">
        <f t="shared" si="14"/>
        <v>18171.418948518123</v>
      </c>
      <c r="O22" s="74">
        <f t="shared" si="14"/>
        <v>10696.844543506166</v>
      </c>
      <c r="P22" s="74">
        <f t="shared" si="14"/>
        <v>11125.701121571146</v>
      </c>
      <c r="Q22" s="74">
        <f t="shared" si="14"/>
        <v>19283.655159519018</v>
      </c>
      <c r="R22" s="74">
        <f t="shared" si="14"/>
        <v>11351.57700432509</v>
      </c>
      <c r="S22" s="74">
        <f t="shared" si="14"/>
        <v>11806.683035820271</v>
      </c>
      <c r="T22" s="74">
        <f t="shared" si="14"/>
        <v>20463.969124522857</v>
      </c>
      <c r="U22" s="74">
        <f t="shared" si="14"/>
        <v>12046.38432960582</v>
      </c>
      <c r="V22" s="74">
        <f t="shared" si="14"/>
        <v>12529.346491076758</v>
      </c>
      <c r="W22" s="74">
        <f t="shared" si="14"/>
        <v>21716.527746696651</v>
      </c>
      <c r="X22" s="74">
        <f t="shared" si="14"/>
        <v>12783.719421652333</v>
      </c>
      <c r="Y22" s="74">
        <f t="shared" si="14"/>
        <v>13296.242731102584</v>
      </c>
    </row>
    <row r="23" spans="1:25" ht="14.4" x14ac:dyDescent="0.3">
      <c r="A23" s="233"/>
      <c r="B23" s="78" t="s">
        <v>250</v>
      </c>
      <c r="C23" s="101">
        <f>'Plan&amp;Mgmt'!C37</f>
        <v>27189.5</v>
      </c>
      <c r="D23" s="101">
        <f>'Plan&amp;Mgmt'!D37</f>
        <v>27189.5</v>
      </c>
      <c r="E23" s="101">
        <f>'Plan&amp;Mgmt'!E37</f>
        <v>27189.5</v>
      </c>
      <c r="F23" s="112">
        <f>ROUND(SUM(C23:E23),-2)</f>
        <v>81600</v>
      </c>
      <c r="G23" s="325"/>
      <c r="H23" s="325">
        <f t="shared" si="1"/>
        <v>81600</v>
      </c>
      <c r="I23" s="96">
        <f>C23*$C$68^3</f>
        <v>28853.714915999997</v>
      </c>
      <c r="J23" s="96">
        <f>D23*$C$68^3</f>
        <v>28853.714915999997</v>
      </c>
      <c r="K23" s="332">
        <f>E23*$C$68^3</f>
        <v>28853.714915999997</v>
      </c>
      <c r="L23" s="74">
        <f t="shared" si="14"/>
        <v>30619.793098578524</v>
      </c>
      <c r="M23" s="74">
        <f t="shared" si="14"/>
        <v>30619.793098578524</v>
      </c>
      <c r="N23" s="74">
        <f t="shared" si="14"/>
        <v>30619.793098578524</v>
      </c>
      <c r="O23" s="74">
        <f t="shared" si="14"/>
        <v>32493.969394556316</v>
      </c>
      <c r="P23" s="74">
        <f t="shared" si="14"/>
        <v>32493.969394556316</v>
      </c>
      <c r="Q23" s="74">
        <f t="shared" si="14"/>
        <v>32493.969394556316</v>
      </c>
      <c r="R23" s="74">
        <f t="shared" si="14"/>
        <v>34482.860273258317</v>
      </c>
      <c r="S23" s="74">
        <f t="shared" si="14"/>
        <v>34482.860273258317</v>
      </c>
      <c r="T23" s="74">
        <f t="shared" si="14"/>
        <v>34482.860273258317</v>
      </c>
      <c r="U23" s="74">
        <f t="shared" si="14"/>
        <v>36593.487184863909</v>
      </c>
      <c r="V23" s="74">
        <f t="shared" si="14"/>
        <v>36593.487184863909</v>
      </c>
      <c r="W23" s="74">
        <f t="shared" si="14"/>
        <v>36593.487184863909</v>
      </c>
      <c r="X23" s="74">
        <f t="shared" si="14"/>
        <v>38833.301348475055</v>
      </c>
      <c r="Y23" s="74">
        <f t="shared" si="14"/>
        <v>38833.301348475055</v>
      </c>
    </row>
    <row r="24" spans="1:25" ht="14.4" x14ac:dyDescent="0.3">
      <c r="A24" s="233"/>
      <c r="B24" s="113" t="s">
        <v>251</v>
      </c>
      <c r="C24" s="101">
        <f>'Plan&amp;Mgmt'!F62</f>
        <v>21256.047999999999</v>
      </c>
      <c r="D24" s="101">
        <f>'Plan&amp;Mgmt'!G62</f>
        <v>16608.592000000001</v>
      </c>
      <c r="E24" s="101">
        <f>'Plan&amp;Mgmt'!H62</f>
        <v>21737.759999999998</v>
      </c>
      <c r="F24" s="112">
        <f>ROUND(SUM(C24:E24),-2)</f>
        <v>59600</v>
      </c>
      <c r="G24" s="325"/>
      <c r="H24" s="325">
        <f t="shared" si="1"/>
        <v>59600</v>
      </c>
      <c r="I24" s="74">
        <f>C23*$C$68^3</f>
        <v>28853.714915999997</v>
      </c>
      <c r="J24" s="74">
        <f>D23*$C$68^3</f>
        <v>28853.714915999997</v>
      </c>
      <c r="K24" s="213">
        <f>E23*$C$68^3</f>
        <v>28853.714915999997</v>
      </c>
      <c r="L24" s="74">
        <f t="shared" si="14"/>
        <v>30619.793098578524</v>
      </c>
      <c r="M24" s="74">
        <f t="shared" si="14"/>
        <v>30619.793098578524</v>
      </c>
      <c r="N24" s="213">
        <f t="shared" si="14"/>
        <v>30619.793098578524</v>
      </c>
      <c r="O24" s="74">
        <f t="shared" si="14"/>
        <v>32493.969394556316</v>
      </c>
      <c r="P24" s="74">
        <f t="shared" si="14"/>
        <v>32493.969394556316</v>
      </c>
      <c r="Q24" s="74">
        <f t="shared" si="14"/>
        <v>32493.969394556316</v>
      </c>
      <c r="R24" s="74">
        <f t="shared" si="14"/>
        <v>34482.860273258317</v>
      </c>
      <c r="S24" s="74">
        <f t="shared" si="14"/>
        <v>34482.860273258317</v>
      </c>
      <c r="T24" s="74">
        <f t="shared" si="14"/>
        <v>34482.860273258317</v>
      </c>
      <c r="U24" s="74">
        <f t="shared" si="14"/>
        <v>36593.487184863909</v>
      </c>
      <c r="V24" s="74">
        <f t="shared" si="14"/>
        <v>36593.487184863909</v>
      </c>
      <c r="W24" s="74">
        <f t="shared" si="14"/>
        <v>36593.487184863909</v>
      </c>
      <c r="X24" s="74">
        <f t="shared" si="14"/>
        <v>38833.301348475055</v>
      </c>
      <c r="Y24" s="74">
        <f t="shared" si="14"/>
        <v>38833.301348475055</v>
      </c>
    </row>
    <row r="25" spans="1:25" ht="14.4" x14ac:dyDescent="0.3">
      <c r="A25" s="233"/>
      <c r="B25" s="306" t="s">
        <v>331</v>
      </c>
      <c r="C25" s="101">
        <f>'Plan&amp;Mgmt'!F98</f>
        <v>0</v>
      </c>
      <c r="D25" s="101">
        <f>'Plan&amp;Mgmt'!G98</f>
        <v>13946.800000000001</v>
      </c>
      <c r="E25" s="101">
        <f>'Plan&amp;Mgmt'!H98</f>
        <v>5801.5999999999995</v>
      </c>
      <c r="F25" s="112">
        <f t="shared" ref="F25" si="15">ROUND(SUM(C25:E25),-2)</f>
        <v>19700</v>
      </c>
      <c r="G25" s="325"/>
      <c r="H25" s="325">
        <f t="shared" si="1"/>
        <v>19700</v>
      </c>
      <c r="I25" s="96">
        <f>C24*$C$68^3</f>
        <v>22557.088185983997</v>
      </c>
      <c r="J25" s="96">
        <f>D24*$C$68^3</f>
        <v>17625.170699136001</v>
      </c>
      <c r="K25" s="332">
        <f>E25*$C$68^3</f>
        <v>6156.7043327999991</v>
      </c>
      <c r="L25" s="74">
        <f t="shared" si="14"/>
        <v>23937.762439671704</v>
      </c>
      <c r="M25" s="74">
        <f t="shared" si="14"/>
        <v>18703.972147288714</v>
      </c>
      <c r="N25" s="74">
        <f t="shared" si="14"/>
        <v>6533.5438916020212</v>
      </c>
      <c r="O25" s="74">
        <f t="shared" si="14"/>
        <v>25402.945003079127</v>
      </c>
      <c r="P25" s="74">
        <f t="shared" si="14"/>
        <v>19848.80487447996</v>
      </c>
      <c r="Q25" s="74">
        <f t="shared" si="14"/>
        <v>6933.4490461191972</v>
      </c>
      <c r="R25" s="74">
        <f t="shared" si="14"/>
        <v>26957.808460827593</v>
      </c>
      <c r="S25" s="74">
        <f t="shared" si="14"/>
        <v>21063.710523237129</v>
      </c>
      <c r="T25" s="74">
        <f t="shared" si="14"/>
        <v>7357.8315953340607</v>
      </c>
      <c r="U25" s="74">
        <f t="shared" si="14"/>
        <v>28607.842001097928</v>
      </c>
      <c r="V25" s="74">
        <f t="shared" si="14"/>
        <v>22352.978116943425</v>
      </c>
      <c r="W25" s="74">
        <f t="shared" si="14"/>
        <v>7808.1897516212675</v>
      </c>
      <c r="X25" s="74">
        <f t="shared" si="14"/>
        <v>30358.870794301129</v>
      </c>
      <c r="Y25" s="74">
        <f t="shared" si="14"/>
        <v>23721.159201525297</v>
      </c>
    </row>
    <row r="26" spans="1:25" ht="14.4" x14ac:dyDescent="0.3">
      <c r="A26" s="233"/>
      <c r="B26" s="86" t="s">
        <v>252</v>
      </c>
      <c r="C26" s="101">
        <f>'Plan&amp;Mgmt'!D72</f>
        <v>528</v>
      </c>
      <c r="D26" s="101">
        <f>'Plan&amp;Mgmt'!E72</f>
        <v>4928</v>
      </c>
      <c r="E26" s="101">
        <f>'Plan&amp;Mgmt'!F72</f>
        <v>528</v>
      </c>
      <c r="F26" s="112">
        <f>ROUND(SUM(C26:E26),-2)</f>
        <v>6000</v>
      </c>
      <c r="G26" s="325"/>
      <c r="H26" s="325">
        <f t="shared" si="1"/>
        <v>6000</v>
      </c>
      <c r="I26" s="74">
        <f>C26*$C$68^3</f>
        <v>560.31782399999997</v>
      </c>
      <c r="J26" s="74">
        <f>D26*$C$68^3</f>
        <v>5229.6330239999998</v>
      </c>
      <c r="K26" s="213">
        <f>E26*$C$68^3</f>
        <v>560.31782399999997</v>
      </c>
      <c r="L26" s="74">
        <f t="shared" ref="L26:Y26" si="16">I26*$C$68^3</f>
        <v>594.6137573713919</v>
      </c>
      <c r="M26" s="74">
        <f t="shared" si="16"/>
        <v>5549.7284021329915</v>
      </c>
      <c r="N26" s="213">
        <f t="shared" si="16"/>
        <v>594.6137573713919</v>
      </c>
      <c r="O26" s="74">
        <f t="shared" si="16"/>
        <v>631.00887623258006</v>
      </c>
      <c r="P26" s="74">
        <f t="shared" si="16"/>
        <v>5889.4161781707471</v>
      </c>
      <c r="Q26" s="74">
        <f t="shared" si="16"/>
        <v>631.00887623258006</v>
      </c>
      <c r="R26" s="74">
        <f t="shared" si="16"/>
        <v>669.63166752902373</v>
      </c>
      <c r="S26" s="74">
        <f t="shared" si="16"/>
        <v>6249.8955636042219</v>
      </c>
      <c r="T26" s="74">
        <f t="shared" si="16"/>
        <v>669.63166752902373</v>
      </c>
      <c r="U26" s="74">
        <f t="shared" si="16"/>
        <v>710.61848263514014</v>
      </c>
      <c r="V26" s="74">
        <f t="shared" si="16"/>
        <v>6632.4391712613087</v>
      </c>
      <c r="W26" s="74">
        <f t="shared" si="16"/>
        <v>710.61848263514014</v>
      </c>
      <c r="X26" s="74">
        <f t="shared" si="16"/>
        <v>754.1140187202717</v>
      </c>
      <c r="Y26" s="74">
        <f t="shared" si="16"/>
        <v>7038.3975080558703</v>
      </c>
    </row>
    <row r="27" spans="1:25" ht="14.4" x14ac:dyDescent="0.3">
      <c r="A27" s="233"/>
      <c r="B27" s="86"/>
      <c r="C27" s="101"/>
      <c r="D27" s="101"/>
      <c r="E27" s="101"/>
      <c r="F27" s="112"/>
      <c r="G27" s="325"/>
      <c r="H27" s="324"/>
    </row>
    <row r="28" spans="1:25" ht="14.4" x14ac:dyDescent="0.3">
      <c r="B28" s="307" t="s">
        <v>173</v>
      </c>
      <c r="C28" s="101">
        <f>(SUM(C7:C19))*0.05</f>
        <v>89053.313200000019</v>
      </c>
      <c r="D28" s="101">
        <f>(SUM(D7:D19))*0.05</f>
        <v>26413.917950000003</v>
      </c>
      <c r="E28" s="101">
        <f>(SUM(E7:E19))*0.05</f>
        <v>26092.050635000156</v>
      </c>
      <c r="F28" s="111">
        <f>ROUND(SUM(C28:E28),-2)</f>
        <v>141600</v>
      </c>
      <c r="G28" s="325"/>
      <c r="H28" s="324">
        <f t="shared" si="1"/>
        <v>141600</v>
      </c>
      <c r="I28" s="74">
        <f>(SUM(I7:I19))*0.05</f>
        <v>92069.234673417581</v>
      </c>
      <c r="J28" s="74">
        <f t="shared" ref="J28:Y28" si="17">(SUM(J7:J19)+M6)*0.05</f>
        <v>48350.855759157595</v>
      </c>
      <c r="K28" s="213">
        <f t="shared" si="17"/>
        <v>38256.204199357067</v>
      </c>
      <c r="L28" s="74">
        <f t="shared" si="17"/>
        <v>104186.37586766887</v>
      </c>
      <c r="M28" s="74">
        <f t="shared" si="17"/>
        <v>49985.354055049123</v>
      </c>
      <c r="N28" s="213">
        <f t="shared" si="17"/>
        <v>40708.986207549395</v>
      </c>
      <c r="O28" s="74">
        <f t="shared" si="17"/>
        <v>108848.62490550645</v>
      </c>
      <c r="P28" s="74">
        <f t="shared" si="17"/>
        <v>53347.819042316674</v>
      </c>
      <c r="Q28" s="74">
        <f t="shared" si="17"/>
        <v>41830.613076784182</v>
      </c>
      <c r="R28" s="74">
        <f t="shared" si="17"/>
        <v>115641.73936990573</v>
      </c>
      <c r="S28" s="74">
        <f t="shared" si="17"/>
        <v>54845.044650239593</v>
      </c>
      <c r="T28" s="74">
        <f t="shared" si="17"/>
        <v>44717.635304261115</v>
      </c>
      <c r="U28" s="74">
        <f t="shared" si="17"/>
        <v>121303.06716429535</v>
      </c>
      <c r="V28" s="74">
        <f t="shared" si="17"/>
        <v>58353.308196225509</v>
      </c>
      <c r="W28" s="74">
        <f t="shared" si="17"/>
        <v>45631.493991604504</v>
      </c>
      <c r="X28" s="74">
        <f t="shared" si="17"/>
        <v>129079.31822933798</v>
      </c>
      <c r="Y28" s="74">
        <f t="shared" si="17"/>
        <v>60459.624001610187</v>
      </c>
    </row>
    <row r="29" spans="1:25" ht="14.4" x14ac:dyDescent="0.3">
      <c r="B29" s="322" t="s">
        <v>356</v>
      </c>
      <c r="C29" s="101">
        <f>Behavioral!F18</f>
        <v>261900.66500000001</v>
      </c>
      <c r="D29" s="101">
        <f>Behavioral!G18</f>
        <v>259339.375</v>
      </c>
      <c r="E29" s="101">
        <f>Behavioral!H18</f>
        <v>262872.3</v>
      </c>
      <c r="F29" s="111">
        <f>ROUND(SUM(C29:E29),-2)</f>
        <v>784100</v>
      </c>
      <c r="G29" s="324"/>
      <c r="H29" s="324">
        <f t="shared" si="1"/>
        <v>784100</v>
      </c>
    </row>
    <row r="30" spans="1:25" ht="14.4" x14ac:dyDescent="0.3">
      <c r="B30" s="102"/>
      <c r="C30" s="101"/>
      <c r="D30" s="101"/>
      <c r="E30" s="101"/>
      <c r="F30" s="111"/>
      <c r="G30" s="324"/>
      <c r="H30" s="324"/>
      <c r="I30" s="74"/>
      <c r="J30" s="74"/>
      <c r="K30" s="213"/>
      <c r="L30" s="74"/>
      <c r="M30" s="74"/>
      <c r="N30" s="213"/>
      <c r="O30" s="201"/>
      <c r="P30" s="74"/>
      <c r="Q30" s="74"/>
      <c r="R30" s="74"/>
      <c r="S30" s="74"/>
      <c r="T30" s="74"/>
      <c r="U30" s="74"/>
      <c r="V30" s="74"/>
      <c r="W30" s="74"/>
      <c r="X30" s="74"/>
      <c r="Y30" s="74"/>
    </row>
    <row r="31" spans="1:25" ht="14.4" x14ac:dyDescent="0.3">
      <c r="B31" s="184" t="s">
        <v>181</v>
      </c>
      <c r="C31" s="185">
        <f>SUM(C7:C30)</f>
        <v>2189944.4312</v>
      </c>
      <c r="D31" s="185">
        <f>SUM(D7:D30)</f>
        <v>886014.03295000002</v>
      </c>
      <c r="E31" s="185">
        <f>SUM(E7:E30)</f>
        <v>882197.9233350032</v>
      </c>
      <c r="F31" s="327"/>
      <c r="G31" s="326"/>
      <c r="H31" s="324"/>
      <c r="I31" s="203"/>
      <c r="J31" s="204"/>
      <c r="K31" s="204"/>
      <c r="L31" s="203"/>
      <c r="M31" s="204"/>
      <c r="N31" s="204"/>
      <c r="O31" s="203"/>
      <c r="P31" s="204"/>
      <c r="Q31" s="204"/>
      <c r="R31" s="203"/>
      <c r="S31" s="204"/>
      <c r="T31" s="204"/>
      <c r="U31" s="203"/>
      <c r="V31" s="204"/>
      <c r="W31" s="204"/>
      <c r="X31" s="203"/>
      <c r="Y31" s="204"/>
    </row>
    <row r="32" spans="1:25" ht="15" customHeight="1" x14ac:dyDescent="0.25">
      <c r="B32" s="114" t="s">
        <v>333</v>
      </c>
      <c r="C32" s="351">
        <f>F28+F21+F13+F6+F29</f>
        <v>3958200</v>
      </c>
      <c r="D32" s="352"/>
      <c r="E32" s="352"/>
      <c r="F32" s="352"/>
      <c r="G32" s="329"/>
      <c r="H32" s="329">
        <f>SUM(H6+H13+H21+H28+H29)</f>
        <v>2624300</v>
      </c>
      <c r="I32" s="333">
        <f>SUM(I7:I31)</f>
        <v>2023777.2558180811</v>
      </c>
      <c r="J32" s="333">
        <f t="shared" ref="J32:Y32" si="18">SUM(J7:J31)</f>
        <v>1105809.5087001577</v>
      </c>
      <c r="K32" s="333">
        <f t="shared" si="18"/>
        <v>884928.07410089846</v>
      </c>
      <c r="L32" s="333">
        <f t="shared" si="18"/>
        <v>2283765.7311377707</v>
      </c>
      <c r="M32" s="333">
        <f t="shared" si="18"/>
        <v>1145669.718556962</v>
      </c>
      <c r="N32" s="333">
        <f t="shared" si="18"/>
        <v>941427.87315318582</v>
      </c>
      <c r="O32" s="333">
        <f t="shared" si="18"/>
        <v>2387539.8602275662</v>
      </c>
      <c r="P32" s="333">
        <f t="shared" si="18"/>
        <v>1222156.0608519847</v>
      </c>
      <c r="Q32" s="333">
        <f t="shared" si="18"/>
        <v>970278.92648345139</v>
      </c>
      <c r="R32" s="333">
        <f t="shared" si="18"/>
        <v>2536421.2644472183</v>
      </c>
      <c r="S32" s="333">
        <f t="shared" si="18"/>
        <v>1259831.9473242098</v>
      </c>
      <c r="T32" s="333">
        <f t="shared" si="18"/>
        <v>1036527.4943233859</v>
      </c>
      <c r="U32" s="333">
        <f t="shared" si="18"/>
        <v>2661916.2296332694</v>
      </c>
      <c r="V32" s="333">
        <f t="shared" si="18"/>
        <v>1340121.2102697452</v>
      </c>
      <c r="W32" s="333">
        <f t="shared" si="18"/>
        <v>1061683.6841743751</v>
      </c>
      <c r="X32" s="333">
        <f t="shared" si="18"/>
        <v>2832228.9897477212</v>
      </c>
      <c r="Y32" s="333">
        <f t="shared" si="18"/>
        <v>1391374.5061714477</v>
      </c>
    </row>
    <row r="33" spans="2:25" ht="14.4" x14ac:dyDescent="0.3">
      <c r="B33" s="75"/>
      <c r="C33" s="35"/>
      <c r="D33" s="35"/>
      <c r="E33" s="35"/>
      <c r="F33" s="327"/>
      <c r="G33" s="326"/>
      <c r="H33" s="326"/>
      <c r="I33" s="205"/>
      <c r="J33" s="206"/>
      <c r="K33" s="206"/>
      <c r="L33" s="205"/>
      <c r="M33" s="206"/>
      <c r="N33" s="206"/>
      <c r="O33" s="205"/>
      <c r="P33" s="206"/>
      <c r="Q33" s="206"/>
      <c r="R33" s="205"/>
      <c r="S33" s="206"/>
      <c r="T33" s="206"/>
      <c r="U33" s="205"/>
      <c r="V33" s="206"/>
      <c r="W33" s="206"/>
      <c r="X33" s="205"/>
      <c r="Y33" s="206"/>
    </row>
    <row r="34" spans="2:25" ht="14.4" x14ac:dyDescent="0.3">
      <c r="B34" s="80" t="s">
        <v>253</v>
      </c>
      <c r="C34" s="101"/>
      <c r="D34" s="101"/>
      <c r="E34" s="101"/>
      <c r="F34" s="328">
        <f>F35+F36</f>
        <v>168000</v>
      </c>
      <c r="G34" s="324"/>
      <c r="H34" s="324">
        <f>SUM(H35:H36)</f>
        <v>104400</v>
      </c>
      <c r="I34" s="74"/>
      <c r="J34" s="74"/>
      <c r="K34" s="213"/>
      <c r="L34" s="74"/>
      <c r="M34" s="74"/>
      <c r="N34" s="213"/>
      <c r="O34" s="202"/>
      <c r="P34" s="74"/>
      <c r="Q34" s="74"/>
      <c r="R34" s="74"/>
      <c r="S34" s="74"/>
      <c r="T34" s="74"/>
      <c r="U34" s="74"/>
      <c r="V34" s="74"/>
      <c r="W34" s="74"/>
      <c r="X34" s="74"/>
      <c r="Y34" s="74"/>
    </row>
    <row r="35" spans="2:25" ht="14.4" x14ac:dyDescent="0.3">
      <c r="B35" s="227" t="s">
        <v>347</v>
      </c>
      <c r="C35" s="101">
        <f>HPwES!D32</f>
        <v>69035.735480464617</v>
      </c>
      <c r="D35" s="101">
        <f>HPwES!E32</f>
        <v>0</v>
      </c>
      <c r="E35" s="101">
        <f>HPwES!F32</f>
        <v>0</v>
      </c>
      <c r="F35" s="200">
        <f>ROUND(SUM(C35:E35),-2)</f>
        <v>69000</v>
      </c>
      <c r="G35" s="325">
        <v>63620</v>
      </c>
      <c r="H35" s="325">
        <f>ROUND(SUM(F35-G35),-2)</f>
        <v>5400</v>
      </c>
      <c r="I35" s="74">
        <v>0</v>
      </c>
      <c r="J35" s="74">
        <f>HPwES!G17*$C$68^3</f>
        <v>0</v>
      </c>
      <c r="K35" s="213">
        <v>0</v>
      </c>
      <c r="L35" s="74">
        <f t="shared" ref="L35:Y35" si="19">I35*$C$68^3</f>
        <v>0</v>
      </c>
      <c r="M35" s="74">
        <f t="shared" si="19"/>
        <v>0</v>
      </c>
      <c r="N35" s="74">
        <f t="shared" si="19"/>
        <v>0</v>
      </c>
      <c r="O35" s="74">
        <f t="shared" si="19"/>
        <v>0</v>
      </c>
      <c r="P35" s="74">
        <f t="shared" si="19"/>
        <v>0</v>
      </c>
      <c r="Q35" s="74">
        <f t="shared" si="19"/>
        <v>0</v>
      </c>
      <c r="R35" s="74">
        <f t="shared" si="19"/>
        <v>0</v>
      </c>
      <c r="S35" s="74">
        <f t="shared" si="19"/>
        <v>0</v>
      </c>
      <c r="T35" s="74">
        <f t="shared" si="19"/>
        <v>0</v>
      </c>
      <c r="U35" s="74">
        <f t="shared" si="19"/>
        <v>0</v>
      </c>
      <c r="V35" s="74">
        <f t="shared" si="19"/>
        <v>0</v>
      </c>
      <c r="W35" s="74">
        <f t="shared" si="19"/>
        <v>0</v>
      </c>
      <c r="X35" s="74">
        <f t="shared" si="19"/>
        <v>0</v>
      </c>
      <c r="Y35" s="74">
        <f t="shared" si="19"/>
        <v>0</v>
      </c>
    </row>
    <row r="36" spans="2:25" ht="14.4" x14ac:dyDescent="0.3">
      <c r="B36" s="227" t="s">
        <v>352</v>
      </c>
      <c r="C36" s="101">
        <f>'TEPF Potential'!F15</f>
        <v>0</v>
      </c>
      <c r="D36" s="101">
        <f>'TEPF Potential'!G15</f>
        <v>99010.654999999999</v>
      </c>
      <c r="E36" s="101">
        <f>'TEPF Potential'!H15</f>
        <v>0</v>
      </c>
      <c r="F36" s="200">
        <f>ROUND(SUM(C36:E36),-2)</f>
        <v>99000</v>
      </c>
      <c r="G36" s="325"/>
      <c r="H36" s="325">
        <f>F36-G36</f>
        <v>99000</v>
      </c>
      <c r="I36" s="74">
        <v>0</v>
      </c>
      <c r="J36" s="74">
        <f>D36*1.02</f>
        <v>100990.86810000001</v>
      </c>
      <c r="K36" s="213">
        <v>0</v>
      </c>
      <c r="L36" s="74">
        <v>0</v>
      </c>
      <c r="M36" s="74">
        <f>J36*1.02</f>
        <v>103010.68546200001</v>
      </c>
      <c r="N36" s="74">
        <v>0</v>
      </c>
      <c r="O36" s="74">
        <v>0</v>
      </c>
      <c r="P36" s="74">
        <f t="shared" ref="P36" si="20">M36*1.02</f>
        <v>105070.89917124002</v>
      </c>
      <c r="Q36" s="74">
        <v>0</v>
      </c>
      <c r="R36" s="74">
        <v>0</v>
      </c>
      <c r="S36" s="74">
        <f t="shared" ref="S36" si="21">P36*1.02</f>
        <v>107172.31715466482</v>
      </c>
      <c r="T36" s="74">
        <v>0</v>
      </c>
      <c r="U36" s="74">
        <v>0</v>
      </c>
      <c r="V36" s="74">
        <f t="shared" ref="V36" si="22">S36*1.02</f>
        <v>109315.76349775812</v>
      </c>
      <c r="W36" s="74">
        <v>0</v>
      </c>
      <c r="X36" s="74">
        <v>0</v>
      </c>
      <c r="Y36" s="74">
        <f t="shared" ref="Y36" si="23">V36*1.02</f>
        <v>111502.07876771328</v>
      </c>
    </row>
    <row r="37" spans="2:25" ht="14.4" x14ac:dyDescent="0.3">
      <c r="B37" s="93"/>
      <c r="C37" s="101"/>
      <c r="D37" s="101"/>
      <c r="E37" s="101"/>
      <c r="F37" s="200"/>
      <c r="G37" s="325"/>
      <c r="H37" s="325"/>
      <c r="I37" s="74"/>
      <c r="J37" s="74"/>
      <c r="K37" s="213"/>
      <c r="L37" s="74"/>
      <c r="M37" s="74"/>
      <c r="N37" s="74"/>
      <c r="O37" s="74"/>
      <c r="P37" s="74"/>
      <c r="Q37" s="74"/>
      <c r="R37" s="74"/>
      <c r="S37" s="74"/>
      <c r="T37" s="74"/>
      <c r="U37" s="74"/>
      <c r="V37" s="74"/>
      <c r="W37" s="74"/>
      <c r="X37" s="74"/>
      <c r="Y37" s="74"/>
    </row>
    <row r="38" spans="2:25" ht="14.4" x14ac:dyDescent="0.3">
      <c r="B38" s="80" t="s">
        <v>254</v>
      </c>
      <c r="C38" s="101"/>
      <c r="D38" s="101"/>
      <c r="E38" s="101"/>
      <c r="F38" s="328">
        <f>F39+F40+F41+F42</f>
        <v>212200</v>
      </c>
      <c r="G38" s="324"/>
      <c r="H38" s="324">
        <f>SUM(H39:H42)</f>
        <v>77200</v>
      </c>
      <c r="I38" s="74"/>
      <c r="J38" s="74"/>
      <c r="K38" s="213"/>
      <c r="L38" s="74"/>
      <c r="M38" s="74"/>
      <c r="N38" s="74"/>
      <c r="O38" s="74"/>
      <c r="P38" s="74"/>
      <c r="Q38" s="74"/>
      <c r="R38" s="74"/>
      <c r="S38" s="74"/>
      <c r="T38" s="74"/>
      <c r="U38" s="74"/>
      <c r="V38" s="74"/>
      <c r="W38" s="74"/>
      <c r="X38" s="74"/>
      <c r="Y38" s="74"/>
    </row>
    <row r="39" spans="2:25" ht="14.4" x14ac:dyDescent="0.3">
      <c r="B39" s="78" t="s">
        <v>246</v>
      </c>
      <c r="C39" s="101">
        <f>'Mkt Characterizations'!F20</f>
        <v>160539.97200000001</v>
      </c>
      <c r="D39" s="101">
        <f>'Mkt Characterizations'!G20</f>
        <v>0</v>
      </c>
      <c r="E39" s="101">
        <f>'Mkt Characterizations'!H20</f>
        <v>0</v>
      </c>
      <c r="F39" s="200">
        <f>ROUND(SUM(C39:E39),-2)</f>
        <v>160500</v>
      </c>
      <c r="G39" s="325">
        <v>135000</v>
      </c>
      <c r="H39" s="325">
        <f>F39-G39</f>
        <v>25500</v>
      </c>
      <c r="I39" s="74">
        <f t="shared" ref="I39:K41" si="24">C39*$C$68^3</f>
        <v>170366.302606176</v>
      </c>
      <c r="J39" s="74">
        <f t="shared" si="24"/>
        <v>0</v>
      </c>
      <c r="K39" s="213">
        <f t="shared" si="24"/>
        <v>0</v>
      </c>
      <c r="L39" s="74">
        <f t="shared" ref="L39:Y41" si="25">I39*$C$68^3</f>
        <v>180794.0832560948</v>
      </c>
      <c r="M39" s="74">
        <f t="shared" si="25"/>
        <v>0</v>
      </c>
      <c r="N39" s="74">
        <f t="shared" si="25"/>
        <v>0</v>
      </c>
      <c r="O39" s="74">
        <f t="shared" si="25"/>
        <v>191860.12750403385</v>
      </c>
      <c r="P39" s="74">
        <f t="shared" si="25"/>
        <v>0</v>
      </c>
      <c r="Q39" s="74">
        <f t="shared" si="25"/>
        <v>0</v>
      </c>
      <c r="R39" s="74">
        <f t="shared" si="25"/>
        <v>203603.50218830074</v>
      </c>
      <c r="S39" s="74">
        <f t="shared" si="25"/>
        <v>0</v>
      </c>
      <c r="T39" s="74">
        <f t="shared" si="25"/>
        <v>0</v>
      </c>
      <c r="U39" s="74">
        <f t="shared" si="25"/>
        <v>216065.66535024223</v>
      </c>
      <c r="V39" s="74">
        <f t="shared" si="25"/>
        <v>0</v>
      </c>
      <c r="W39" s="74">
        <f t="shared" si="25"/>
        <v>0</v>
      </c>
      <c r="X39" s="74">
        <f t="shared" si="25"/>
        <v>229290.61259499984</v>
      </c>
      <c r="Y39" s="74">
        <f t="shared" si="25"/>
        <v>0</v>
      </c>
    </row>
    <row r="40" spans="2:25" ht="14.4" x14ac:dyDescent="0.3">
      <c r="B40" s="78" t="s">
        <v>255</v>
      </c>
      <c r="C40" s="101">
        <f>NRA!F20</f>
        <v>459.74399999999997</v>
      </c>
      <c r="D40" s="101">
        <f>NRA!G20</f>
        <v>1195.44</v>
      </c>
      <c r="E40" s="101">
        <f>NRA!H20</f>
        <v>5300.232</v>
      </c>
      <c r="F40" s="200">
        <f>ROUND(SUM(C40:E40),-2)</f>
        <v>7000</v>
      </c>
      <c r="G40" s="325"/>
      <c r="H40" s="325">
        <f t="shared" ref="H40:H42" si="26">F40-G40</f>
        <v>7000</v>
      </c>
      <c r="I40" s="74">
        <f t="shared" si="24"/>
        <v>487.88401075199994</v>
      </c>
      <c r="J40" s="74">
        <f t="shared" si="24"/>
        <v>1268.6104915199999</v>
      </c>
      <c r="K40" s="213">
        <f t="shared" si="24"/>
        <v>5624.6486002559996</v>
      </c>
      <c r="L40" s="74">
        <f t="shared" si="25"/>
        <v>517.74641528210827</v>
      </c>
      <c r="M40" s="74">
        <f t="shared" si="25"/>
        <v>1346.2596024849558</v>
      </c>
      <c r="N40" s="74">
        <f t="shared" si="25"/>
        <v>5968.9220917804687</v>
      </c>
      <c r="O40" s="74">
        <f t="shared" si="25"/>
        <v>549.43663786869547</v>
      </c>
      <c r="P40" s="74">
        <f t="shared" si="25"/>
        <v>1428.661460233855</v>
      </c>
      <c r="Q40" s="74">
        <f t="shared" si="25"/>
        <v>6334.2678751741669</v>
      </c>
      <c r="R40" s="74">
        <f t="shared" si="25"/>
        <v>583.06655559936257</v>
      </c>
      <c r="S40" s="74">
        <f t="shared" si="25"/>
        <v>1516.1069708918487</v>
      </c>
      <c r="T40" s="74">
        <f t="shared" si="25"/>
        <v>6721.975743277827</v>
      </c>
      <c r="U40" s="74">
        <f t="shared" si="25"/>
        <v>618.75489333448832</v>
      </c>
      <c r="V40" s="74">
        <f t="shared" si="25"/>
        <v>1608.9048463661968</v>
      </c>
      <c r="W40" s="74">
        <f t="shared" si="25"/>
        <v>7133.4144345723753</v>
      </c>
      <c r="X40" s="74">
        <f t="shared" si="25"/>
        <v>656.62764284570562</v>
      </c>
      <c r="Y40" s="74">
        <f t="shared" si="25"/>
        <v>1707.3826942025789</v>
      </c>
    </row>
    <row r="41" spans="2:25" ht="14.4" x14ac:dyDescent="0.3">
      <c r="B41" s="78" t="s">
        <v>256</v>
      </c>
      <c r="C41" s="101">
        <f>'Admin Efficiency'!F17</f>
        <v>0</v>
      </c>
      <c r="D41" s="101">
        <f>'Admin Efficiency'!G17</f>
        <v>19037.0442</v>
      </c>
      <c r="E41" s="101">
        <f>'Admin Efficiency'!H17</f>
        <v>0</v>
      </c>
      <c r="F41" s="200">
        <f>ROUND(SUM(C41:E41),-2)</f>
        <v>19000</v>
      </c>
      <c r="G41" s="325"/>
      <c r="H41" s="325">
        <f t="shared" si="26"/>
        <v>19000</v>
      </c>
      <c r="I41" s="74">
        <f t="shared" si="24"/>
        <v>0</v>
      </c>
      <c r="J41" s="74">
        <f t="shared" si="24"/>
        <v>20202.263601393599</v>
      </c>
      <c r="K41" s="213">
        <f t="shared" si="24"/>
        <v>0</v>
      </c>
      <c r="L41" s="74">
        <f t="shared" si="25"/>
        <v>0</v>
      </c>
      <c r="M41" s="74">
        <f t="shared" si="25"/>
        <v>21438.803751907697</v>
      </c>
      <c r="N41" s="74">
        <f t="shared" si="25"/>
        <v>0</v>
      </c>
      <c r="O41" s="74">
        <f t="shared" si="25"/>
        <v>0</v>
      </c>
      <c r="P41" s="74">
        <f t="shared" si="25"/>
        <v>22751.030051954462</v>
      </c>
      <c r="Q41" s="74">
        <f t="shared" si="25"/>
        <v>0</v>
      </c>
      <c r="R41" s="74">
        <f t="shared" si="25"/>
        <v>0</v>
      </c>
      <c r="S41" s="74">
        <f t="shared" si="25"/>
        <v>24143.575099374488</v>
      </c>
      <c r="T41" s="74">
        <f t="shared" si="25"/>
        <v>0</v>
      </c>
      <c r="U41" s="74">
        <f t="shared" si="25"/>
        <v>0</v>
      </c>
      <c r="V41" s="74">
        <f t="shared" si="25"/>
        <v>25621.355044057</v>
      </c>
      <c r="W41" s="74">
        <f t="shared" si="25"/>
        <v>0</v>
      </c>
      <c r="X41" s="74">
        <f t="shared" si="25"/>
        <v>0</v>
      </c>
      <c r="Y41" s="74">
        <f t="shared" si="25"/>
        <v>27189.58694359364</v>
      </c>
    </row>
    <row r="42" spans="2:25" ht="14.4" x14ac:dyDescent="0.3">
      <c r="B42" s="227" t="s">
        <v>332</v>
      </c>
      <c r="C42" s="101">
        <f>OPA!F20*0.12</f>
        <v>25684.41</v>
      </c>
      <c r="D42" s="101">
        <f>OPA!G20*0.12</f>
        <v>0</v>
      </c>
      <c r="E42" s="101">
        <f>OPA!H20*0.12</f>
        <v>0</v>
      </c>
      <c r="F42" s="200">
        <f>ROUND(SUM(C42:E42),-2)</f>
        <v>25700</v>
      </c>
      <c r="G42" s="325"/>
      <c r="H42" s="325">
        <f t="shared" si="26"/>
        <v>25700</v>
      </c>
      <c r="I42" s="74"/>
      <c r="J42" s="74"/>
      <c r="K42" s="213"/>
      <c r="L42" s="74"/>
      <c r="M42" s="74"/>
      <c r="N42" s="74"/>
      <c r="O42" s="74"/>
      <c r="P42" s="74"/>
      <c r="Q42" s="74"/>
      <c r="R42" s="74"/>
      <c r="S42" s="74"/>
      <c r="T42" s="74"/>
      <c r="U42" s="74"/>
      <c r="V42" s="74"/>
      <c r="W42" s="74"/>
      <c r="X42" s="74"/>
      <c r="Y42" s="74"/>
    </row>
    <row r="43" spans="2:25" ht="14.4" x14ac:dyDescent="0.3">
      <c r="B43" s="78"/>
      <c r="C43" s="101"/>
      <c r="D43" s="101"/>
      <c r="E43" s="101"/>
      <c r="F43" s="200"/>
      <c r="G43" s="325"/>
      <c r="H43" s="325"/>
      <c r="I43" s="74"/>
      <c r="J43" s="74"/>
      <c r="K43" s="213"/>
      <c r="L43" s="74"/>
      <c r="M43" s="74"/>
      <c r="N43" s="74"/>
      <c r="O43" s="74"/>
      <c r="P43" s="74"/>
      <c r="Q43" s="74"/>
      <c r="R43" s="74"/>
      <c r="S43" s="74"/>
      <c r="T43" s="74"/>
      <c r="U43" s="74"/>
      <c r="V43" s="74"/>
      <c r="W43" s="74"/>
      <c r="X43" s="74"/>
      <c r="Y43" s="74"/>
    </row>
    <row r="44" spans="2:25" ht="14.4" x14ac:dyDescent="0.3">
      <c r="B44" s="80" t="s">
        <v>257</v>
      </c>
      <c r="C44" s="101"/>
      <c r="D44" s="101"/>
      <c r="E44" s="101"/>
      <c r="F44" s="328">
        <f>F45+F46+F47+F48</f>
        <v>23300</v>
      </c>
      <c r="G44" s="324"/>
      <c r="H44" s="324">
        <f>SUM(H45:H48)</f>
        <v>23300</v>
      </c>
      <c r="I44" s="74"/>
      <c r="J44" s="74"/>
      <c r="K44" s="213"/>
      <c r="L44" s="74"/>
      <c r="M44" s="74"/>
      <c r="N44" s="74"/>
      <c r="O44" s="74"/>
      <c r="P44" s="74"/>
      <c r="Q44" s="74"/>
      <c r="R44" s="74"/>
      <c r="S44" s="74"/>
      <c r="T44" s="74"/>
      <c r="U44" s="74"/>
      <c r="V44" s="74"/>
      <c r="W44" s="74"/>
      <c r="X44" s="74"/>
      <c r="Y44" s="74"/>
    </row>
    <row r="45" spans="2:25" ht="14.4" x14ac:dyDescent="0.3">
      <c r="B45" s="86" t="s">
        <v>249</v>
      </c>
      <c r="C45" s="101">
        <f>'Plan&amp;Mgmt'!C15</f>
        <v>1106.259</v>
      </c>
      <c r="D45" s="101">
        <f>'Plan&amp;Mgmt'!D15</f>
        <v>1150.6110000000001</v>
      </c>
      <c r="E45" s="101">
        <f>'Plan&amp;Mgmt'!E15</f>
        <v>1994.3</v>
      </c>
      <c r="F45" s="200">
        <f>ROUND(SUM(C45:E45),-2)</f>
        <v>4300</v>
      </c>
      <c r="G45" s="325"/>
      <c r="H45" s="325">
        <f>F45</f>
        <v>4300</v>
      </c>
      <c r="I45" s="74">
        <f t="shared" ref="I45:K48" si="27">C45*$C$68^3</f>
        <v>1173.9709008719999</v>
      </c>
      <c r="J45" s="74">
        <f t="shared" si="27"/>
        <v>1221.0375980880001</v>
      </c>
      <c r="K45" s="213">
        <f t="shared" si="27"/>
        <v>2116.3671144</v>
      </c>
      <c r="L45" s="74">
        <f t="shared" ref="L45:Y48" si="28">I45*$C$68^3</f>
        <v>1245.8273117725732</v>
      </c>
      <c r="M45" s="74">
        <f t="shared" si="28"/>
        <v>1295.7748673917704</v>
      </c>
      <c r="N45" s="74">
        <f t="shared" si="28"/>
        <v>2245.9057127381952</v>
      </c>
      <c r="O45" s="74">
        <f t="shared" si="28"/>
        <v>1322.0819098715488</v>
      </c>
      <c r="P45" s="74">
        <f t="shared" si="28"/>
        <v>1375.0866554750858</v>
      </c>
      <c r="Q45" s="74">
        <f t="shared" si="28"/>
        <v>2383.3731096034744</v>
      </c>
      <c r="R45" s="74">
        <f t="shared" si="28"/>
        <v>1403.0038994109664</v>
      </c>
      <c r="S45" s="74">
        <f t="shared" si="28"/>
        <v>1459.2529594834048</v>
      </c>
      <c r="T45" s="74">
        <f t="shared" si="28"/>
        <v>2529.2546108960837</v>
      </c>
      <c r="U45" s="74">
        <f t="shared" si="28"/>
        <v>1488.8789620861128</v>
      </c>
      <c r="V45" s="74">
        <f t="shared" si="28"/>
        <v>1548.5709146274648</v>
      </c>
      <c r="W45" s="74">
        <f t="shared" si="28"/>
        <v>2684.065227119811</v>
      </c>
      <c r="X45" s="74">
        <f t="shared" si="28"/>
        <v>1580.0102655974795</v>
      </c>
      <c r="Y45" s="74">
        <f t="shared" si="28"/>
        <v>1643.3558431699826</v>
      </c>
    </row>
    <row r="46" spans="2:25" ht="14.4" x14ac:dyDescent="0.3">
      <c r="B46" s="78" t="s">
        <v>250</v>
      </c>
      <c r="C46" s="101">
        <f>'Plan&amp;Mgmt'!C38</f>
        <v>3360.5</v>
      </c>
      <c r="D46" s="101">
        <f>'Plan&amp;Mgmt'!D38</f>
        <v>3360.5</v>
      </c>
      <c r="E46" s="101">
        <f>'Plan&amp;Mgmt'!E38</f>
        <v>3360.5</v>
      </c>
      <c r="F46" s="200">
        <f>ROUND(SUM(C46:E46),-2)</f>
        <v>10100</v>
      </c>
      <c r="G46" s="325"/>
      <c r="H46" s="325">
        <f t="shared" ref="H46:H48" si="29">F46</f>
        <v>10100</v>
      </c>
      <c r="I46" s="74">
        <f t="shared" si="27"/>
        <v>3566.1894839999995</v>
      </c>
      <c r="J46" s="74">
        <f t="shared" si="27"/>
        <v>3566.1894839999995</v>
      </c>
      <c r="K46" s="213">
        <f t="shared" si="27"/>
        <v>3566.1894839999995</v>
      </c>
      <c r="L46" s="74">
        <f t="shared" si="28"/>
        <v>3784.4688099366713</v>
      </c>
      <c r="M46" s="74">
        <f t="shared" si="28"/>
        <v>3784.4688099366713</v>
      </c>
      <c r="N46" s="74">
        <f t="shared" si="28"/>
        <v>3784.4688099366713</v>
      </c>
      <c r="O46" s="74">
        <f t="shared" si="28"/>
        <v>4016.1085768552748</v>
      </c>
      <c r="P46" s="74">
        <f t="shared" si="28"/>
        <v>4016.1085768552748</v>
      </c>
      <c r="Q46" s="74">
        <f t="shared" si="28"/>
        <v>4016.1085768552748</v>
      </c>
      <c r="R46" s="74">
        <f t="shared" si="28"/>
        <v>4261.9265506274323</v>
      </c>
      <c r="S46" s="74">
        <f t="shared" si="28"/>
        <v>4261.9265506274323</v>
      </c>
      <c r="T46" s="74">
        <f t="shared" si="28"/>
        <v>4261.9265506274323</v>
      </c>
      <c r="U46" s="74">
        <f t="shared" si="28"/>
        <v>4522.7905509382363</v>
      </c>
      <c r="V46" s="74">
        <f t="shared" si="28"/>
        <v>4522.7905509382363</v>
      </c>
      <c r="W46" s="74">
        <f t="shared" si="28"/>
        <v>4522.7905509382363</v>
      </c>
      <c r="X46" s="74">
        <f t="shared" si="28"/>
        <v>4799.6215149800637</v>
      </c>
      <c r="Y46" s="74">
        <f t="shared" si="28"/>
        <v>4799.6215149800637</v>
      </c>
    </row>
    <row r="47" spans="2:25" ht="14.4" x14ac:dyDescent="0.3">
      <c r="B47" s="113" t="s">
        <v>251</v>
      </c>
      <c r="C47" s="101">
        <f>'Plan&amp;Mgmt'!F63</f>
        <v>2898.5519999999997</v>
      </c>
      <c r="D47" s="101">
        <f>'Plan&amp;Mgmt'!G63</f>
        <v>2264.808</v>
      </c>
      <c r="E47" s="101">
        <f>'Plan&amp;Mgmt'!H63</f>
        <v>2964.24</v>
      </c>
      <c r="F47" s="200">
        <f>ROUND(SUM(C47:E47),-2)</f>
        <v>8100</v>
      </c>
      <c r="G47" s="325"/>
      <c r="H47" s="325">
        <f t="shared" si="29"/>
        <v>8100</v>
      </c>
      <c r="I47" s="74">
        <f t="shared" si="27"/>
        <v>3075.9665708159996</v>
      </c>
      <c r="J47" s="74">
        <f t="shared" si="27"/>
        <v>2403.432368064</v>
      </c>
      <c r="K47" s="213">
        <f t="shared" si="27"/>
        <v>3145.6752019199994</v>
      </c>
      <c r="L47" s="74">
        <f t="shared" si="28"/>
        <v>3264.2403326825051</v>
      </c>
      <c r="M47" s="74">
        <f t="shared" si="28"/>
        <v>2550.5416564484613</v>
      </c>
      <c r="N47" s="74">
        <f t="shared" si="28"/>
        <v>3338.2156896791184</v>
      </c>
      <c r="O47" s="74">
        <f t="shared" si="28"/>
        <v>3464.0379549653358</v>
      </c>
      <c r="P47" s="74">
        <f t="shared" si="28"/>
        <v>2706.6552101563584</v>
      </c>
      <c r="Q47" s="74">
        <f t="shared" si="28"/>
        <v>3542.5411956129979</v>
      </c>
      <c r="R47" s="74">
        <f t="shared" si="28"/>
        <v>3676.0647901128536</v>
      </c>
      <c r="S47" s="74">
        <f t="shared" si="28"/>
        <v>2872.3241622596088</v>
      </c>
      <c r="T47" s="74">
        <f t="shared" si="28"/>
        <v>3759.3730571140782</v>
      </c>
      <c r="U47" s="74">
        <f t="shared" si="28"/>
        <v>3901.0693637860809</v>
      </c>
      <c r="V47" s="74">
        <f t="shared" si="28"/>
        <v>3048.1333795831947</v>
      </c>
      <c r="W47" s="74">
        <f t="shared" si="28"/>
        <v>3989.4767631939162</v>
      </c>
      <c r="X47" s="74">
        <f t="shared" si="28"/>
        <v>4139.8460174046986</v>
      </c>
      <c r="Y47" s="74">
        <f t="shared" si="28"/>
        <v>3234.7035274807226</v>
      </c>
    </row>
    <row r="48" spans="2:25" ht="14.4" x14ac:dyDescent="0.3">
      <c r="B48" s="86" t="s">
        <v>252</v>
      </c>
      <c r="C48" s="101">
        <f>'Plan&amp;Mgmt'!D73</f>
        <v>72</v>
      </c>
      <c r="D48" s="101">
        <f>'Plan&amp;Mgmt'!E73</f>
        <v>672</v>
      </c>
      <c r="E48" s="101">
        <f>'Plan&amp;Mgmt'!F73</f>
        <v>72</v>
      </c>
      <c r="F48" s="200">
        <f>ROUND(SUM(C48:E48),-2)</f>
        <v>800</v>
      </c>
      <c r="G48" s="325"/>
      <c r="H48" s="325">
        <f t="shared" si="29"/>
        <v>800</v>
      </c>
      <c r="I48" s="74">
        <f t="shared" si="27"/>
        <v>76.406976</v>
      </c>
      <c r="J48" s="74">
        <f t="shared" si="27"/>
        <v>713.13177599999995</v>
      </c>
      <c r="K48" s="213">
        <f t="shared" si="27"/>
        <v>76.406976</v>
      </c>
      <c r="L48" s="74">
        <f t="shared" si="28"/>
        <v>81.083694187007993</v>
      </c>
      <c r="M48" s="74">
        <f t="shared" si="28"/>
        <v>756.78114574540791</v>
      </c>
      <c r="N48" s="74">
        <f t="shared" si="28"/>
        <v>81.083694187007993</v>
      </c>
      <c r="O48" s="74">
        <f t="shared" si="28"/>
        <v>86.046664940806366</v>
      </c>
      <c r="P48" s="74">
        <f t="shared" si="28"/>
        <v>803.10220611419277</v>
      </c>
      <c r="Q48" s="74">
        <f t="shared" si="28"/>
        <v>86.046664940806366</v>
      </c>
      <c r="R48" s="74">
        <f t="shared" si="28"/>
        <v>91.313409208503231</v>
      </c>
      <c r="S48" s="74">
        <f t="shared" si="28"/>
        <v>852.25848594603019</v>
      </c>
      <c r="T48" s="74">
        <f t="shared" si="28"/>
        <v>91.313409208503231</v>
      </c>
      <c r="U48" s="74">
        <f t="shared" si="28"/>
        <v>96.902520359337288</v>
      </c>
      <c r="V48" s="74">
        <f t="shared" si="28"/>
        <v>904.42352335381474</v>
      </c>
      <c r="W48" s="74">
        <f t="shared" si="28"/>
        <v>96.902520359337288</v>
      </c>
      <c r="X48" s="74">
        <f t="shared" si="28"/>
        <v>102.8337298254916</v>
      </c>
      <c r="Y48" s="74">
        <f t="shared" si="28"/>
        <v>959.78147837125493</v>
      </c>
    </row>
    <row r="49" spans="2:26" ht="14.4" x14ac:dyDescent="0.3">
      <c r="B49" s="86"/>
      <c r="C49" s="101"/>
      <c r="D49" s="101"/>
      <c r="E49" s="101"/>
      <c r="F49" s="200"/>
      <c r="G49" s="325"/>
      <c r="H49" s="325"/>
      <c r="I49" s="74"/>
      <c r="J49" s="74"/>
      <c r="K49" s="213"/>
      <c r="L49" s="74"/>
      <c r="M49" s="74"/>
      <c r="N49" s="213"/>
      <c r="O49" s="74"/>
      <c r="P49" s="74"/>
      <c r="Q49" s="74"/>
      <c r="R49" s="74"/>
      <c r="S49" s="74"/>
      <c r="T49" s="74"/>
      <c r="U49" s="74"/>
      <c r="V49" s="74"/>
      <c r="W49" s="74"/>
      <c r="X49" s="74"/>
      <c r="Y49" s="74"/>
    </row>
    <row r="50" spans="2:26" ht="14.4" x14ac:dyDescent="0.3">
      <c r="B50" s="80" t="s">
        <v>348</v>
      </c>
      <c r="C50" s="101">
        <f>(SUM(C35:C41))*0.1</f>
        <v>23003.545148046465</v>
      </c>
      <c r="D50" s="101">
        <f>(SUM(D35:D41))*0.1</f>
        <v>11924.313920000001</v>
      </c>
      <c r="E50" s="101">
        <f>(SUM(E35:E41))*0.1</f>
        <v>530.02319999999997</v>
      </c>
      <c r="F50" s="328">
        <f>ROUND(SUM(C50:E50),-2)</f>
        <v>35500</v>
      </c>
      <c r="G50" s="324"/>
      <c r="H50" s="324">
        <f>F50</f>
        <v>35500</v>
      </c>
      <c r="I50" s="74">
        <f>C50*$C$68^3</f>
        <v>24411.546139468093</v>
      </c>
      <c r="J50" s="74">
        <f>D50*$C$68^3</f>
        <v>12654.17732641536</v>
      </c>
      <c r="K50" s="74">
        <f>E50*$C$68^3</f>
        <v>562.46486002559993</v>
      </c>
      <c r="L50" s="74">
        <f>I50*$C$68^3</f>
        <v>25905.728055572654</v>
      </c>
      <c r="M50" s="74">
        <f>J50*$C$68^3</f>
        <v>13428.714212210591</v>
      </c>
      <c r="N50" s="74">
        <f>K50*$C$68^3</f>
        <v>596.89220917804687</v>
      </c>
      <c r="O50" s="74">
        <f t="shared" ref="O50:Y50" si="30">L50*$C$68^3</f>
        <v>27491.365858398141</v>
      </c>
      <c r="P50" s="74">
        <f t="shared" si="30"/>
        <v>14250.658951711575</v>
      </c>
      <c r="Q50" s="74">
        <f t="shared" si="30"/>
        <v>633.42678751741676</v>
      </c>
      <c r="R50" s="74">
        <f t="shared" si="30"/>
        <v>29174.057379858972</v>
      </c>
      <c r="S50" s="74">
        <f t="shared" si="30"/>
        <v>15122.913284827937</v>
      </c>
      <c r="T50" s="74">
        <f t="shared" si="30"/>
        <v>672.19757432778272</v>
      </c>
      <c r="U50" s="74">
        <f t="shared" si="30"/>
        <v>30959.743083965379</v>
      </c>
      <c r="V50" s="74">
        <f t="shared" si="30"/>
        <v>16048.556561165684</v>
      </c>
      <c r="W50" s="74">
        <f t="shared" si="30"/>
        <v>713.34144345723757</v>
      </c>
      <c r="X50" s="74">
        <f t="shared" si="30"/>
        <v>32854.727038648729</v>
      </c>
      <c r="Y50" s="74">
        <f t="shared" si="30"/>
        <v>17030.856611161511</v>
      </c>
    </row>
    <row r="51" spans="2:26" ht="14.4" x14ac:dyDescent="0.3">
      <c r="B51" s="93"/>
      <c r="C51" s="101"/>
      <c r="D51" s="101"/>
      <c r="E51" s="101"/>
      <c r="F51" s="200"/>
      <c r="G51" s="325"/>
      <c r="H51" s="325"/>
      <c r="I51" s="201"/>
      <c r="J51" s="201"/>
      <c r="K51" s="214"/>
      <c r="L51" s="201"/>
      <c r="M51" s="201"/>
      <c r="N51" s="214"/>
      <c r="O51" s="201"/>
      <c r="P51" s="201"/>
      <c r="Q51" s="201"/>
      <c r="R51" s="201"/>
      <c r="S51" s="201"/>
      <c r="T51" s="201"/>
      <c r="U51" s="201"/>
      <c r="V51" s="201"/>
      <c r="W51" s="201"/>
      <c r="X51" s="201"/>
      <c r="Y51" s="201"/>
    </row>
    <row r="52" spans="2:26" ht="14.4" x14ac:dyDescent="0.3">
      <c r="B52" s="184" t="s">
        <v>230</v>
      </c>
      <c r="C52" s="210">
        <f>SUM(C35:C51)</f>
        <v>286160.71762851108</v>
      </c>
      <c r="D52" s="210">
        <f>SUM(D35:D51)</f>
        <v>138615.37212000001</v>
      </c>
      <c r="E52" s="210">
        <f>SUM(E35:E51)</f>
        <v>14221.295199999999</v>
      </c>
      <c r="F52" s="200"/>
      <c r="G52" s="325"/>
      <c r="H52" s="325"/>
      <c r="I52" s="203"/>
      <c r="J52" s="204"/>
      <c r="K52" s="204"/>
      <c r="L52" s="203"/>
      <c r="M52" s="204"/>
      <c r="N52" s="204"/>
      <c r="O52" s="203"/>
      <c r="P52" s="204"/>
      <c r="Q52" s="204"/>
      <c r="R52" s="203"/>
      <c r="S52" s="204"/>
      <c r="T52" s="204"/>
      <c r="U52" s="203"/>
      <c r="V52" s="204"/>
      <c r="W52" s="204"/>
      <c r="X52" s="203"/>
      <c r="Y52" s="204"/>
    </row>
    <row r="53" spans="2:26" x14ac:dyDescent="0.25">
      <c r="B53" s="114" t="s">
        <v>344</v>
      </c>
      <c r="C53" s="351">
        <f>F50+F44+F38+F34</f>
        <v>439000</v>
      </c>
      <c r="D53" s="353"/>
      <c r="E53" s="353"/>
      <c r="F53" s="353"/>
      <c r="G53" s="330"/>
      <c r="H53" s="329">
        <f>SUM(H34+H38+H44+H50)</f>
        <v>240400</v>
      </c>
      <c r="I53" s="333">
        <f>SUM(I35:I52)</f>
        <v>203158.26668808408</v>
      </c>
      <c r="J53" s="333">
        <f t="shared" ref="J53:Y53" si="31">SUM(J35:J52)</f>
        <v>143019.71074548096</v>
      </c>
      <c r="K53" s="333">
        <f t="shared" si="31"/>
        <v>15091.7522366016</v>
      </c>
      <c r="L53" s="333">
        <f t="shared" si="31"/>
        <v>215593.17787552832</v>
      </c>
      <c r="M53" s="333">
        <f t="shared" si="31"/>
        <v>147612.02950812556</v>
      </c>
      <c r="N53" s="333">
        <f t="shared" si="31"/>
        <v>16015.488207499508</v>
      </c>
      <c r="O53" s="333">
        <f t="shared" si="31"/>
        <v>228789.20510693366</v>
      </c>
      <c r="P53" s="333">
        <f t="shared" si="31"/>
        <v>152402.20228374083</v>
      </c>
      <c r="Q53" s="333">
        <f t="shared" si="31"/>
        <v>16995.764209704135</v>
      </c>
      <c r="R53" s="333">
        <f t="shared" si="31"/>
        <v>242792.93477311882</v>
      </c>
      <c r="S53" s="333">
        <f t="shared" si="31"/>
        <v>157400.67466807555</v>
      </c>
      <c r="T53" s="333">
        <f t="shared" si="31"/>
        <v>18036.040945451707</v>
      </c>
      <c r="U53" s="333">
        <f t="shared" si="31"/>
        <v>257653.80472471187</v>
      </c>
      <c r="V53" s="333">
        <f t="shared" si="31"/>
        <v>162618.49831784971</v>
      </c>
      <c r="W53" s="333">
        <f t="shared" si="31"/>
        <v>19139.990939640913</v>
      </c>
      <c r="X53" s="333">
        <f t="shared" si="31"/>
        <v>273424.27880430198</v>
      </c>
      <c r="Y53" s="333">
        <f t="shared" si="31"/>
        <v>168067.36738067307</v>
      </c>
    </row>
    <row r="54" spans="2:26" ht="14.4" x14ac:dyDescent="0.3">
      <c r="B54" s="80"/>
      <c r="C54" s="101"/>
      <c r="D54" s="101"/>
      <c r="E54" s="101"/>
      <c r="F54" s="200"/>
      <c r="G54" s="325"/>
      <c r="H54" s="325"/>
      <c r="I54" s="205"/>
      <c r="J54" s="206"/>
      <c r="K54" s="206"/>
      <c r="L54" s="205"/>
      <c r="M54" s="206"/>
      <c r="N54" s="206"/>
      <c r="O54" s="205"/>
      <c r="P54" s="206"/>
      <c r="Q54" s="206"/>
      <c r="R54" s="205"/>
      <c r="S54" s="206"/>
      <c r="T54" s="206"/>
      <c r="U54" s="205"/>
      <c r="V54" s="206"/>
      <c r="W54" s="206"/>
      <c r="X54" s="205"/>
      <c r="Y54" s="206"/>
    </row>
    <row r="55" spans="2:26" ht="14.4" x14ac:dyDescent="0.3">
      <c r="B55" s="80" t="s">
        <v>89</v>
      </c>
      <c r="C55" s="101"/>
      <c r="D55" s="101"/>
      <c r="E55" s="101"/>
      <c r="F55" s="328">
        <f>SUM(F56:F57)</f>
        <v>1882000</v>
      </c>
      <c r="G55" s="324"/>
      <c r="H55" s="324">
        <f>F55</f>
        <v>1882000</v>
      </c>
      <c r="I55" s="202"/>
      <c r="J55" s="202"/>
      <c r="K55" s="215"/>
      <c r="L55" s="202"/>
      <c r="M55" s="202"/>
      <c r="N55" s="215"/>
      <c r="O55" s="202"/>
      <c r="P55" s="202"/>
      <c r="Q55" s="202"/>
      <c r="R55" s="202"/>
      <c r="S55" s="202"/>
      <c r="T55" s="202"/>
      <c r="U55" s="202"/>
      <c r="V55" s="202"/>
      <c r="W55" s="202"/>
      <c r="X55" s="202"/>
      <c r="Y55" s="202"/>
    </row>
    <row r="56" spans="2:26" ht="14.4" x14ac:dyDescent="0.3">
      <c r="B56" s="308" t="s">
        <v>349</v>
      </c>
      <c r="C56" s="35">
        <f>SVFCM!F15</f>
        <v>632134.18999999994</v>
      </c>
      <c r="D56" s="35">
        <f>SVFCM!G15</f>
        <v>555384.1</v>
      </c>
      <c r="E56" s="35">
        <f>SVFCM!H15</f>
        <v>634757.80000000005</v>
      </c>
      <c r="F56" s="200">
        <f>ROUND(SUM(C56:E56),-2)</f>
        <v>1822300</v>
      </c>
      <c r="G56" s="325"/>
      <c r="H56" s="325">
        <f>F56</f>
        <v>1822300</v>
      </c>
      <c r="I56" s="74">
        <f>E56*1.026</f>
        <v>651261.50280000002</v>
      </c>
      <c r="J56" s="74">
        <f>I56*$C$68</f>
        <v>664286.73285600008</v>
      </c>
      <c r="K56" s="213">
        <f>J56*$C$68</f>
        <v>677572.46751312003</v>
      </c>
      <c r="L56" s="213">
        <v>618656.97622271418</v>
      </c>
      <c r="M56" s="213">
        <v>618656.97622271418</v>
      </c>
      <c r="N56" s="213">
        <v>618656.97622271418</v>
      </c>
      <c r="O56" s="213">
        <v>618656.97622271418</v>
      </c>
      <c r="P56" s="213">
        <v>618656.97622271418</v>
      </c>
      <c r="Q56" s="213">
        <v>618656.97622271418</v>
      </c>
      <c r="R56" s="213">
        <v>618656.97622271418</v>
      </c>
      <c r="S56" s="213">
        <v>618656.97622271418</v>
      </c>
      <c r="T56" s="213">
        <v>618656.97622271418</v>
      </c>
      <c r="U56" s="213">
        <v>618656.97622271418</v>
      </c>
      <c r="V56" s="213">
        <v>618656.97622271418</v>
      </c>
      <c r="W56" s="213">
        <v>618656.97622271418</v>
      </c>
      <c r="X56" s="213">
        <v>618656.97622271418</v>
      </c>
      <c r="Y56" s="213">
        <v>618656.97622271418</v>
      </c>
    </row>
    <row r="57" spans="2:26" ht="14.4" x14ac:dyDescent="0.3">
      <c r="B57" s="227" t="s">
        <v>147</v>
      </c>
      <c r="C57" s="35">
        <f>Regional!F20</f>
        <v>19472.580000000002</v>
      </c>
      <c r="D57" s="35">
        <f>Regional!G20</f>
        <v>19883.2</v>
      </c>
      <c r="E57" s="35">
        <f>Regional!H20</f>
        <v>20302.727599999998</v>
      </c>
      <c r="F57" s="200">
        <f>ROUND(SUM(C57:E57),-2)</f>
        <v>59700</v>
      </c>
      <c r="G57" s="325"/>
      <c r="H57" s="325">
        <f>F57</f>
        <v>59700</v>
      </c>
      <c r="I57" s="74">
        <f>E57*1.026</f>
        <v>20830.598517599999</v>
      </c>
      <c r="J57" s="74">
        <f t="shared" ref="J57:O57" si="32">I57*$C$68</f>
        <v>21247.210487952001</v>
      </c>
      <c r="K57" s="213">
        <f t="shared" si="32"/>
        <v>21672.154697711041</v>
      </c>
      <c r="L57" s="74">
        <f t="shared" si="32"/>
        <v>22105.597791665263</v>
      </c>
      <c r="M57" s="74">
        <f t="shared" si="32"/>
        <v>22547.709747498568</v>
      </c>
      <c r="N57" s="213">
        <f t="shared" si="32"/>
        <v>22998.66394244854</v>
      </c>
      <c r="O57" s="74">
        <f t="shared" si="32"/>
        <v>23458.637221297511</v>
      </c>
      <c r="P57" s="74">
        <f t="shared" ref="P57:Y57" si="33">O57*$C$68</f>
        <v>23927.809965723463</v>
      </c>
      <c r="Q57" s="74">
        <f t="shared" si="33"/>
        <v>24406.366165037933</v>
      </c>
      <c r="R57" s="74">
        <f t="shared" si="33"/>
        <v>24894.493488338692</v>
      </c>
      <c r="S57" s="74">
        <f t="shared" si="33"/>
        <v>25392.383358105468</v>
      </c>
      <c r="T57" s="74">
        <f t="shared" si="33"/>
        <v>25900.231025267578</v>
      </c>
      <c r="U57" s="74">
        <f t="shared" si="33"/>
        <v>26418.235645772929</v>
      </c>
      <c r="V57" s="74">
        <f t="shared" si="33"/>
        <v>26946.600358688389</v>
      </c>
      <c r="W57" s="74">
        <f t="shared" si="33"/>
        <v>27485.532365862156</v>
      </c>
      <c r="X57" s="74">
        <f t="shared" si="33"/>
        <v>28035.243013179399</v>
      </c>
      <c r="Y57" s="74">
        <f t="shared" si="33"/>
        <v>28595.947873442987</v>
      </c>
    </row>
    <row r="58" spans="2:26" ht="14.4" x14ac:dyDescent="0.3">
      <c r="B58" s="78"/>
      <c r="C58" s="35"/>
      <c r="D58" s="35"/>
      <c r="E58" s="35"/>
      <c r="F58" s="327"/>
      <c r="G58" s="326"/>
      <c r="H58" s="326"/>
      <c r="I58" s="74"/>
      <c r="J58" s="74"/>
      <c r="K58" s="213"/>
      <c r="L58" s="74"/>
      <c r="M58" s="74"/>
      <c r="N58" s="213"/>
      <c r="O58" s="74"/>
      <c r="P58" s="74"/>
      <c r="Q58" s="74"/>
      <c r="R58" s="74"/>
      <c r="S58" s="74"/>
      <c r="T58" s="74"/>
      <c r="U58" s="74"/>
      <c r="V58" s="74"/>
      <c r="W58" s="74"/>
      <c r="X58" s="74"/>
      <c r="Y58" s="74"/>
    </row>
    <row r="59" spans="2:26" ht="14.4" x14ac:dyDescent="0.3">
      <c r="B59" s="184" t="s">
        <v>231</v>
      </c>
      <c r="C59" s="210">
        <f>SUM(C56:C58)</f>
        <v>651606.7699999999</v>
      </c>
      <c r="D59" s="210">
        <f>SUM(D56:D58)</f>
        <v>575267.29999999993</v>
      </c>
      <c r="E59" s="210">
        <f>SUM(E56:E58)</f>
        <v>655060.52760000003</v>
      </c>
      <c r="F59" s="327"/>
      <c r="G59" s="326"/>
      <c r="H59" s="326"/>
      <c r="I59" s="203"/>
      <c r="J59" s="204"/>
      <c r="K59" s="204"/>
      <c r="L59" s="203"/>
      <c r="M59" s="204"/>
      <c r="N59" s="204"/>
      <c r="O59" s="203"/>
      <c r="P59" s="204"/>
      <c r="Q59" s="204"/>
      <c r="R59" s="203"/>
      <c r="S59" s="204"/>
      <c r="T59" s="204"/>
      <c r="U59" s="203"/>
      <c r="V59" s="204"/>
      <c r="W59" s="204"/>
      <c r="X59" s="203"/>
      <c r="Y59" s="204"/>
    </row>
    <row r="60" spans="2:26" x14ac:dyDescent="0.25">
      <c r="B60" s="114" t="s">
        <v>345</v>
      </c>
      <c r="C60" s="351">
        <f>F55</f>
        <v>1882000</v>
      </c>
      <c r="D60" s="352"/>
      <c r="E60" s="352"/>
      <c r="F60" s="352"/>
      <c r="G60" s="329"/>
      <c r="H60" s="329">
        <f>C60</f>
        <v>1882000</v>
      </c>
      <c r="I60" s="333">
        <f>SUM(I56:I59)</f>
        <v>672092.1013176</v>
      </c>
      <c r="J60" s="333">
        <f t="shared" ref="J60:Y60" si="34">SUM(J56:J59)</f>
        <v>685533.94334395207</v>
      </c>
      <c r="K60" s="333">
        <f t="shared" si="34"/>
        <v>699244.62221083103</v>
      </c>
      <c r="L60" s="333">
        <f t="shared" si="34"/>
        <v>640762.57401437941</v>
      </c>
      <c r="M60" s="333">
        <f t="shared" si="34"/>
        <v>641204.6859702128</v>
      </c>
      <c r="N60" s="333">
        <f t="shared" si="34"/>
        <v>641655.64016516274</v>
      </c>
      <c r="O60" s="333">
        <f t="shared" si="34"/>
        <v>642115.61344401166</v>
      </c>
      <c r="P60" s="333">
        <f t="shared" si="34"/>
        <v>642584.7861884376</v>
      </c>
      <c r="Q60" s="333">
        <f t="shared" si="34"/>
        <v>643063.34238775214</v>
      </c>
      <c r="R60" s="333">
        <f t="shared" si="34"/>
        <v>643551.46971105284</v>
      </c>
      <c r="S60" s="333">
        <f t="shared" si="34"/>
        <v>644049.35958081961</v>
      </c>
      <c r="T60" s="333">
        <f t="shared" si="34"/>
        <v>644557.2072479818</v>
      </c>
      <c r="U60" s="333">
        <f t="shared" si="34"/>
        <v>645075.21186848707</v>
      </c>
      <c r="V60" s="333">
        <f t="shared" si="34"/>
        <v>645603.57658140257</v>
      </c>
      <c r="W60" s="333">
        <f t="shared" si="34"/>
        <v>646142.50858857634</v>
      </c>
      <c r="X60" s="333">
        <f t="shared" si="34"/>
        <v>646692.21923589357</v>
      </c>
      <c r="Y60" s="333">
        <f t="shared" si="34"/>
        <v>647252.92409615719</v>
      </c>
    </row>
    <row r="61" spans="2:26" ht="14.4" x14ac:dyDescent="0.3">
      <c r="B61" s="86"/>
      <c r="C61" s="35"/>
      <c r="D61" s="35"/>
      <c r="E61" s="35"/>
      <c r="F61" s="327"/>
      <c r="G61" s="326"/>
      <c r="H61" s="326"/>
      <c r="I61" s="205"/>
      <c r="J61" s="206"/>
      <c r="K61" s="206"/>
      <c r="L61" s="205"/>
      <c r="M61" s="206"/>
      <c r="N61" s="206"/>
      <c r="O61" s="205"/>
      <c r="P61" s="206"/>
      <c r="Q61" s="206"/>
      <c r="R61" s="205"/>
      <c r="S61" s="206"/>
      <c r="T61" s="206"/>
      <c r="U61" s="205"/>
      <c r="V61" s="206"/>
      <c r="W61" s="206"/>
      <c r="X61" s="205"/>
      <c r="Y61" s="206"/>
    </row>
    <row r="62" spans="2:26" ht="14.4" x14ac:dyDescent="0.3">
      <c r="B62" s="338"/>
      <c r="C62" s="339"/>
      <c r="D62" s="339"/>
      <c r="E62" s="339"/>
      <c r="F62" s="337"/>
      <c r="G62" s="337"/>
      <c r="H62" s="337"/>
      <c r="I62" s="98"/>
      <c r="J62" s="98"/>
      <c r="K62" s="98"/>
      <c r="L62" s="98"/>
      <c r="M62" s="98"/>
      <c r="N62" s="98"/>
      <c r="O62" s="98"/>
      <c r="P62" s="98"/>
      <c r="Q62" s="98"/>
      <c r="R62" s="98"/>
      <c r="S62" s="98"/>
      <c r="T62" s="98"/>
      <c r="U62" s="98"/>
      <c r="V62" s="98"/>
      <c r="W62" s="98"/>
      <c r="X62" s="98"/>
      <c r="Y62" s="98"/>
      <c r="Z62" s="261"/>
    </row>
    <row r="63" spans="2:26" ht="14.4" x14ac:dyDescent="0.3">
      <c r="B63" s="338"/>
      <c r="C63" s="341" t="s">
        <v>378</v>
      </c>
      <c r="D63" s="340">
        <v>0.88</v>
      </c>
      <c r="E63" s="339"/>
      <c r="F63" s="337"/>
      <c r="G63" s="337"/>
      <c r="H63" s="337"/>
      <c r="I63" s="98"/>
      <c r="J63" s="98"/>
      <c r="K63" s="98"/>
      <c r="L63" s="98"/>
      <c r="M63" s="98"/>
      <c r="N63" s="98"/>
      <c r="O63" s="98"/>
      <c r="P63" s="98"/>
      <c r="Q63" s="98"/>
      <c r="R63" s="98"/>
      <c r="S63" s="98"/>
      <c r="T63" s="98"/>
      <c r="U63" s="98"/>
      <c r="V63" s="98"/>
      <c r="W63" s="98"/>
      <c r="X63" s="98"/>
      <c r="Y63" s="98"/>
      <c r="Z63" s="261"/>
    </row>
    <row r="64" spans="2:26" ht="14.4" x14ac:dyDescent="0.3">
      <c r="B64" s="338"/>
      <c r="C64" s="341" t="s">
        <v>379</v>
      </c>
      <c r="D64" s="340">
        <v>0.12</v>
      </c>
      <c r="E64" s="339"/>
      <c r="F64" s="337"/>
      <c r="G64" s="337"/>
      <c r="H64" s="337"/>
      <c r="I64" s="98"/>
      <c r="J64" s="98"/>
      <c r="K64" s="98"/>
      <c r="L64" s="98"/>
      <c r="M64" s="98"/>
      <c r="N64" s="98"/>
      <c r="O64" s="98"/>
      <c r="P64" s="98"/>
      <c r="Q64" s="98"/>
      <c r="R64" s="98"/>
      <c r="S64" s="98"/>
      <c r="T64" s="98"/>
      <c r="U64" s="98"/>
      <c r="V64" s="98"/>
      <c r="W64" s="98"/>
      <c r="X64" s="98"/>
      <c r="Y64" s="98"/>
      <c r="Z64" s="261"/>
    </row>
    <row r="65" spans="1:26" ht="12" customHeight="1" x14ac:dyDescent="0.25">
      <c r="B65" s="261"/>
      <c r="C65" s="261"/>
      <c r="D65" s="261"/>
      <c r="E65" s="261"/>
      <c r="F65" s="261"/>
      <c r="G65" s="261"/>
      <c r="H65" s="261"/>
      <c r="I65" s="261"/>
      <c r="J65" s="261"/>
      <c r="K65" s="261"/>
      <c r="L65" s="261"/>
      <c r="M65" s="261"/>
      <c r="N65" s="261"/>
      <c r="O65" s="261"/>
      <c r="P65" s="261"/>
      <c r="Q65" s="261"/>
      <c r="R65" s="261"/>
      <c r="S65" s="261"/>
      <c r="T65" s="261"/>
      <c r="U65" s="261"/>
      <c r="V65" s="261"/>
      <c r="W65" s="261"/>
      <c r="X65" s="261"/>
      <c r="Y65" s="261"/>
      <c r="Z65" s="261"/>
    </row>
    <row r="66" spans="1:26" x14ac:dyDescent="0.25">
      <c r="A66" s="83" t="s">
        <v>146</v>
      </c>
      <c r="C66" s="31"/>
      <c r="D66" s="31"/>
      <c r="E66" s="31"/>
      <c r="F66" s="31"/>
      <c r="G66" s="31"/>
      <c r="H66" s="31"/>
      <c r="I66" s="31"/>
      <c r="J66" s="31"/>
      <c r="K66" s="31"/>
      <c r="L66" s="31"/>
      <c r="M66" s="31"/>
      <c r="N66" s="31"/>
    </row>
    <row r="67" spans="1:26" x14ac:dyDescent="0.25">
      <c r="A67" s="235" t="s">
        <v>244</v>
      </c>
      <c r="B67" s="217" t="s">
        <v>376</v>
      </c>
      <c r="C67" s="31"/>
      <c r="D67" s="31"/>
      <c r="E67" s="31"/>
      <c r="F67" s="31"/>
      <c r="G67" s="31"/>
      <c r="H67" s="31"/>
      <c r="I67" s="31"/>
      <c r="J67" s="31"/>
      <c r="K67" s="31"/>
      <c r="L67" s="31"/>
      <c r="M67" s="31"/>
      <c r="N67" s="31"/>
    </row>
    <row r="68" spans="1:26" x14ac:dyDescent="0.25">
      <c r="A68" s="32">
        <v>1</v>
      </c>
      <c r="B68" s="4" t="s">
        <v>245</v>
      </c>
      <c r="C68" s="32">
        <v>1.02</v>
      </c>
      <c r="D68" s="31"/>
      <c r="E68" s="31"/>
      <c r="F68" s="31"/>
      <c r="G68" s="31"/>
      <c r="H68" s="31"/>
      <c r="I68" s="31"/>
      <c r="J68" s="31"/>
      <c r="K68" s="31"/>
      <c r="L68" s="31"/>
      <c r="M68" s="31"/>
      <c r="N68" s="31"/>
    </row>
    <row r="69" spans="1:26" x14ac:dyDescent="0.25">
      <c r="A69" s="319">
        <v>2</v>
      </c>
      <c r="B69" s="217" t="s">
        <v>334</v>
      </c>
      <c r="C69" s="31"/>
      <c r="D69" s="31"/>
      <c r="E69" s="31"/>
      <c r="F69" s="31"/>
      <c r="G69" s="31"/>
      <c r="H69" s="31"/>
      <c r="I69" s="31"/>
      <c r="J69" s="31"/>
      <c r="K69" s="31"/>
      <c r="L69" s="31"/>
      <c r="M69" s="31"/>
      <c r="N69" s="31"/>
    </row>
    <row r="70" spans="1:26" x14ac:dyDescent="0.25">
      <c r="A70" s="319">
        <v>3</v>
      </c>
      <c r="B70" s="217" t="s">
        <v>336</v>
      </c>
      <c r="C70" s="31"/>
      <c r="D70" s="31"/>
      <c r="E70" s="31"/>
      <c r="F70" s="31"/>
      <c r="G70" s="31"/>
      <c r="H70" s="31"/>
      <c r="I70" s="31"/>
      <c r="J70" s="31"/>
      <c r="K70" s="31"/>
      <c r="L70" s="31"/>
      <c r="M70" s="31"/>
      <c r="N70" s="31"/>
    </row>
    <row r="71" spans="1:26" x14ac:dyDescent="0.25">
      <c r="A71" s="319">
        <v>4</v>
      </c>
      <c r="B71" s="217" t="s">
        <v>337</v>
      </c>
    </row>
    <row r="72" spans="1:26" x14ac:dyDescent="0.25">
      <c r="A72" s="32">
        <v>5</v>
      </c>
      <c r="B72" s="217" t="s">
        <v>338</v>
      </c>
    </row>
    <row r="73" spans="1:26" x14ac:dyDescent="0.25">
      <c r="A73" s="32">
        <v>6</v>
      </c>
      <c r="B73" s="83" t="s">
        <v>148</v>
      </c>
    </row>
    <row r="74" spans="1:26" x14ac:dyDescent="0.25">
      <c r="A74" s="32">
        <v>7</v>
      </c>
      <c r="B74" s="217" t="s">
        <v>346</v>
      </c>
    </row>
    <row r="75" spans="1:26" x14ac:dyDescent="0.25">
      <c r="A75" s="32">
        <v>8</v>
      </c>
      <c r="B75" s="217" t="s">
        <v>232</v>
      </c>
    </row>
    <row r="76" spans="1:26" x14ac:dyDescent="0.25">
      <c r="A76" s="32">
        <v>9</v>
      </c>
      <c r="B76" s="217" t="s">
        <v>339</v>
      </c>
    </row>
    <row r="77" spans="1:26" x14ac:dyDescent="0.25">
      <c r="A77" s="190">
        <v>10</v>
      </c>
      <c r="B77" s="216" t="s">
        <v>260</v>
      </c>
      <c r="C77" s="191"/>
    </row>
    <row r="78" spans="1:26" x14ac:dyDescent="0.25">
      <c r="A78" s="190">
        <v>11</v>
      </c>
      <c r="B78" s="193" t="s">
        <v>238</v>
      </c>
      <c r="C78" s="191"/>
    </row>
    <row r="79" spans="1:26" x14ac:dyDescent="0.25">
      <c r="A79" s="190">
        <v>12</v>
      </c>
      <c r="B79" s="216" t="s">
        <v>363</v>
      </c>
      <c r="C79" s="191"/>
    </row>
    <row r="80" spans="1:26" x14ac:dyDescent="0.25">
      <c r="A80" s="190">
        <v>13</v>
      </c>
      <c r="B80" s="216" t="s">
        <v>359</v>
      </c>
      <c r="C80" s="191"/>
    </row>
    <row r="81" spans="1:13" x14ac:dyDescent="0.25">
      <c r="A81" s="190"/>
      <c r="B81" s="193"/>
      <c r="C81" s="191"/>
    </row>
    <row r="82" spans="1:13" x14ac:dyDescent="0.25">
      <c r="A82" s="218" t="s">
        <v>233</v>
      </c>
      <c r="B82" s="216" t="s">
        <v>340</v>
      </c>
      <c r="C82" s="192"/>
    </row>
    <row r="83" spans="1:13" x14ac:dyDescent="0.25">
      <c r="A83" s="190"/>
      <c r="B83" s="216" t="s">
        <v>234</v>
      </c>
      <c r="C83" s="192"/>
    </row>
    <row r="84" spans="1:13" x14ac:dyDescent="0.25">
      <c r="B84" s="217" t="s">
        <v>368</v>
      </c>
    </row>
    <row r="88" spans="1:13" x14ac:dyDescent="0.25">
      <c r="B88" s="217"/>
    </row>
    <row r="89" spans="1:13" x14ac:dyDescent="0.25">
      <c r="B89" s="217"/>
      <c r="C89" s="335">
        <v>2015</v>
      </c>
      <c r="D89" s="335">
        <v>2016</v>
      </c>
      <c r="E89" s="335">
        <v>2017</v>
      </c>
      <c r="I89" s="342"/>
      <c r="J89" s="342"/>
      <c r="K89" s="342"/>
      <c r="L89" s="342"/>
      <c r="M89" s="342"/>
    </row>
    <row r="90" spans="1:13" x14ac:dyDescent="0.25">
      <c r="B90" s="217" t="s">
        <v>369</v>
      </c>
      <c r="C90" s="31">
        <f>ROUND(C7+C8+C9+C11+C16+C17+C18+C25+C28+C29,-2)</f>
        <v>763000</v>
      </c>
      <c r="D90" s="31">
        <f t="shared" ref="D90:E90" si="35">ROUND(D7+D8+D9+D11+D16+D17+D18+D25+D28+D29,-2)</f>
        <v>679600</v>
      </c>
      <c r="E90" s="31">
        <f t="shared" si="35"/>
        <v>777700</v>
      </c>
      <c r="F90" s="336"/>
      <c r="G90" s="31">
        <f t="shared" ref="G90:G93" si="36">ROUND(AVERAGE(C90:E90),-2)</f>
        <v>740100</v>
      </c>
      <c r="H90" s="31">
        <f>G90*3</f>
        <v>2220300</v>
      </c>
    </row>
    <row r="91" spans="1:13" x14ac:dyDescent="0.25">
      <c r="B91" s="217" t="s">
        <v>370</v>
      </c>
      <c r="C91" s="31">
        <f>ROUND(C10+C14+C15+C22+C23+C24+C26+C19,-2)</f>
        <v>1426900</v>
      </c>
      <c r="D91" s="31">
        <f t="shared" ref="D91:E91" si="37">ROUND(D10+D14+D15+D22+D23+D24+D26+D19,-2)</f>
        <v>206400</v>
      </c>
      <c r="E91" s="31">
        <f t="shared" si="37"/>
        <v>104500</v>
      </c>
      <c r="F91" s="336"/>
      <c r="G91" s="31">
        <f t="shared" si="36"/>
        <v>579300</v>
      </c>
      <c r="H91" s="31">
        <f t="shared" ref="H91:H94" si="38">G91*3</f>
        <v>1737900</v>
      </c>
    </row>
    <row r="92" spans="1:13" x14ac:dyDescent="0.25">
      <c r="B92" s="217" t="s">
        <v>371</v>
      </c>
      <c r="C92" s="31">
        <f>ROUND(C39+C40+C41+C42+C45+C46+C47+C48,-2)</f>
        <v>194100</v>
      </c>
      <c r="D92" s="31">
        <f t="shared" ref="D92:E92" si="39">ROUND(D39+D40+D41+D42+D45+D46+D47+D48,-2)</f>
        <v>27700</v>
      </c>
      <c r="E92" s="31">
        <f t="shared" si="39"/>
        <v>13700</v>
      </c>
      <c r="G92" s="31">
        <f t="shared" si="36"/>
        <v>78500</v>
      </c>
      <c r="H92" s="31">
        <f t="shared" si="38"/>
        <v>235500</v>
      </c>
    </row>
    <row r="93" spans="1:13" x14ac:dyDescent="0.25">
      <c r="B93" s="217" t="s">
        <v>372</v>
      </c>
      <c r="C93" s="31">
        <f>ROUND(C35+C36+C50,-2)</f>
        <v>92000</v>
      </c>
      <c r="D93" s="31">
        <f t="shared" ref="D93:E93" si="40">ROUND(D35+D36+D50,-2)</f>
        <v>110900</v>
      </c>
      <c r="E93" s="31">
        <f t="shared" si="40"/>
        <v>500</v>
      </c>
      <c r="G93" s="31">
        <f t="shared" si="36"/>
        <v>67800</v>
      </c>
      <c r="H93" s="31">
        <f t="shared" si="38"/>
        <v>203400</v>
      </c>
    </row>
    <row r="94" spans="1:13" x14ac:dyDescent="0.25">
      <c r="B94" s="217" t="s">
        <v>373</v>
      </c>
      <c r="C94" s="31">
        <f>ROUND(C56+C57,-2)</f>
        <v>651600</v>
      </c>
      <c r="D94" s="31">
        <f t="shared" ref="D94:E94" si="41">ROUND(D56+D57,-2)</f>
        <v>575300</v>
      </c>
      <c r="E94" s="31">
        <f t="shared" si="41"/>
        <v>655100</v>
      </c>
      <c r="G94" s="31">
        <f>ROUND(AVERAGE(C94:E94),-2)</f>
        <v>627300</v>
      </c>
      <c r="H94" s="31">
        <f t="shared" si="38"/>
        <v>1881900</v>
      </c>
    </row>
    <row r="95" spans="1:13" x14ac:dyDescent="0.25">
      <c r="B95" s="217"/>
    </row>
    <row r="96" spans="1:13" x14ac:dyDescent="0.25">
      <c r="B96" s="217"/>
    </row>
    <row r="97" spans="2:9" x14ac:dyDescent="0.25">
      <c r="B97" s="217"/>
      <c r="C97" s="335">
        <v>2015</v>
      </c>
      <c r="D97" s="335">
        <v>2016</v>
      </c>
      <c r="E97" s="335">
        <v>2017</v>
      </c>
    </row>
    <row r="98" spans="2:9" x14ac:dyDescent="0.25">
      <c r="B98" s="217" t="s">
        <v>374</v>
      </c>
      <c r="C98" s="31">
        <f>(G90+G91)</f>
        <v>1319400</v>
      </c>
      <c r="D98" s="31">
        <f>(G90+G91)</f>
        <v>1319400</v>
      </c>
      <c r="E98" s="31">
        <f>(G90+G91)</f>
        <v>1319400</v>
      </c>
      <c r="G98" s="336"/>
      <c r="H98" s="336"/>
      <c r="I98" s="336"/>
    </row>
    <row r="99" spans="2:9" x14ac:dyDescent="0.25">
      <c r="B99" s="217" t="s">
        <v>375</v>
      </c>
      <c r="C99" s="31">
        <f>ROUND((G92+G93+G94),-2)</f>
        <v>773600</v>
      </c>
      <c r="D99" s="31">
        <f>ROUND((G92+G93+G94),-2)</f>
        <v>773600</v>
      </c>
      <c r="E99" s="31">
        <f>ROUND((G92+G93+G94),-2)</f>
        <v>773600</v>
      </c>
      <c r="G99" s="336"/>
      <c r="H99" s="336"/>
      <c r="I99" s="336"/>
    </row>
    <row r="100" spans="2:9" x14ac:dyDescent="0.25">
      <c r="B100" s="217"/>
      <c r="C100" s="31">
        <f>C98+C99</f>
        <v>2093000</v>
      </c>
      <c r="D100" s="31">
        <f t="shared" ref="D100:E100" si="42">D98+D99</f>
        <v>2093000</v>
      </c>
      <c r="E100" s="31">
        <f t="shared" si="42"/>
        <v>2093000</v>
      </c>
    </row>
    <row r="101" spans="2:9" x14ac:dyDescent="0.25">
      <c r="B101" s="217"/>
    </row>
    <row r="102" spans="2:9" x14ac:dyDescent="0.25">
      <c r="B102" s="217" t="s">
        <v>364</v>
      </c>
      <c r="C102" s="31">
        <f>ROUND(C98*0.94,-2)</f>
        <v>1240200</v>
      </c>
      <c r="D102" s="31">
        <f t="shared" ref="D102:E103" si="43">ROUND(D98*0.94,-2)</f>
        <v>1240200</v>
      </c>
      <c r="E102" s="31">
        <f t="shared" si="43"/>
        <v>1240200</v>
      </c>
    </row>
    <row r="103" spans="2:9" x14ac:dyDescent="0.25">
      <c r="B103" s="217" t="s">
        <v>365</v>
      </c>
      <c r="C103" s="31">
        <f>ROUND(C99*0.94,-2)</f>
        <v>727200</v>
      </c>
      <c r="D103" s="31">
        <f t="shared" si="43"/>
        <v>727200</v>
      </c>
      <c r="E103" s="31">
        <f t="shared" si="43"/>
        <v>727200</v>
      </c>
    </row>
    <row r="104" spans="2:9" x14ac:dyDescent="0.25">
      <c r="B104" s="217"/>
      <c r="C104" s="31">
        <f>C102+C103</f>
        <v>1967400</v>
      </c>
      <c r="D104" s="31">
        <f t="shared" ref="D104:E104" si="44">D102+D103</f>
        <v>1967400</v>
      </c>
      <c r="E104" s="31">
        <f t="shared" si="44"/>
        <v>1967400</v>
      </c>
    </row>
    <row r="105" spans="2:9" x14ac:dyDescent="0.25">
      <c r="B105" s="217"/>
    </row>
    <row r="106" spans="2:9" x14ac:dyDescent="0.25">
      <c r="B106" s="217" t="s">
        <v>366</v>
      </c>
      <c r="C106" s="31">
        <f>ROUND(C99*0.96,-2)</f>
        <v>742700</v>
      </c>
      <c r="D106" s="31">
        <f t="shared" ref="D106:E106" si="45">ROUND(D99*0.96,-2)</f>
        <v>742700</v>
      </c>
      <c r="E106" s="31">
        <f t="shared" si="45"/>
        <v>742700</v>
      </c>
    </row>
    <row r="107" spans="2:9" x14ac:dyDescent="0.25">
      <c r="B107" s="217" t="s">
        <v>367</v>
      </c>
      <c r="C107" s="31">
        <f>ROUND(C99*0.04,-2)</f>
        <v>30900</v>
      </c>
      <c r="D107" s="31">
        <f t="shared" ref="D107:E107" si="46">ROUND(D99*0.04,-2)</f>
        <v>30900</v>
      </c>
      <c r="E107" s="31">
        <f t="shared" si="46"/>
        <v>30900</v>
      </c>
    </row>
    <row r="108" spans="2:9" x14ac:dyDescent="0.25">
      <c r="B108" s="217"/>
      <c r="C108" s="31">
        <f>C106+C107</f>
        <v>773600</v>
      </c>
      <c r="D108" s="31">
        <f t="shared" ref="D108:E108" si="47">D106+D107</f>
        <v>773600</v>
      </c>
      <c r="E108" s="31">
        <f t="shared" si="47"/>
        <v>773600</v>
      </c>
    </row>
    <row r="109" spans="2:9" x14ac:dyDescent="0.25">
      <c r="B109" s="217"/>
    </row>
    <row r="113" spans="2:23" x14ac:dyDescent="0.25">
      <c r="B113" s="349"/>
      <c r="C113" s="349"/>
      <c r="D113" s="349"/>
      <c r="E113" s="349"/>
      <c r="F113" s="349"/>
      <c r="G113" s="349"/>
      <c r="H113" s="349"/>
      <c r="I113" s="349"/>
      <c r="J113" s="349"/>
      <c r="K113" s="349"/>
      <c r="L113" s="349"/>
      <c r="M113" s="349"/>
      <c r="N113" s="349"/>
      <c r="O113" s="349"/>
      <c r="P113" s="349"/>
      <c r="Q113" s="349"/>
      <c r="R113" s="349"/>
      <c r="S113" s="349"/>
      <c r="T113" s="349"/>
      <c r="U113" s="349"/>
      <c r="V113" s="349"/>
      <c r="W113" s="349"/>
    </row>
    <row r="114" spans="2:23" x14ac:dyDescent="0.25">
      <c r="B114" s="349"/>
      <c r="C114" s="349"/>
      <c r="D114" s="349"/>
      <c r="E114" s="349"/>
      <c r="F114" s="349"/>
      <c r="G114" s="349"/>
      <c r="H114" s="349"/>
      <c r="I114" s="349"/>
      <c r="J114" s="349"/>
      <c r="K114" s="349"/>
      <c r="L114" s="349"/>
      <c r="M114" s="349"/>
      <c r="N114" s="349"/>
      <c r="O114" s="349"/>
      <c r="P114" s="349"/>
      <c r="Q114" s="349"/>
      <c r="R114" s="349"/>
      <c r="S114" s="349"/>
      <c r="T114" s="349"/>
      <c r="U114" s="349"/>
      <c r="V114" s="349"/>
      <c r="W114" s="349"/>
    </row>
    <row r="115" spans="2:23" s="334" customFormat="1" x14ac:dyDescent="0.25">
      <c r="B115" s="343"/>
      <c r="C115" s="344"/>
      <c r="D115" s="344"/>
      <c r="E115" s="344"/>
      <c r="F115" s="344"/>
      <c r="G115" s="344"/>
      <c r="H115" s="344"/>
      <c r="I115" s="344"/>
      <c r="J115" s="344"/>
      <c r="K115" s="344"/>
      <c r="L115" s="344"/>
      <c r="M115" s="344"/>
      <c r="N115" s="344"/>
      <c r="O115" s="344"/>
      <c r="P115" s="344"/>
      <c r="Q115" s="344"/>
      <c r="R115" s="344"/>
      <c r="S115" s="344"/>
      <c r="T115" s="344"/>
      <c r="U115" s="344"/>
      <c r="V115" s="344"/>
      <c r="W115" s="343"/>
    </row>
    <row r="116" spans="2:23" x14ac:dyDescent="0.25">
      <c r="B116" s="345"/>
      <c r="C116" s="347"/>
      <c r="D116" s="347"/>
      <c r="E116" s="347"/>
      <c r="F116" s="347"/>
      <c r="G116" s="347"/>
      <c r="H116" s="347"/>
      <c r="I116" s="347"/>
      <c r="J116" s="347"/>
      <c r="K116" s="347"/>
      <c r="L116" s="347"/>
      <c r="M116" s="347"/>
      <c r="N116" s="347"/>
      <c r="O116" s="347"/>
      <c r="P116" s="347"/>
      <c r="Q116" s="347"/>
      <c r="R116" s="347"/>
      <c r="S116" s="347"/>
      <c r="T116" s="347"/>
      <c r="U116" s="347"/>
      <c r="V116" s="347"/>
      <c r="W116" s="349"/>
    </row>
    <row r="117" spans="2:23" x14ac:dyDescent="0.25">
      <c r="B117" s="345"/>
      <c r="C117" s="348"/>
      <c r="D117" s="348"/>
      <c r="E117" s="348"/>
      <c r="F117" s="348"/>
      <c r="G117" s="348"/>
      <c r="H117" s="348"/>
      <c r="I117" s="348"/>
      <c r="J117" s="348"/>
      <c r="K117" s="348"/>
      <c r="L117" s="348"/>
      <c r="M117" s="348"/>
      <c r="N117" s="348"/>
      <c r="O117" s="348"/>
      <c r="P117" s="348"/>
      <c r="Q117" s="348"/>
      <c r="R117" s="348"/>
      <c r="S117" s="348"/>
      <c r="T117" s="348"/>
      <c r="U117" s="348"/>
      <c r="V117" s="348"/>
      <c r="W117" s="349"/>
    </row>
    <row r="118" spans="2:23" x14ac:dyDescent="0.25">
      <c r="B118" s="345"/>
      <c r="C118" s="346"/>
      <c r="D118" s="346"/>
      <c r="E118" s="346"/>
      <c r="F118" s="347"/>
      <c r="G118" s="347"/>
      <c r="H118" s="347"/>
      <c r="I118" s="347"/>
      <c r="J118" s="347"/>
      <c r="K118" s="347"/>
      <c r="L118" s="347"/>
      <c r="M118" s="347"/>
      <c r="N118" s="347"/>
      <c r="O118" s="347"/>
      <c r="P118" s="347"/>
      <c r="Q118" s="347"/>
      <c r="R118" s="347"/>
      <c r="S118" s="347"/>
      <c r="T118" s="347"/>
      <c r="U118" s="347"/>
      <c r="V118" s="347"/>
      <c r="W118" s="349"/>
    </row>
    <row r="119" spans="2:23" x14ac:dyDescent="0.25">
      <c r="B119" s="345"/>
      <c r="C119" s="347"/>
      <c r="D119" s="347"/>
      <c r="E119" s="347"/>
      <c r="F119" s="347"/>
      <c r="G119" s="347"/>
      <c r="H119" s="347"/>
      <c r="I119" s="347"/>
      <c r="J119" s="347"/>
      <c r="K119" s="347"/>
      <c r="L119" s="347"/>
      <c r="M119" s="347"/>
      <c r="N119" s="347"/>
      <c r="O119" s="347"/>
      <c r="P119" s="347"/>
      <c r="Q119" s="347"/>
      <c r="R119" s="347"/>
      <c r="S119" s="347"/>
      <c r="T119" s="347"/>
      <c r="U119" s="347"/>
      <c r="V119" s="347"/>
      <c r="W119" s="349"/>
    </row>
    <row r="120" spans="2:23" x14ac:dyDescent="0.25">
      <c r="B120" s="345"/>
      <c r="C120" s="348"/>
      <c r="D120" s="348"/>
      <c r="E120" s="348"/>
      <c r="F120" s="348"/>
      <c r="G120" s="348"/>
      <c r="H120" s="348"/>
      <c r="I120" s="348"/>
      <c r="J120" s="348"/>
      <c r="K120" s="348"/>
      <c r="L120" s="348"/>
      <c r="M120" s="348"/>
      <c r="N120" s="348"/>
      <c r="O120" s="348"/>
      <c r="P120" s="348"/>
      <c r="Q120" s="348"/>
      <c r="R120" s="348"/>
      <c r="S120" s="348"/>
      <c r="T120" s="348"/>
      <c r="U120" s="348"/>
      <c r="V120" s="348"/>
      <c r="W120" s="349"/>
    </row>
    <row r="121" spans="2:23" x14ac:dyDescent="0.25">
      <c r="B121" s="345"/>
      <c r="C121" s="347"/>
      <c r="D121" s="347"/>
      <c r="E121" s="347"/>
      <c r="F121" s="347"/>
      <c r="G121" s="347"/>
      <c r="H121" s="347"/>
      <c r="I121" s="347"/>
      <c r="J121" s="347"/>
      <c r="K121" s="347"/>
      <c r="L121" s="347"/>
      <c r="M121" s="347"/>
      <c r="N121" s="347"/>
      <c r="O121" s="347"/>
      <c r="P121" s="347"/>
      <c r="Q121" s="347"/>
      <c r="R121" s="347"/>
      <c r="S121" s="347"/>
      <c r="T121" s="347"/>
      <c r="U121" s="347"/>
      <c r="V121" s="347"/>
      <c r="W121" s="349"/>
    </row>
    <row r="122" spans="2:23" x14ac:dyDescent="0.25">
      <c r="B122" s="345"/>
      <c r="C122" s="347"/>
      <c r="D122" s="347"/>
      <c r="E122" s="347"/>
      <c r="F122" s="347"/>
      <c r="G122" s="347"/>
      <c r="H122" s="347"/>
      <c r="I122" s="347"/>
      <c r="J122" s="347"/>
      <c r="K122" s="347"/>
      <c r="L122" s="347"/>
      <c r="M122" s="347"/>
      <c r="N122" s="347"/>
      <c r="O122" s="347"/>
      <c r="P122" s="347"/>
      <c r="Q122" s="347"/>
      <c r="R122" s="347"/>
      <c r="S122" s="347"/>
      <c r="T122" s="347"/>
      <c r="U122" s="347"/>
      <c r="V122" s="347"/>
      <c r="W122" s="349"/>
    </row>
    <row r="123" spans="2:23" x14ac:dyDescent="0.25">
      <c r="B123" s="345"/>
      <c r="C123" s="348"/>
      <c r="D123" s="348"/>
      <c r="E123" s="348"/>
      <c r="F123" s="348"/>
      <c r="G123" s="348"/>
      <c r="H123" s="348"/>
      <c r="I123" s="348"/>
      <c r="J123" s="348"/>
      <c r="K123" s="348"/>
      <c r="L123" s="348"/>
      <c r="M123" s="348"/>
      <c r="N123" s="348"/>
      <c r="O123" s="348"/>
      <c r="P123" s="348"/>
      <c r="Q123" s="348"/>
      <c r="R123" s="348"/>
      <c r="S123" s="348"/>
      <c r="T123" s="348"/>
      <c r="U123" s="348"/>
      <c r="V123" s="348"/>
      <c r="W123" s="349"/>
    </row>
    <row r="124" spans="2:23" x14ac:dyDescent="0.25">
      <c r="B124" s="345"/>
      <c r="C124" s="347"/>
      <c r="D124" s="347"/>
      <c r="E124" s="347"/>
      <c r="F124" s="347"/>
      <c r="G124" s="347"/>
      <c r="H124" s="347"/>
      <c r="I124" s="347"/>
      <c r="J124" s="347"/>
      <c r="K124" s="347"/>
      <c r="L124" s="347"/>
      <c r="M124" s="347"/>
      <c r="N124" s="347"/>
      <c r="O124" s="347"/>
      <c r="P124" s="347"/>
      <c r="Q124" s="347"/>
      <c r="R124" s="347"/>
      <c r="S124" s="347"/>
      <c r="T124" s="347"/>
      <c r="U124" s="347"/>
      <c r="V124" s="347"/>
      <c r="W124" s="349"/>
    </row>
    <row r="125" spans="2:23" x14ac:dyDescent="0.25">
      <c r="B125" s="345"/>
      <c r="C125" s="347"/>
      <c r="D125" s="347"/>
      <c r="E125" s="347"/>
      <c r="F125" s="347"/>
      <c r="G125" s="347"/>
      <c r="H125" s="347"/>
      <c r="I125" s="347"/>
      <c r="J125" s="347"/>
      <c r="K125" s="347"/>
      <c r="L125" s="347"/>
      <c r="M125" s="347"/>
      <c r="N125" s="347"/>
      <c r="O125" s="347"/>
      <c r="P125" s="347"/>
      <c r="Q125" s="347"/>
      <c r="R125" s="347"/>
      <c r="S125" s="347"/>
      <c r="T125" s="347"/>
      <c r="U125" s="347"/>
      <c r="V125" s="347"/>
      <c r="W125" s="349"/>
    </row>
    <row r="126" spans="2:23" x14ac:dyDescent="0.25">
      <c r="B126" s="349"/>
      <c r="C126" s="347"/>
      <c r="D126" s="347"/>
      <c r="E126" s="347"/>
      <c r="F126" s="347"/>
      <c r="G126" s="347"/>
      <c r="H126" s="347"/>
      <c r="I126" s="347"/>
      <c r="J126" s="347"/>
      <c r="K126" s="347"/>
      <c r="L126" s="347"/>
      <c r="M126" s="347"/>
      <c r="N126" s="347"/>
      <c r="O126" s="347"/>
      <c r="P126" s="347"/>
      <c r="Q126" s="347"/>
      <c r="R126" s="347"/>
      <c r="S126" s="347"/>
      <c r="T126" s="347"/>
      <c r="U126" s="347"/>
      <c r="V126" s="347"/>
      <c r="W126" s="349"/>
    </row>
    <row r="127" spans="2:23" x14ac:dyDescent="0.25">
      <c r="B127" s="345"/>
      <c r="C127" s="347"/>
      <c r="D127" s="347"/>
      <c r="E127" s="347"/>
      <c r="F127" s="347"/>
      <c r="G127" s="347"/>
      <c r="H127" s="347"/>
      <c r="I127" s="347"/>
      <c r="J127" s="347"/>
      <c r="K127" s="347"/>
      <c r="L127" s="347"/>
      <c r="M127" s="347"/>
      <c r="N127" s="347"/>
      <c r="O127" s="347"/>
      <c r="P127" s="347"/>
      <c r="Q127" s="347"/>
      <c r="R127" s="347"/>
      <c r="S127" s="347"/>
      <c r="T127" s="347"/>
      <c r="U127" s="347"/>
      <c r="V127" s="347"/>
      <c r="W127" s="349"/>
    </row>
    <row r="128" spans="2:23" x14ac:dyDescent="0.25">
      <c r="B128" s="345"/>
      <c r="C128" s="347"/>
      <c r="D128" s="347"/>
      <c r="E128" s="347"/>
      <c r="F128" s="347"/>
      <c r="G128" s="347"/>
      <c r="H128" s="347"/>
      <c r="I128" s="347"/>
      <c r="J128" s="347"/>
      <c r="K128" s="347"/>
      <c r="L128" s="347"/>
      <c r="M128" s="347"/>
      <c r="N128" s="347"/>
      <c r="O128" s="347"/>
      <c r="P128" s="347"/>
      <c r="Q128" s="347"/>
      <c r="R128" s="347"/>
      <c r="S128" s="347"/>
      <c r="T128" s="347"/>
      <c r="U128" s="347"/>
      <c r="V128" s="347"/>
      <c r="W128" s="349"/>
    </row>
    <row r="129" spans="2:23" x14ac:dyDescent="0.25">
      <c r="B129" s="345"/>
      <c r="C129" s="347"/>
      <c r="D129" s="347"/>
      <c r="E129" s="347"/>
      <c r="F129" s="347"/>
      <c r="G129" s="347"/>
      <c r="H129" s="347"/>
      <c r="I129" s="347"/>
      <c r="J129" s="347"/>
      <c r="K129" s="347"/>
      <c r="L129" s="347"/>
      <c r="M129" s="347"/>
      <c r="N129" s="347"/>
      <c r="O129" s="347"/>
      <c r="P129" s="347"/>
      <c r="Q129" s="347"/>
      <c r="R129" s="347"/>
      <c r="S129" s="347"/>
      <c r="T129" s="347"/>
      <c r="U129" s="347"/>
      <c r="V129" s="347"/>
      <c r="W129" s="349"/>
    </row>
    <row r="130" spans="2:23" x14ac:dyDescent="0.25">
      <c r="B130" s="349"/>
      <c r="C130" s="347"/>
      <c r="D130" s="347"/>
      <c r="E130" s="347"/>
      <c r="F130" s="347"/>
      <c r="G130" s="347"/>
      <c r="H130" s="347"/>
      <c r="I130" s="347"/>
      <c r="J130" s="347"/>
      <c r="K130" s="347"/>
      <c r="L130" s="347"/>
      <c r="M130" s="347"/>
      <c r="N130" s="347"/>
      <c r="O130" s="347"/>
      <c r="P130" s="347"/>
      <c r="Q130" s="347"/>
      <c r="R130" s="347"/>
      <c r="S130" s="347"/>
      <c r="T130" s="347"/>
      <c r="U130" s="347"/>
      <c r="V130" s="347"/>
      <c r="W130" s="349"/>
    </row>
    <row r="131" spans="2:23" x14ac:dyDescent="0.25">
      <c r="B131" s="345"/>
      <c r="C131" s="347"/>
      <c r="D131" s="347"/>
      <c r="E131" s="347"/>
      <c r="F131" s="347"/>
      <c r="G131" s="347"/>
      <c r="H131" s="347"/>
      <c r="I131" s="347"/>
      <c r="J131" s="347"/>
      <c r="K131" s="347"/>
      <c r="L131" s="347"/>
      <c r="M131" s="347"/>
      <c r="N131" s="347"/>
      <c r="O131" s="347"/>
      <c r="P131" s="347"/>
      <c r="Q131" s="347"/>
      <c r="R131" s="347"/>
      <c r="S131" s="347"/>
      <c r="T131" s="347"/>
      <c r="U131" s="347"/>
      <c r="V131" s="347"/>
      <c r="W131" s="349"/>
    </row>
    <row r="132" spans="2:23" x14ac:dyDescent="0.25">
      <c r="B132" s="345"/>
      <c r="C132" s="347"/>
      <c r="D132" s="347"/>
      <c r="E132" s="347"/>
      <c r="F132" s="347"/>
      <c r="G132" s="347"/>
      <c r="H132" s="347"/>
      <c r="I132" s="347"/>
      <c r="J132" s="347"/>
      <c r="K132" s="347"/>
      <c r="L132" s="347"/>
      <c r="M132" s="347"/>
      <c r="N132" s="347"/>
      <c r="O132" s="347"/>
      <c r="P132" s="347"/>
      <c r="Q132" s="347"/>
      <c r="R132" s="347"/>
      <c r="S132" s="347"/>
      <c r="T132" s="347"/>
      <c r="U132" s="347"/>
      <c r="V132" s="347"/>
      <c r="W132" s="349"/>
    </row>
    <row r="133" spans="2:23" x14ac:dyDescent="0.25">
      <c r="B133" s="345"/>
      <c r="C133" s="347"/>
      <c r="D133" s="347"/>
      <c r="E133" s="347"/>
      <c r="F133" s="347"/>
      <c r="G133" s="347"/>
      <c r="H133" s="347"/>
      <c r="I133" s="347"/>
      <c r="J133" s="347"/>
      <c r="K133" s="347"/>
      <c r="L133" s="347"/>
      <c r="M133" s="347"/>
      <c r="N133" s="347"/>
      <c r="O133" s="347"/>
      <c r="P133" s="347"/>
      <c r="Q133" s="347"/>
      <c r="R133" s="347"/>
      <c r="S133" s="347"/>
      <c r="T133" s="347"/>
      <c r="U133" s="347"/>
      <c r="V133" s="347"/>
      <c r="W133" s="349"/>
    </row>
    <row r="134" spans="2:23" x14ac:dyDescent="0.25">
      <c r="B134" s="349"/>
      <c r="C134" s="349"/>
      <c r="D134" s="349"/>
      <c r="E134" s="349"/>
      <c r="F134" s="349"/>
      <c r="G134" s="349"/>
      <c r="H134" s="349"/>
      <c r="I134" s="349"/>
      <c r="J134" s="349"/>
      <c r="K134" s="349"/>
      <c r="L134" s="349"/>
      <c r="M134" s="349"/>
      <c r="N134" s="349"/>
      <c r="O134" s="349"/>
      <c r="P134" s="349"/>
      <c r="Q134" s="349"/>
      <c r="R134" s="349"/>
      <c r="S134" s="349"/>
      <c r="T134" s="349"/>
      <c r="U134" s="349"/>
      <c r="V134" s="349"/>
      <c r="W134" s="349"/>
    </row>
    <row r="135" spans="2:23" x14ac:dyDescent="0.25">
      <c r="B135" s="345"/>
      <c r="C135" s="350"/>
      <c r="D135" s="350"/>
      <c r="E135" s="350"/>
      <c r="F135" s="350"/>
      <c r="G135" s="350"/>
      <c r="H135" s="350"/>
      <c r="I135" s="350"/>
      <c r="J135" s="350"/>
      <c r="K135" s="350"/>
      <c r="L135" s="350"/>
      <c r="M135" s="350"/>
      <c r="N135" s="350"/>
      <c r="O135" s="350"/>
      <c r="P135" s="350"/>
      <c r="Q135" s="350"/>
      <c r="R135" s="350"/>
      <c r="S135" s="350"/>
      <c r="T135" s="350"/>
      <c r="U135" s="350"/>
      <c r="V135" s="350"/>
      <c r="W135" s="349"/>
    </row>
    <row r="136" spans="2:23" x14ac:dyDescent="0.25">
      <c r="B136" s="345"/>
      <c r="C136" s="350"/>
      <c r="D136" s="350"/>
      <c r="E136" s="350"/>
      <c r="F136" s="350"/>
      <c r="G136" s="350"/>
      <c r="H136" s="350"/>
      <c r="I136" s="350"/>
      <c r="J136" s="350"/>
      <c r="K136" s="350"/>
      <c r="L136" s="350"/>
      <c r="M136" s="350"/>
      <c r="N136" s="350"/>
      <c r="O136" s="350"/>
      <c r="P136" s="350"/>
      <c r="Q136" s="350"/>
      <c r="R136" s="350"/>
      <c r="S136" s="350"/>
      <c r="T136" s="350"/>
      <c r="U136" s="350"/>
      <c r="V136" s="350"/>
      <c r="W136" s="349"/>
    </row>
    <row r="137" spans="2:23" x14ac:dyDescent="0.25">
      <c r="B137" s="345"/>
      <c r="C137" s="350"/>
      <c r="D137" s="350"/>
      <c r="E137" s="350"/>
      <c r="F137" s="350"/>
      <c r="G137" s="350"/>
      <c r="H137" s="350"/>
      <c r="I137" s="350"/>
      <c r="J137" s="350"/>
      <c r="K137" s="350"/>
      <c r="L137" s="350"/>
      <c r="M137" s="350"/>
      <c r="N137" s="350"/>
      <c r="O137" s="350"/>
      <c r="P137" s="350"/>
      <c r="Q137" s="350"/>
      <c r="R137" s="350"/>
      <c r="S137" s="350"/>
      <c r="T137" s="350"/>
      <c r="U137" s="350"/>
      <c r="V137" s="350"/>
      <c r="W137" s="349"/>
    </row>
    <row r="138" spans="2:23" x14ac:dyDescent="0.25">
      <c r="B138" s="349"/>
      <c r="C138" s="349"/>
      <c r="D138" s="349"/>
      <c r="E138" s="349"/>
      <c r="F138" s="349"/>
      <c r="G138" s="349"/>
      <c r="H138" s="349"/>
      <c r="I138" s="349"/>
      <c r="J138" s="349"/>
      <c r="K138" s="349"/>
      <c r="L138" s="349"/>
      <c r="M138" s="349"/>
      <c r="N138" s="349"/>
      <c r="O138" s="349"/>
      <c r="P138" s="349"/>
      <c r="Q138" s="349"/>
      <c r="R138" s="349"/>
      <c r="S138" s="349"/>
      <c r="T138" s="349"/>
      <c r="U138" s="349"/>
      <c r="V138" s="349"/>
      <c r="W138" s="349"/>
    </row>
    <row r="139" spans="2:23" x14ac:dyDescent="0.25">
      <c r="B139" s="349"/>
      <c r="C139" s="349"/>
      <c r="D139" s="349"/>
      <c r="E139" s="349"/>
      <c r="F139" s="349"/>
      <c r="G139" s="349"/>
      <c r="H139" s="349"/>
      <c r="I139" s="349"/>
      <c r="J139" s="349"/>
      <c r="K139" s="349"/>
      <c r="L139" s="349"/>
      <c r="M139" s="349"/>
      <c r="N139" s="349"/>
      <c r="O139" s="349"/>
      <c r="P139" s="349"/>
      <c r="Q139" s="349"/>
      <c r="R139" s="349"/>
      <c r="S139" s="349"/>
      <c r="T139" s="349"/>
      <c r="U139" s="349"/>
      <c r="V139" s="349"/>
      <c r="W139" s="349"/>
    </row>
    <row r="140" spans="2:23" x14ac:dyDescent="0.25">
      <c r="B140" s="349"/>
      <c r="C140" s="349"/>
      <c r="D140" s="349"/>
      <c r="E140" s="349"/>
      <c r="F140" s="349"/>
      <c r="G140" s="349"/>
      <c r="H140" s="349"/>
      <c r="I140" s="349"/>
      <c r="J140" s="349"/>
      <c r="K140" s="349"/>
      <c r="L140" s="349"/>
      <c r="M140" s="349"/>
      <c r="N140" s="349"/>
      <c r="O140" s="349"/>
      <c r="P140" s="349"/>
      <c r="Q140" s="349"/>
      <c r="R140" s="349"/>
      <c r="S140" s="349"/>
      <c r="T140" s="349"/>
      <c r="U140" s="349"/>
      <c r="V140" s="349"/>
      <c r="W140" s="349"/>
    </row>
    <row r="141" spans="2:23" x14ac:dyDescent="0.25">
      <c r="B141" s="349"/>
      <c r="C141" s="349"/>
      <c r="D141" s="349"/>
      <c r="E141" s="349"/>
      <c r="F141" s="349"/>
      <c r="G141" s="349"/>
      <c r="H141" s="349"/>
      <c r="I141" s="349"/>
      <c r="J141" s="349"/>
      <c r="K141" s="349"/>
      <c r="L141" s="349"/>
      <c r="M141" s="349"/>
      <c r="N141" s="349"/>
      <c r="O141" s="349"/>
      <c r="P141" s="349"/>
      <c r="Q141" s="349"/>
      <c r="R141" s="349"/>
      <c r="S141" s="349"/>
      <c r="T141" s="349"/>
      <c r="U141" s="349"/>
      <c r="V141" s="349"/>
      <c r="W141" s="349"/>
    </row>
    <row r="142" spans="2:23" x14ac:dyDescent="0.25">
      <c r="B142" s="349"/>
      <c r="C142" s="349"/>
      <c r="D142" s="349"/>
      <c r="E142" s="349"/>
      <c r="F142" s="349"/>
      <c r="G142" s="349"/>
      <c r="H142" s="349"/>
      <c r="I142" s="349"/>
      <c r="J142" s="349"/>
      <c r="K142" s="349"/>
      <c r="L142" s="349"/>
      <c r="M142" s="349"/>
      <c r="N142" s="349"/>
      <c r="O142" s="349"/>
      <c r="P142" s="349"/>
      <c r="Q142" s="349"/>
      <c r="R142" s="349"/>
      <c r="S142" s="349"/>
      <c r="T142" s="349"/>
      <c r="U142" s="349"/>
      <c r="V142" s="349"/>
      <c r="W142" s="349"/>
    </row>
  </sheetData>
  <mergeCells count="3">
    <mergeCell ref="C32:F32"/>
    <mergeCell ref="C60:F60"/>
    <mergeCell ref="C53:F53"/>
  </mergeCells>
  <phoneticPr fontId="11" type="noConversion"/>
  <pageMargins left="0.7" right="0.7" top="0.75" bottom="0.75" header="0.3" footer="0.3"/>
  <pageSetup paperSize="17" scale="57" fitToWidth="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T74"/>
  <sheetViews>
    <sheetView workbookViewId="0">
      <selection activeCell="H43" sqref="H43"/>
    </sheetView>
  </sheetViews>
  <sheetFormatPr defaultColWidth="9.109375" defaultRowHeight="13.2" x14ac:dyDescent="0.25"/>
  <cols>
    <col min="1" max="1" width="3.33203125" style="4" customWidth="1"/>
    <col min="2" max="2" width="52.33203125" style="4" customWidth="1"/>
    <col min="3" max="5" width="11.33203125" style="4" customWidth="1"/>
    <col min="6" max="6" width="12.6640625" style="232" customWidth="1"/>
    <col min="7" max="9" width="11.33203125" style="4" bestFit="1" customWidth="1"/>
    <col min="10" max="10" width="12.6640625" style="4" customWidth="1"/>
    <col min="11" max="12" width="11.33203125" style="4" bestFit="1" customWidth="1"/>
    <col min="13" max="17" width="10.109375" style="4" bestFit="1" customWidth="1"/>
    <col min="18" max="22" width="9.109375" style="4"/>
    <col min="23" max="23" width="12.6640625" style="4" bestFit="1" customWidth="1"/>
    <col min="24" max="16384" width="9.109375" style="4"/>
  </cols>
  <sheetData>
    <row r="2" spans="1:17" ht="13.8" x14ac:dyDescent="0.25">
      <c r="A2" s="116"/>
      <c r="B2" s="183" t="s">
        <v>239</v>
      </c>
      <c r="C2" s="183"/>
      <c r="D2" s="183"/>
      <c r="E2" s="183"/>
      <c r="F2" s="220"/>
    </row>
    <row r="3" spans="1:17" ht="13.8" thickBot="1" x14ac:dyDescent="0.3">
      <c r="B3" s="182"/>
      <c r="C3" s="182"/>
      <c r="D3" s="182"/>
      <c r="E3" s="182"/>
      <c r="F3" s="221"/>
    </row>
    <row r="4" spans="1:17" ht="13.8" thickBot="1" x14ac:dyDescent="0.3">
      <c r="B4" s="222"/>
      <c r="C4" s="354" t="s">
        <v>268</v>
      </c>
      <c r="D4" s="355"/>
      <c r="E4" s="355"/>
      <c r="F4" s="356"/>
    </row>
    <row r="5" spans="1:17" ht="13.8" thickBot="1" x14ac:dyDescent="0.3">
      <c r="B5" s="264" t="s">
        <v>21</v>
      </c>
      <c r="C5" s="271">
        <v>2015</v>
      </c>
      <c r="D5" s="272">
        <v>2016</v>
      </c>
      <c r="E5" s="272">
        <v>2017</v>
      </c>
      <c r="F5" s="277" t="s">
        <v>300</v>
      </c>
    </row>
    <row r="6" spans="1:17" x14ac:dyDescent="0.25">
      <c r="B6" s="76" t="s">
        <v>265</v>
      </c>
      <c r="C6" s="270">
        <f>C39</f>
        <v>3260.78</v>
      </c>
      <c r="D6" s="270">
        <f>D39</f>
        <v>2865.6800000000003</v>
      </c>
      <c r="E6" s="270">
        <f>E39</f>
        <v>2927.36</v>
      </c>
      <c r="F6" s="295">
        <f>SUM(C6:E6)</f>
        <v>9053.8200000000015</v>
      </c>
    </row>
    <row r="7" spans="1:17" x14ac:dyDescent="0.25">
      <c r="B7" s="265" t="s">
        <v>266</v>
      </c>
      <c r="C7" s="266">
        <f>C57</f>
        <v>470.67</v>
      </c>
      <c r="D7" s="266">
        <f>D57</f>
        <v>162.32</v>
      </c>
      <c r="E7" s="266">
        <f>E57</f>
        <v>80.039999999999992</v>
      </c>
      <c r="F7" s="296">
        <f>SUM(C7:E7)</f>
        <v>713.03</v>
      </c>
    </row>
    <row r="8" spans="1:17" x14ac:dyDescent="0.25">
      <c r="B8" s="265" t="s">
        <v>267</v>
      </c>
      <c r="C8" s="266">
        <f>C63</f>
        <v>693</v>
      </c>
      <c r="D8" s="266">
        <f>D63</f>
        <v>632</v>
      </c>
      <c r="E8" s="266">
        <f>E63</f>
        <v>693</v>
      </c>
      <c r="F8" s="296">
        <f>SUM(C8:E8)</f>
        <v>2018</v>
      </c>
    </row>
    <row r="9" spans="1:17" x14ac:dyDescent="0.25">
      <c r="B9" s="297" t="s">
        <v>270</v>
      </c>
      <c r="C9" s="228">
        <f>SUM(C6:C8)</f>
        <v>4424.4500000000007</v>
      </c>
      <c r="D9" s="228">
        <f>SUM(D6:D8)</f>
        <v>3660.0000000000005</v>
      </c>
      <c r="E9" s="228">
        <f>SUM(E6:E8)</f>
        <v>3700.4</v>
      </c>
      <c r="F9" s="280">
        <f>SUM(F6:F8)</f>
        <v>11784.850000000002</v>
      </c>
    </row>
    <row r="10" spans="1:17" x14ac:dyDescent="0.25">
      <c r="B10" s="274" t="s">
        <v>272</v>
      </c>
      <c r="C10" s="275">
        <f>C9/1800</f>
        <v>2.4580277777777781</v>
      </c>
      <c r="D10" s="275">
        <f>D9/1800</f>
        <v>2.0333333333333337</v>
      </c>
      <c r="E10" s="275">
        <f>E9/1800</f>
        <v>2.0557777777777777</v>
      </c>
      <c r="F10" s="276">
        <f>(F9/3)/1800</f>
        <v>2.1823796296296303</v>
      </c>
    </row>
    <row r="11" spans="1:17" ht="15.6" x14ac:dyDescent="0.3">
      <c r="B11" s="267"/>
      <c r="C11" s="268"/>
      <c r="D11" s="268"/>
      <c r="E11" s="268"/>
      <c r="F11" s="269"/>
    </row>
    <row r="12" spans="1:17" ht="13.8" thickBot="1" x14ac:dyDescent="0.3">
      <c r="B12" s="182"/>
      <c r="C12" s="182"/>
      <c r="D12" s="182"/>
      <c r="E12" s="182"/>
      <c r="F12" s="221"/>
    </row>
    <row r="13" spans="1:17" x14ac:dyDescent="0.25">
      <c r="B13" s="222"/>
      <c r="C13" s="360" t="s">
        <v>274</v>
      </c>
      <c r="D13" s="361"/>
      <c r="E13" s="361"/>
      <c r="F13" s="362"/>
      <c r="G13" s="247"/>
      <c r="H13" s="247"/>
      <c r="I13" s="247"/>
      <c r="J13" s="247"/>
    </row>
    <row r="14" spans="1:17" ht="15" thickBot="1" x14ac:dyDescent="0.35">
      <c r="B14" s="223" t="s">
        <v>21</v>
      </c>
      <c r="C14" s="224">
        <v>2015</v>
      </c>
      <c r="D14" s="225">
        <v>2016</v>
      </c>
      <c r="E14" s="225">
        <v>2017</v>
      </c>
      <c r="F14" s="278" t="s">
        <v>300</v>
      </c>
      <c r="G14" s="240"/>
      <c r="H14" s="240"/>
      <c r="I14" s="240"/>
      <c r="J14" s="241"/>
      <c r="K14" s="226"/>
      <c r="L14" s="226"/>
      <c r="M14" s="226"/>
      <c r="N14" s="226"/>
      <c r="O14" s="226"/>
      <c r="P14" s="226"/>
      <c r="Q14" s="226"/>
    </row>
    <row r="15" spans="1:17" ht="14.4" x14ac:dyDescent="0.3">
      <c r="B15" s="76"/>
      <c r="C15" s="246"/>
      <c r="D15" s="246"/>
      <c r="E15" s="246"/>
      <c r="F15" s="279"/>
      <c r="G15" s="240"/>
      <c r="H15" s="240"/>
      <c r="I15" s="240"/>
      <c r="J15" s="241"/>
      <c r="K15" s="226"/>
      <c r="L15" s="226"/>
      <c r="M15" s="226"/>
      <c r="N15" s="226"/>
      <c r="O15" s="226"/>
      <c r="P15" s="226"/>
      <c r="Q15" s="226"/>
    </row>
    <row r="16" spans="1:17" ht="14.4" x14ac:dyDescent="0.3">
      <c r="B16" s="76" t="s">
        <v>104</v>
      </c>
      <c r="C16" s="76"/>
      <c r="D16" s="76"/>
      <c r="E16" s="76"/>
      <c r="F16" s="280">
        <f>F17+F18+F19+F20+F21</f>
        <v>4654.7</v>
      </c>
      <c r="G16" s="240"/>
      <c r="H16" s="240"/>
      <c r="I16" s="240"/>
      <c r="J16" s="242"/>
      <c r="K16" s="53"/>
      <c r="L16" s="226"/>
      <c r="M16" s="226"/>
      <c r="N16" s="226"/>
      <c r="O16" s="226"/>
      <c r="P16" s="226"/>
      <c r="Q16" s="226"/>
    </row>
    <row r="17" spans="2:19" ht="14.4" x14ac:dyDescent="0.3">
      <c r="B17" s="227" t="s">
        <v>88</v>
      </c>
      <c r="C17" s="281">
        <f>SVFCM!F27</f>
        <v>312</v>
      </c>
      <c r="D17" s="281">
        <f>SVFCM!G27</f>
        <v>251</v>
      </c>
      <c r="E17" s="281">
        <f>SVFCM!H27</f>
        <v>312</v>
      </c>
      <c r="F17" s="282">
        <f>C17+D17+E17</f>
        <v>875</v>
      </c>
      <c r="G17" s="243"/>
      <c r="H17" s="243"/>
      <c r="I17" s="243"/>
      <c r="J17" s="244"/>
      <c r="K17" s="53"/>
      <c r="L17" s="98"/>
      <c r="M17" s="98"/>
      <c r="N17" s="98"/>
      <c r="O17" s="98"/>
      <c r="P17" s="98"/>
      <c r="Q17" s="98"/>
    </row>
    <row r="18" spans="2:19" ht="14.4" x14ac:dyDescent="0.3">
      <c r="B18" s="227" t="s">
        <v>240</v>
      </c>
      <c r="C18" s="281">
        <f>GT!F9</f>
        <v>0</v>
      </c>
      <c r="D18" s="281">
        <f>GT!G9</f>
        <v>97</v>
      </c>
      <c r="E18" s="281">
        <f>GT!H9</f>
        <v>387</v>
      </c>
      <c r="F18" s="282">
        <f>C18+D18+E18</f>
        <v>484</v>
      </c>
      <c r="G18" s="243"/>
      <c r="H18" s="243"/>
      <c r="I18" s="243"/>
      <c r="J18" s="244"/>
      <c r="K18" s="53"/>
      <c r="L18" s="98"/>
      <c r="M18" s="98"/>
      <c r="N18" s="98"/>
      <c r="O18" s="98"/>
      <c r="P18" s="98"/>
      <c r="Q18" s="98"/>
      <c r="S18" s="217"/>
    </row>
    <row r="19" spans="2:19" ht="14.4" x14ac:dyDescent="0.3">
      <c r="B19" s="227" t="s">
        <v>48</v>
      </c>
      <c r="C19" s="281">
        <f>TAGTRM!F9</f>
        <v>708.5</v>
      </c>
      <c r="D19" s="281">
        <f>TAGTRM!G9</f>
        <v>708.5</v>
      </c>
      <c r="E19" s="281">
        <f>TAGTRM!H9</f>
        <v>708.5</v>
      </c>
      <c r="F19" s="282">
        <f>C19+D19+E19</f>
        <v>2125.5</v>
      </c>
      <c r="G19" s="243"/>
      <c r="H19" s="243"/>
      <c r="I19" s="243"/>
      <c r="J19" s="244"/>
      <c r="K19" s="53"/>
      <c r="L19" s="98"/>
      <c r="M19" s="98"/>
      <c r="N19" s="98"/>
      <c r="O19" s="98"/>
      <c r="P19" s="98"/>
      <c r="Q19" s="98"/>
    </row>
    <row r="20" spans="2:19" ht="14.4" x14ac:dyDescent="0.3">
      <c r="B20" s="227" t="s">
        <v>246</v>
      </c>
      <c r="C20" s="281">
        <f>'Mkt Characterizations'!F9*0.88</f>
        <v>695.2</v>
      </c>
      <c r="D20" s="281">
        <f>'Mkt Characterizations'!G9*0.88</f>
        <v>0</v>
      </c>
      <c r="E20" s="281">
        <f>'Mkt Characterizations'!H9*0.88</f>
        <v>0</v>
      </c>
      <c r="F20" s="282">
        <f>C20+D20+E20</f>
        <v>695.2</v>
      </c>
      <c r="G20" s="243"/>
      <c r="H20" s="243"/>
      <c r="I20" s="243"/>
      <c r="J20" s="244"/>
      <c r="K20" s="53"/>
      <c r="L20" s="98"/>
      <c r="M20" s="98"/>
      <c r="N20" s="98"/>
      <c r="O20" s="98"/>
      <c r="P20" s="98"/>
      <c r="Q20" s="98"/>
      <c r="S20" s="217"/>
    </row>
    <row r="21" spans="2:19" ht="14.4" x14ac:dyDescent="0.3">
      <c r="B21" s="227" t="s">
        <v>2</v>
      </c>
      <c r="C21" s="281">
        <f>Benchmarking!F9</f>
        <v>80</v>
      </c>
      <c r="D21" s="281">
        <f>Benchmarking!G9</f>
        <v>315</v>
      </c>
      <c r="E21" s="281">
        <f>Benchmarking!H9</f>
        <v>80</v>
      </c>
      <c r="F21" s="282">
        <f>C21+D21+E21</f>
        <v>475</v>
      </c>
      <c r="G21" s="243"/>
      <c r="H21" s="243"/>
      <c r="I21" s="243"/>
      <c r="J21" s="244"/>
      <c r="K21" s="53"/>
      <c r="L21" s="98"/>
      <c r="M21" s="98"/>
      <c r="N21" s="98"/>
      <c r="O21" s="98"/>
      <c r="P21" s="98"/>
      <c r="Q21" s="98"/>
      <c r="S21" s="217"/>
    </row>
    <row r="22" spans="2:19" ht="14.4" x14ac:dyDescent="0.3">
      <c r="B22" s="227"/>
      <c r="C22" s="281"/>
      <c r="D22" s="281"/>
      <c r="E22" s="281"/>
      <c r="F22" s="282"/>
      <c r="G22" s="243"/>
      <c r="H22" s="243"/>
      <c r="I22" s="243"/>
      <c r="J22" s="244"/>
      <c r="K22" s="53"/>
      <c r="L22" s="98"/>
      <c r="M22" s="98"/>
      <c r="N22" s="98"/>
      <c r="O22" s="98"/>
      <c r="P22" s="98"/>
      <c r="Q22" s="98"/>
    </row>
    <row r="23" spans="2:19" ht="14.4" x14ac:dyDescent="0.3">
      <c r="B23" s="79" t="s">
        <v>87</v>
      </c>
      <c r="C23" s="283"/>
      <c r="D23" s="283"/>
      <c r="E23" s="283"/>
      <c r="F23" s="284">
        <f>F24+F25+F27+F28+F29+F30</f>
        <v>2338.8200000000002</v>
      </c>
      <c r="G23" s="243"/>
      <c r="H23" s="243"/>
      <c r="I23" s="243"/>
      <c r="J23" s="242"/>
      <c r="K23" s="53"/>
      <c r="L23" s="98"/>
      <c r="M23" s="98"/>
      <c r="N23" s="98"/>
      <c r="O23" s="98"/>
      <c r="P23" s="98"/>
      <c r="Q23" s="98"/>
    </row>
    <row r="24" spans="2:19" ht="14.4" x14ac:dyDescent="0.3">
      <c r="B24" s="211" t="s">
        <v>247</v>
      </c>
      <c r="C24" s="285">
        <f>NRA!F10*0.88</f>
        <v>70.400000000000006</v>
      </c>
      <c r="D24" s="285">
        <f>NRA!G10*0.88</f>
        <v>176</v>
      </c>
      <c r="E24" s="285">
        <f>NRA!H10*0.88</f>
        <v>155.76</v>
      </c>
      <c r="F24" s="286">
        <f t="shared" ref="F24:F30" si="0">C24+D24+E24</f>
        <v>402.15999999999997</v>
      </c>
      <c r="G24" s="243"/>
      <c r="H24" s="243"/>
      <c r="I24" s="243"/>
      <c r="J24" s="244"/>
      <c r="K24" s="98"/>
      <c r="L24" s="98"/>
      <c r="M24" s="98"/>
      <c r="N24" s="98"/>
      <c r="O24" s="98"/>
      <c r="P24" s="98"/>
      <c r="Q24" s="98"/>
    </row>
    <row r="25" spans="2:19" ht="14.4" x14ac:dyDescent="0.3">
      <c r="B25" s="211" t="s">
        <v>248</v>
      </c>
      <c r="C25" s="285">
        <f>'Admin Efficiency'!F8*0.88</f>
        <v>0</v>
      </c>
      <c r="D25" s="285">
        <f>'Admin Efficiency'!G8*0.88</f>
        <v>152.68</v>
      </c>
      <c r="E25" s="285">
        <f>'Admin Efficiency'!H8*0.88</f>
        <v>0</v>
      </c>
      <c r="F25" s="286">
        <f t="shared" si="0"/>
        <v>152.68</v>
      </c>
      <c r="G25" s="243"/>
      <c r="H25" s="243"/>
      <c r="I25" s="243"/>
      <c r="J25" s="244"/>
      <c r="K25" s="98"/>
      <c r="L25" s="98"/>
      <c r="M25" s="98"/>
      <c r="N25" s="98"/>
      <c r="O25" s="98"/>
      <c r="P25" s="98"/>
      <c r="Q25" s="98"/>
    </row>
    <row r="26" spans="2:19" ht="14.4" x14ac:dyDescent="0.3">
      <c r="B26" s="227" t="s">
        <v>315</v>
      </c>
      <c r="C26" s="285">
        <f>'HPwEs (elec)'!F9</f>
        <v>75.5</v>
      </c>
      <c r="D26" s="285">
        <f>'HPwEs (elec)'!G9</f>
        <v>0</v>
      </c>
      <c r="E26" s="285">
        <f>'HPwEs (elec)'!H9</f>
        <v>0</v>
      </c>
      <c r="F26" s="286">
        <f t="shared" si="0"/>
        <v>75.5</v>
      </c>
      <c r="G26" s="243"/>
      <c r="H26" s="243"/>
      <c r="I26" s="243"/>
      <c r="J26" s="244"/>
      <c r="K26" s="98"/>
      <c r="L26" s="98"/>
      <c r="M26" s="98"/>
      <c r="N26" s="98"/>
      <c r="O26" s="98"/>
      <c r="P26" s="98"/>
      <c r="Q26" s="98"/>
    </row>
    <row r="27" spans="2:19" ht="14.4" x14ac:dyDescent="0.3">
      <c r="B27" s="227" t="s">
        <v>63</v>
      </c>
      <c r="C27" s="285">
        <f>'ESA CCP'!C10+'ESA CCP'!C21</f>
        <v>170</v>
      </c>
      <c r="D27" s="285">
        <f>'ESA CCP'!D10+'ESA CCP'!D21</f>
        <v>170</v>
      </c>
      <c r="E27" s="285">
        <f>'ESA CCP'!E10+'ESA CCP'!E21</f>
        <v>290</v>
      </c>
      <c r="F27" s="287">
        <f t="shared" si="0"/>
        <v>630</v>
      </c>
      <c r="G27" s="243"/>
      <c r="H27" s="243"/>
      <c r="I27" s="243"/>
      <c r="J27" s="244"/>
      <c r="K27" s="98"/>
      <c r="L27" s="98"/>
      <c r="M27" s="98"/>
      <c r="N27" s="98"/>
      <c r="O27" s="98"/>
      <c r="P27" s="98"/>
      <c r="Q27" s="98"/>
      <c r="S27" s="217"/>
    </row>
    <row r="28" spans="2:19" ht="14.4" x14ac:dyDescent="0.3">
      <c r="B28" s="227" t="s">
        <v>269</v>
      </c>
      <c r="C28" s="285">
        <f>(Regional!F8*0.75)</f>
        <v>66</v>
      </c>
      <c r="D28" s="285">
        <f>(Regional!G8*0.75)</f>
        <v>66</v>
      </c>
      <c r="E28" s="285">
        <f>(Regional!H8*0.75)</f>
        <v>66</v>
      </c>
      <c r="F28" s="287">
        <f t="shared" si="0"/>
        <v>198</v>
      </c>
      <c r="G28" s="243"/>
      <c r="H28" s="243"/>
      <c r="I28" s="243"/>
      <c r="J28" s="244"/>
      <c r="K28" s="98"/>
      <c r="L28" s="98"/>
      <c r="M28" s="98"/>
      <c r="N28" s="98"/>
      <c r="O28" s="98"/>
      <c r="P28" s="98"/>
      <c r="Q28" s="98"/>
    </row>
    <row r="29" spans="2:19" ht="14.4" x14ac:dyDescent="0.3">
      <c r="B29" s="227" t="s">
        <v>117</v>
      </c>
      <c r="C29" s="285">
        <f>Behavioral!F10</f>
        <v>248.5</v>
      </c>
      <c r="D29" s="285">
        <f>Behavioral!G10</f>
        <v>187.5</v>
      </c>
      <c r="E29" s="285">
        <f>Behavioral!H10</f>
        <v>248.5</v>
      </c>
      <c r="F29" s="287">
        <f t="shared" si="0"/>
        <v>684.5</v>
      </c>
      <c r="G29" s="243"/>
      <c r="H29" s="243"/>
      <c r="I29" s="243"/>
      <c r="J29" s="244"/>
      <c r="K29" s="98"/>
      <c r="L29" s="98"/>
      <c r="M29" s="98"/>
      <c r="N29" s="98"/>
      <c r="O29" s="98"/>
      <c r="P29" s="98"/>
      <c r="Q29" s="98"/>
    </row>
    <row r="30" spans="2:19" ht="14.4" x14ac:dyDescent="0.3">
      <c r="B30" s="227" t="s">
        <v>324</v>
      </c>
      <c r="C30" s="285">
        <f>OPA!F14*0.88</f>
        <v>271.48</v>
      </c>
      <c r="D30" s="285">
        <f>OPA!G14*0.88</f>
        <v>0</v>
      </c>
      <c r="E30" s="285">
        <f>OPA!H14*0.88</f>
        <v>0</v>
      </c>
      <c r="F30" s="287">
        <f t="shared" si="0"/>
        <v>271.48</v>
      </c>
      <c r="G30" s="243"/>
      <c r="H30" s="243"/>
      <c r="I30" s="243"/>
      <c r="J30" s="244"/>
      <c r="K30" s="98"/>
      <c r="L30" s="98"/>
      <c r="M30" s="98"/>
      <c r="N30" s="98"/>
      <c r="O30" s="98"/>
      <c r="P30" s="98"/>
      <c r="Q30" s="98"/>
    </row>
    <row r="31" spans="2:19" ht="14.4" x14ac:dyDescent="0.3">
      <c r="B31" s="227"/>
      <c r="C31" s="285"/>
      <c r="D31" s="285"/>
      <c r="E31" s="285"/>
      <c r="F31" s="287"/>
      <c r="G31" s="243"/>
      <c r="H31" s="243"/>
      <c r="I31" s="243"/>
      <c r="J31" s="244"/>
      <c r="K31" s="98"/>
      <c r="L31" s="98"/>
      <c r="M31" s="98"/>
      <c r="N31" s="98"/>
      <c r="O31" s="98"/>
      <c r="P31" s="98"/>
      <c r="Q31" s="98"/>
    </row>
    <row r="32" spans="2:19" ht="14.4" x14ac:dyDescent="0.3">
      <c r="B32" s="79" t="s">
        <v>241</v>
      </c>
      <c r="C32" s="228"/>
      <c r="D32" s="228"/>
      <c r="E32" s="228"/>
      <c r="F32" s="288">
        <f>F33+F34+F35</f>
        <v>1592.8000000000002</v>
      </c>
      <c r="G32" s="243"/>
      <c r="H32" s="243"/>
      <c r="I32" s="243"/>
      <c r="J32" s="242"/>
      <c r="K32" s="98"/>
      <c r="L32" s="98"/>
      <c r="M32" s="98"/>
      <c r="N32" s="98"/>
      <c r="O32" s="98"/>
      <c r="P32" s="98"/>
      <c r="Q32" s="98"/>
    </row>
    <row r="33" spans="2:20" ht="14.4" x14ac:dyDescent="0.3">
      <c r="B33" s="211" t="s">
        <v>249</v>
      </c>
      <c r="C33" s="281">
        <f>'Plan&amp;Mgmt'!C11*0.88</f>
        <v>184.8</v>
      </c>
      <c r="D33" s="281">
        <f>'Plan&amp;Mgmt'!D11*0.88</f>
        <v>184.8</v>
      </c>
      <c r="E33" s="281">
        <f>'Plan&amp;Mgmt'!E11*0.88</f>
        <v>308</v>
      </c>
      <c r="F33" s="289">
        <f>C33+D33+E33</f>
        <v>677.6</v>
      </c>
      <c r="G33" s="243"/>
      <c r="H33" s="243"/>
      <c r="I33" s="243"/>
      <c r="J33" s="244"/>
      <c r="K33" s="98"/>
      <c r="L33" s="98"/>
      <c r="M33" s="98"/>
      <c r="N33" s="98"/>
      <c r="O33" s="98"/>
      <c r="P33" s="98"/>
      <c r="Q33" s="98"/>
    </row>
    <row r="34" spans="2:20" ht="14.4" x14ac:dyDescent="0.3">
      <c r="B34" s="227" t="s">
        <v>250</v>
      </c>
      <c r="C34" s="281">
        <f>'Plan&amp;Mgmt'!C31*0.88</f>
        <v>255.2</v>
      </c>
      <c r="D34" s="281">
        <f>'Plan&amp;Mgmt'!D31*0.88</f>
        <v>154</v>
      </c>
      <c r="E34" s="281">
        <f>'Plan&amp;Mgmt'!E31*0.88</f>
        <v>136.4</v>
      </c>
      <c r="F34" s="289">
        <f>C34+D34+E34</f>
        <v>545.6</v>
      </c>
      <c r="G34" s="243"/>
      <c r="H34" s="243"/>
      <c r="I34" s="243"/>
      <c r="J34" s="244"/>
      <c r="K34" s="98"/>
      <c r="L34" s="98"/>
      <c r="M34" s="98"/>
      <c r="N34" s="98"/>
      <c r="O34" s="98"/>
      <c r="P34" s="98"/>
      <c r="Q34" s="98"/>
    </row>
    <row r="35" spans="2:20" ht="14.4" x14ac:dyDescent="0.3">
      <c r="B35" s="230" t="s">
        <v>271</v>
      </c>
      <c r="C35" s="290">
        <f>'Plan&amp;Mgmt'!D50*0.88</f>
        <v>123.2</v>
      </c>
      <c r="D35" s="290">
        <f>'Plan&amp;Mgmt'!E50*0.88</f>
        <v>123.2</v>
      </c>
      <c r="E35" s="290">
        <f>'Plan&amp;Mgmt'!F50*0.88</f>
        <v>123.2</v>
      </c>
      <c r="F35" s="289">
        <f>C35+D35+E35</f>
        <v>369.6</v>
      </c>
      <c r="G35" s="243"/>
      <c r="H35" s="243"/>
      <c r="I35" s="243"/>
      <c r="J35" s="244"/>
      <c r="K35" s="98"/>
      <c r="L35" s="98"/>
      <c r="M35" s="98"/>
      <c r="N35" s="98"/>
      <c r="O35" s="98"/>
      <c r="P35" s="98"/>
      <c r="Q35" s="98"/>
    </row>
    <row r="36" spans="2:20" ht="14.4" x14ac:dyDescent="0.3">
      <c r="B36" s="227" t="s">
        <v>305</v>
      </c>
      <c r="C36" s="281">
        <f>'Plan&amp;Mgmt'!F92</f>
        <v>0</v>
      </c>
      <c r="D36" s="281">
        <f>'Plan&amp;Mgmt'!G92</f>
        <v>280</v>
      </c>
      <c r="E36" s="281">
        <f>'Plan&amp;Mgmt'!H92</f>
        <v>112</v>
      </c>
      <c r="F36" s="289"/>
      <c r="G36" s="243"/>
      <c r="H36" s="243"/>
      <c r="I36" s="243"/>
      <c r="J36" s="244"/>
      <c r="K36" s="98"/>
      <c r="L36" s="98"/>
      <c r="M36" s="98"/>
      <c r="N36" s="98"/>
      <c r="O36" s="98"/>
      <c r="P36" s="98"/>
      <c r="Q36" s="98"/>
    </row>
    <row r="37" spans="2:20" ht="14.4" x14ac:dyDescent="0.3">
      <c r="B37" s="211"/>
      <c r="C37" s="281"/>
      <c r="D37" s="281"/>
      <c r="E37" s="281"/>
      <c r="F37" s="291">
        <f>C38+D38+E38</f>
        <v>0</v>
      </c>
      <c r="G37" s="243"/>
      <c r="H37" s="243"/>
      <c r="I37" s="243"/>
      <c r="J37" s="242"/>
      <c r="K37" s="98"/>
      <c r="L37" s="98"/>
      <c r="M37" s="98"/>
      <c r="N37" s="98"/>
      <c r="O37" s="98"/>
      <c r="P37" s="98"/>
      <c r="Q37" s="98"/>
    </row>
    <row r="38" spans="2:20" ht="14.4" x14ac:dyDescent="0.3">
      <c r="B38" s="102" t="s">
        <v>277</v>
      </c>
      <c r="C38" s="281">
        <v>0</v>
      </c>
      <c r="D38" s="281">
        <v>0</v>
      </c>
      <c r="E38" s="281">
        <v>0</v>
      </c>
      <c r="F38" s="287"/>
      <c r="G38" s="243"/>
      <c r="H38" s="243"/>
      <c r="I38" s="243"/>
      <c r="J38" s="242"/>
      <c r="K38" s="98"/>
      <c r="L38" s="98"/>
      <c r="M38" s="98"/>
      <c r="N38" s="98"/>
      <c r="O38" s="98"/>
      <c r="P38" s="98"/>
      <c r="Q38" s="98"/>
    </row>
    <row r="39" spans="2:20" ht="15" customHeight="1" x14ac:dyDescent="0.25">
      <c r="B39" s="184" t="s">
        <v>262</v>
      </c>
      <c r="C39" s="292">
        <f>SUM(C17:C38)</f>
        <v>3260.78</v>
      </c>
      <c r="D39" s="292">
        <f>SUM(D17:D38)</f>
        <v>2865.6800000000003</v>
      </c>
      <c r="E39" s="292">
        <f>SUM(E17:E38)</f>
        <v>2927.36</v>
      </c>
      <c r="F39" s="289"/>
      <c r="G39" s="248"/>
      <c r="H39" s="248"/>
      <c r="I39" s="248"/>
      <c r="J39" s="248"/>
      <c r="K39" s="249"/>
      <c r="L39" s="249"/>
      <c r="M39" s="249"/>
      <c r="N39" s="249"/>
      <c r="O39" s="249"/>
      <c r="P39" s="249"/>
      <c r="Q39" s="249"/>
    </row>
    <row r="40" spans="2:20" ht="14.4" x14ac:dyDescent="0.3">
      <c r="B40" s="114" t="s">
        <v>342</v>
      </c>
      <c r="C40" s="363">
        <f>F16+F23+F32+F37</f>
        <v>8586.32</v>
      </c>
      <c r="D40" s="364"/>
      <c r="E40" s="365"/>
      <c r="F40" s="289"/>
      <c r="G40" s="251"/>
      <c r="H40" s="251"/>
      <c r="I40" s="251"/>
      <c r="J40" s="252"/>
      <c r="K40" s="249"/>
      <c r="L40" s="249"/>
      <c r="M40" s="249"/>
      <c r="N40" s="249"/>
      <c r="O40" s="249"/>
      <c r="P40" s="249"/>
      <c r="Q40" s="249"/>
    </row>
    <row r="41" spans="2:20" ht="14.4" x14ac:dyDescent="0.3">
      <c r="B41" s="75"/>
      <c r="C41" s="293"/>
      <c r="D41" s="293"/>
      <c r="E41" s="293"/>
      <c r="F41" s="289"/>
      <c r="G41" s="253"/>
      <c r="H41" s="253"/>
      <c r="I41" s="253"/>
      <c r="J41" s="254"/>
      <c r="K41" s="255"/>
      <c r="L41" s="255"/>
      <c r="M41" s="255"/>
      <c r="N41" s="255"/>
      <c r="O41" s="255"/>
      <c r="P41" s="255"/>
      <c r="Q41" s="255"/>
      <c r="R41" s="217"/>
      <c r="S41" s="217"/>
      <c r="T41" s="217"/>
    </row>
    <row r="42" spans="2:20" ht="14.4" x14ac:dyDescent="0.3">
      <c r="B42" s="80" t="s">
        <v>253</v>
      </c>
      <c r="C42" s="292"/>
      <c r="D42" s="292"/>
      <c r="E42" s="292"/>
      <c r="F42" s="291">
        <f>F43+F44</f>
        <v>362.75</v>
      </c>
      <c r="G42" s="253"/>
      <c r="H42" s="253"/>
      <c r="I42" s="253"/>
      <c r="J42" s="254"/>
      <c r="K42" s="255"/>
      <c r="L42" s="255"/>
      <c r="M42" s="255"/>
      <c r="N42" s="255"/>
      <c r="O42" s="255"/>
      <c r="P42" s="255"/>
      <c r="Q42" s="255"/>
      <c r="R42" s="217"/>
      <c r="S42" s="217"/>
      <c r="T42" s="217"/>
    </row>
    <row r="43" spans="2:20" ht="14.4" x14ac:dyDescent="0.3">
      <c r="B43" s="227" t="s">
        <v>242</v>
      </c>
      <c r="C43" s="294">
        <f>HPwES!F11</f>
        <v>287.25</v>
      </c>
      <c r="D43" s="294">
        <f>HPwES!G11</f>
        <v>0</v>
      </c>
      <c r="E43" s="294">
        <f>HPwES!H11</f>
        <v>0</v>
      </c>
      <c r="F43" s="287">
        <f>C43+D43+E43</f>
        <v>287.25</v>
      </c>
      <c r="G43" s="253"/>
      <c r="H43" s="253"/>
      <c r="I43" s="253"/>
      <c r="J43" s="254"/>
      <c r="K43" s="255"/>
      <c r="L43" s="255"/>
      <c r="M43" s="255"/>
      <c r="N43" s="255"/>
      <c r="O43" s="255"/>
      <c r="P43" s="255"/>
      <c r="Q43" s="255"/>
      <c r="R43" s="217"/>
      <c r="S43" s="217"/>
      <c r="T43" s="217"/>
    </row>
    <row r="44" spans="2:20" ht="14.4" x14ac:dyDescent="0.3">
      <c r="B44" s="227" t="s">
        <v>352</v>
      </c>
      <c r="C44" s="294">
        <f>'TEPF Potential'!F9</f>
        <v>0</v>
      </c>
      <c r="D44" s="294">
        <f>'TEPF Potential'!G9</f>
        <v>75.5</v>
      </c>
      <c r="E44" s="294">
        <f>'TEPF Potential'!H9</f>
        <v>0</v>
      </c>
      <c r="F44" s="287">
        <f>C44+D44+E44</f>
        <v>75.5</v>
      </c>
      <c r="G44" s="253"/>
      <c r="H44" s="253"/>
      <c r="I44" s="253"/>
      <c r="J44" s="254"/>
      <c r="K44" s="255"/>
      <c r="L44" s="255"/>
      <c r="M44" s="255"/>
      <c r="N44" s="255"/>
      <c r="O44" s="255"/>
      <c r="P44" s="255"/>
      <c r="Q44" s="255"/>
      <c r="R44" s="217"/>
      <c r="S44" s="217"/>
      <c r="T44" s="217"/>
    </row>
    <row r="45" spans="2:20" ht="14.4" x14ac:dyDescent="0.3">
      <c r="B45" s="231"/>
      <c r="C45" s="294"/>
      <c r="D45" s="294"/>
      <c r="E45" s="294"/>
      <c r="F45" s="287"/>
      <c r="G45" s="253"/>
      <c r="H45" s="253"/>
      <c r="I45" s="253"/>
      <c r="J45" s="254"/>
      <c r="K45" s="255"/>
      <c r="L45" s="255"/>
      <c r="M45" s="255"/>
      <c r="N45" s="255"/>
      <c r="O45" s="255"/>
      <c r="P45" s="255"/>
      <c r="Q45" s="255"/>
      <c r="R45" s="217"/>
      <c r="S45" s="217"/>
      <c r="T45" s="217"/>
    </row>
    <row r="46" spans="2:20" ht="14.4" x14ac:dyDescent="0.3">
      <c r="B46" s="80" t="s">
        <v>254</v>
      </c>
      <c r="C46" s="294"/>
      <c r="D46" s="294"/>
      <c r="E46" s="294"/>
      <c r="F46" s="288">
        <f>F48+F49+F47+F50</f>
        <v>207.47999999999996</v>
      </c>
      <c r="G46" s="253"/>
      <c r="H46" s="253"/>
      <c r="I46" s="253"/>
      <c r="J46" s="254"/>
      <c r="K46" s="255"/>
      <c r="L46" s="255"/>
      <c r="M46" s="255"/>
      <c r="N46" s="255"/>
      <c r="O46" s="255"/>
      <c r="P46" s="255"/>
      <c r="Q46" s="255"/>
      <c r="R46" s="217"/>
      <c r="S46" s="217"/>
      <c r="T46" s="217"/>
    </row>
    <row r="47" spans="2:20" ht="14.4" x14ac:dyDescent="0.3">
      <c r="B47" s="227" t="s">
        <v>246</v>
      </c>
      <c r="C47" s="293">
        <f>'Mkt Characterizations'!F9*0.12</f>
        <v>94.8</v>
      </c>
      <c r="D47" s="293">
        <f>'Mkt Characterizations'!G9*0.12</f>
        <v>0</v>
      </c>
      <c r="E47" s="293">
        <f>'Mkt Characterizations'!H9*0.12</f>
        <v>0</v>
      </c>
      <c r="F47" s="289">
        <f>SUM(C47:E47)</f>
        <v>94.8</v>
      </c>
      <c r="G47" s="253"/>
      <c r="H47" s="253"/>
      <c r="I47" s="253"/>
      <c r="J47" s="254"/>
      <c r="K47" s="255"/>
      <c r="L47" s="255"/>
      <c r="M47" s="255"/>
      <c r="N47" s="255"/>
      <c r="O47" s="255"/>
      <c r="P47" s="255"/>
      <c r="Q47" s="255"/>
      <c r="R47" s="217"/>
      <c r="S47" s="217"/>
      <c r="T47" s="217"/>
    </row>
    <row r="48" spans="2:20" ht="14.4" x14ac:dyDescent="0.3">
      <c r="B48" s="86" t="s">
        <v>247</v>
      </c>
      <c r="C48" s="293">
        <f>NRA!F10*0.12</f>
        <v>9.6</v>
      </c>
      <c r="D48" s="293">
        <f>NRA!G10*0.12</f>
        <v>24</v>
      </c>
      <c r="E48" s="293">
        <f>NRA!H10*0.12</f>
        <v>21.24</v>
      </c>
      <c r="F48" s="289">
        <f>SUM(C48:E48)</f>
        <v>54.84</v>
      </c>
      <c r="G48" s="253"/>
      <c r="H48" s="253"/>
      <c r="I48" s="253"/>
      <c r="J48" s="254"/>
      <c r="K48" s="255"/>
      <c r="L48" s="255"/>
      <c r="M48" s="255"/>
      <c r="N48" s="255"/>
      <c r="O48" s="255"/>
      <c r="P48" s="255"/>
      <c r="Q48" s="255"/>
      <c r="R48" s="217"/>
      <c r="S48" s="217"/>
      <c r="T48" s="217"/>
    </row>
    <row r="49" spans="2:20" ht="14.4" x14ac:dyDescent="0.3">
      <c r="B49" s="312" t="s">
        <v>248</v>
      </c>
      <c r="C49" s="313">
        <f>'Admin Efficiency'!F8*0.12</f>
        <v>0</v>
      </c>
      <c r="D49" s="313">
        <f>'Admin Efficiency'!G8*0.12</f>
        <v>20.82</v>
      </c>
      <c r="E49" s="313">
        <f>'Admin Efficiency'!H8*0.12</f>
        <v>0</v>
      </c>
      <c r="F49" s="314">
        <f>SUM(C49:E49)</f>
        <v>20.82</v>
      </c>
      <c r="G49" s="253"/>
      <c r="H49" s="253"/>
      <c r="I49" s="253"/>
      <c r="J49" s="254"/>
      <c r="K49" s="255"/>
      <c r="L49" s="255"/>
      <c r="M49" s="255"/>
      <c r="N49" s="255"/>
      <c r="O49" s="255"/>
      <c r="P49" s="255"/>
      <c r="Q49" s="255"/>
      <c r="R49" s="217"/>
      <c r="S49" s="217"/>
      <c r="T49" s="217"/>
    </row>
    <row r="50" spans="2:20" ht="14.4" x14ac:dyDescent="0.3">
      <c r="B50" s="315" t="s">
        <v>324</v>
      </c>
      <c r="C50" s="313">
        <f>OPA!F14*0.12</f>
        <v>37.019999999999996</v>
      </c>
      <c r="D50" s="313">
        <f>OPA!G14*0.12</f>
        <v>0</v>
      </c>
      <c r="E50" s="313">
        <f>OPA!H14*0.12</f>
        <v>0</v>
      </c>
      <c r="F50" s="314">
        <f>SUM(C50:E50)</f>
        <v>37.019999999999996</v>
      </c>
      <c r="G50" s="253"/>
      <c r="H50" s="253"/>
      <c r="I50" s="253"/>
      <c r="J50" s="254"/>
      <c r="K50" s="255"/>
      <c r="L50" s="255"/>
      <c r="M50" s="255"/>
      <c r="N50" s="255"/>
      <c r="O50" s="255"/>
      <c r="P50" s="255"/>
      <c r="Q50" s="255"/>
      <c r="R50" s="217"/>
      <c r="S50" s="217"/>
      <c r="T50" s="217"/>
    </row>
    <row r="51" spans="2:20" ht="14.4" x14ac:dyDescent="0.3">
      <c r="B51" s="78"/>
      <c r="C51" s="293"/>
      <c r="D51" s="293"/>
      <c r="E51" s="293"/>
      <c r="F51" s="289"/>
      <c r="G51" s="253"/>
      <c r="H51" s="253"/>
      <c r="I51" s="253"/>
      <c r="J51" s="254"/>
      <c r="K51" s="255"/>
      <c r="L51" s="255"/>
      <c r="M51" s="255"/>
      <c r="N51" s="255"/>
      <c r="O51" s="255"/>
      <c r="P51" s="255"/>
      <c r="Q51" s="255"/>
      <c r="R51" s="217"/>
      <c r="S51" s="217"/>
      <c r="T51" s="217"/>
    </row>
    <row r="52" spans="2:20" ht="14.4" x14ac:dyDescent="0.3">
      <c r="B52" s="80" t="s">
        <v>257</v>
      </c>
      <c r="C52" s="293"/>
      <c r="D52" s="293"/>
      <c r="E52" s="293"/>
      <c r="F52" s="291">
        <f>F53+F54</f>
        <v>142.80000000000001</v>
      </c>
      <c r="G52" s="253"/>
      <c r="H52" s="253"/>
      <c r="I52" s="253"/>
      <c r="J52" s="254"/>
      <c r="K52" s="255"/>
      <c r="L52" s="255"/>
      <c r="M52" s="255"/>
      <c r="N52" s="255"/>
      <c r="O52" s="255"/>
      <c r="P52" s="255"/>
      <c r="Q52" s="255"/>
      <c r="R52" s="217"/>
      <c r="S52" s="217"/>
      <c r="T52" s="217"/>
    </row>
    <row r="53" spans="2:20" ht="14.4" x14ac:dyDescent="0.3">
      <c r="B53" s="86" t="s">
        <v>249</v>
      </c>
      <c r="C53" s="294">
        <f>'Plan&amp;Mgmt'!C11*0.12</f>
        <v>25.2</v>
      </c>
      <c r="D53" s="294">
        <f>'Plan&amp;Mgmt'!D11*0.12</f>
        <v>25.2</v>
      </c>
      <c r="E53" s="294">
        <f>'Plan&amp;Mgmt'!E11*0.12</f>
        <v>42</v>
      </c>
      <c r="F53" s="287">
        <f>SUM(C53:E53)</f>
        <v>92.4</v>
      </c>
      <c r="G53" s="253"/>
      <c r="H53" s="253"/>
      <c r="I53" s="253"/>
      <c r="J53" s="254"/>
      <c r="K53" s="255"/>
      <c r="L53" s="255"/>
      <c r="M53" s="255"/>
      <c r="N53" s="255"/>
      <c r="O53" s="255"/>
      <c r="P53" s="255"/>
      <c r="Q53" s="255"/>
      <c r="R53" s="217"/>
      <c r="S53" s="217"/>
      <c r="T53" s="217"/>
    </row>
    <row r="54" spans="2:20" ht="14.4" x14ac:dyDescent="0.3">
      <c r="B54" s="113" t="s">
        <v>271</v>
      </c>
      <c r="C54" s="294">
        <f>'Plan&amp;Mgmt'!D50*0.12</f>
        <v>16.8</v>
      </c>
      <c r="D54" s="294">
        <f>'Plan&amp;Mgmt'!E50*0.12</f>
        <v>16.8</v>
      </c>
      <c r="E54" s="294">
        <f>'Plan&amp;Mgmt'!F50*0.12</f>
        <v>16.8</v>
      </c>
      <c r="F54" s="287">
        <f>SUM(C54:E54)</f>
        <v>50.400000000000006</v>
      </c>
      <c r="G54" s="253"/>
      <c r="H54" s="253"/>
      <c r="I54" s="253"/>
      <c r="J54" s="254"/>
      <c r="K54" s="255"/>
      <c r="L54" s="255"/>
      <c r="M54" s="255"/>
      <c r="N54" s="255"/>
      <c r="O54" s="255"/>
      <c r="P54" s="255"/>
      <c r="Q54" s="255"/>
      <c r="R54" s="217"/>
      <c r="S54" s="217"/>
      <c r="T54" s="217"/>
    </row>
    <row r="55" spans="2:20" ht="14.4" x14ac:dyDescent="0.3">
      <c r="B55" s="231"/>
      <c r="C55" s="294"/>
      <c r="D55" s="294"/>
      <c r="E55" s="294"/>
      <c r="F55" s="287"/>
      <c r="G55" s="253"/>
      <c r="H55" s="253"/>
      <c r="I55" s="253"/>
      <c r="J55" s="254"/>
      <c r="K55" s="255"/>
      <c r="L55" s="255"/>
      <c r="M55" s="255"/>
      <c r="N55" s="255"/>
      <c r="O55" s="255"/>
      <c r="P55" s="255"/>
      <c r="Q55" s="255"/>
      <c r="R55" s="217"/>
      <c r="S55" s="217"/>
      <c r="T55" s="217"/>
    </row>
    <row r="56" spans="2:20" ht="14.4" x14ac:dyDescent="0.3">
      <c r="B56" s="80" t="s">
        <v>258</v>
      </c>
      <c r="C56" s="285">
        <v>0</v>
      </c>
      <c r="D56" s="285">
        <v>0</v>
      </c>
      <c r="E56" s="285">
        <v>0</v>
      </c>
      <c r="F56" s="288">
        <f>SUM(C56:E56)</f>
        <v>0</v>
      </c>
      <c r="G56" s="253"/>
      <c r="H56" s="253"/>
      <c r="I56" s="258"/>
      <c r="J56" s="254"/>
      <c r="K56" s="255"/>
      <c r="L56" s="255"/>
      <c r="M56" s="255"/>
      <c r="N56" s="255"/>
      <c r="O56" s="255"/>
      <c r="P56" s="255"/>
      <c r="Q56" s="255"/>
      <c r="R56" s="217"/>
      <c r="S56" s="217"/>
      <c r="T56" s="217"/>
    </row>
    <row r="57" spans="2:20" ht="14.25" customHeight="1" x14ac:dyDescent="0.25">
      <c r="B57" s="184" t="s">
        <v>263</v>
      </c>
      <c r="C57" s="229">
        <f>SUM(C42:C56)</f>
        <v>470.67</v>
      </c>
      <c r="D57" s="229">
        <f>SUM(D42:D56)</f>
        <v>162.32</v>
      </c>
      <c r="E57" s="229">
        <f>SUM(E42:E56)</f>
        <v>80.039999999999992</v>
      </c>
      <c r="F57" s="289"/>
      <c r="G57" s="248"/>
      <c r="H57" s="250"/>
      <c r="I57" s="250"/>
      <c r="J57" s="250"/>
      <c r="K57" s="255"/>
      <c r="L57" s="255"/>
      <c r="M57" s="255"/>
      <c r="N57" s="255"/>
      <c r="O57" s="255"/>
      <c r="P57" s="255"/>
      <c r="Q57" s="255"/>
      <c r="R57" s="217"/>
      <c r="S57" s="217"/>
      <c r="T57" s="217"/>
    </row>
    <row r="58" spans="2:20" ht="14.4" x14ac:dyDescent="0.3">
      <c r="B58" s="114" t="s">
        <v>341</v>
      </c>
      <c r="C58" s="357">
        <f>F42+F46+F52+F56</f>
        <v>713.03</v>
      </c>
      <c r="D58" s="358"/>
      <c r="E58" s="359"/>
      <c r="F58" s="287"/>
      <c r="G58" s="253"/>
      <c r="H58" s="253"/>
      <c r="I58" s="253"/>
      <c r="J58" s="254"/>
      <c r="K58" s="255"/>
      <c r="L58" s="255"/>
      <c r="M58" s="255"/>
      <c r="N58" s="255"/>
      <c r="O58" s="255"/>
      <c r="P58" s="255"/>
      <c r="Q58" s="255"/>
      <c r="R58" s="217"/>
      <c r="S58" s="217"/>
      <c r="T58" s="217"/>
    </row>
    <row r="59" spans="2:20" ht="14.4" x14ac:dyDescent="0.3">
      <c r="B59" s="80"/>
      <c r="C59" s="229"/>
      <c r="D59" s="229"/>
      <c r="E59" s="229"/>
      <c r="F59" s="289"/>
      <c r="G59" s="253"/>
      <c r="H59" s="253"/>
      <c r="I59" s="253"/>
      <c r="J59" s="256"/>
      <c r="K59" s="255"/>
      <c r="L59" s="255"/>
      <c r="M59" s="255"/>
      <c r="N59" s="255"/>
      <c r="O59" s="255"/>
      <c r="P59" s="255"/>
      <c r="Q59" s="255"/>
      <c r="R59" s="217"/>
      <c r="S59" s="217"/>
      <c r="T59" s="217"/>
    </row>
    <row r="60" spans="2:20" ht="14.4" x14ac:dyDescent="0.3">
      <c r="B60" s="80" t="s">
        <v>89</v>
      </c>
      <c r="C60" s="292"/>
      <c r="D60" s="292"/>
      <c r="E60" s="292"/>
      <c r="F60" s="291">
        <f>F61+F62</f>
        <v>2018</v>
      </c>
      <c r="G60" s="251"/>
      <c r="H60" s="251"/>
      <c r="I60" s="251"/>
      <c r="J60" s="252"/>
      <c r="K60" s="255"/>
      <c r="L60" s="255"/>
      <c r="M60" s="255"/>
      <c r="N60" s="255"/>
      <c r="O60" s="255"/>
      <c r="P60" s="255"/>
      <c r="Q60" s="255"/>
    </row>
    <row r="61" spans="2:20" ht="14.4" x14ac:dyDescent="0.3">
      <c r="B61" s="211" t="s">
        <v>243</v>
      </c>
      <c r="C61" s="294">
        <f>SVFCM!F9</f>
        <v>671</v>
      </c>
      <c r="D61" s="294">
        <f>SVFCM!G9</f>
        <v>610</v>
      </c>
      <c r="E61" s="294">
        <f>SVFCM!H9</f>
        <v>671</v>
      </c>
      <c r="F61" s="287">
        <f>C61+D61+E61</f>
        <v>1952</v>
      </c>
      <c r="G61" s="245"/>
      <c r="H61" s="245"/>
      <c r="I61" s="245"/>
      <c r="J61" s="252"/>
      <c r="K61" s="255"/>
      <c r="L61" s="255"/>
      <c r="M61" s="255"/>
      <c r="N61" s="255"/>
      <c r="O61" s="255"/>
      <c r="P61" s="255"/>
      <c r="Q61" s="255"/>
    </row>
    <row r="62" spans="2:20" ht="14.4" x14ac:dyDescent="0.3">
      <c r="B62" s="227" t="s">
        <v>269</v>
      </c>
      <c r="C62" s="294">
        <f>Regional!F8*0.25</f>
        <v>22</v>
      </c>
      <c r="D62" s="294">
        <f>Regional!G8*0.25</f>
        <v>22</v>
      </c>
      <c r="E62" s="294">
        <f>Regional!H8*0.25</f>
        <v>22</v>
      </c>
      <c r="F62" s="287">
        <f>C62+D62+E62</f>
        <v>66</v>
      </c>
      <c r="G62" s="251"/>
      <c r="H62" s="251"/>
      <c r="I62" s="251"/>
      <c r="J62" s="252"/>
      <c r="K62" s="255"/>
      <c r="L62" s="255"/>
      <c r="M62" s="255"/>
      <c r="N62" s="255"/>
      <c r="O62" s="255"/>
      <c r="P62" s="255"/>
      <c r="Q62" s="255"/>
    </row>
    <row r="63" spans="2:20" x14ac:dyDescent="0.25">
      <c r="B63" s="184" t="s">
        <v>264</v>
      </c>
      <c r="C63" s="229">
        <f>SUM(C61:C62)</f>
        <v>693</v>
      </c>
      <c r="D63" s="229">
        <f>SUM(D61:D62)</f>
        <v>632</v>
      </c>
      <c r="E63" s="229">
        <f>SUM(E61:E62)</f>
        <v>693</v>
      </c>
      <c r="F63" s="289"/>
      <c r="G63" s="248"/>
      <c r="H63" s="248"/>
      <c r="I63" s="248"/>
      <c r="J63" s="248"/>
      <c r="K63" s="255"/>
      <c r="L63" s="255"/>
      <c r="M63" s="255"/>
      <c r="N63" s="255"/>
      <c r="O63" s="255"/>
      <c r="P63" s="255"/>
      <c r="Q63" s="255"/>
    </row>
    <row r="64" spans="2:20" s="261" customFormat="1" x14ac:dyDescent="0.25">
      <c r="B64" s="114" t="s">
        <v>343</v>
      </c>
      <c r="C64" s="357">
        <f>F60</f>
        <v>2018</v>
      </c>
      <c r="D64" s="358"/>
      <c r="E64" s="359"/>
      <c r="F64" s="287"/>
      <c r="G64" s="248"/>
      <c r="H64" s="248"/>
      <c r="I64" s="248"/>
      <c r="J64" s="248"/>
      <c r="K64" s="255"/>
      <c r="L64" s="255"/>
      <c r="M64" s="255"/>
      <c r="N64" s="255"/>
      <c r="O64" s="255"/>
      <c r="P64" s="255"/>
      <c r="Q64" s="255"/>
    </row>
    <row r="65" spans="1:17" ht="14.4" x14ac:dyDescent="0.3">
      <c r="A65" s="217" t="s">
        <v>146</v>
      </c>
      <c r="B65" s="247"/>
      <c r="C65" s="262"/>
      <c r="D65" s="262"/>
      <c r="E65" s="262"/>
      <c r="F65" s="263"/>
      <c r="G65" s="31"/>
      <c r="H65" s="31"/>
      <c r="I65" s="31"/>
      <c r="J65" s="31"/>
      <c r="K65" s="31"/>
      <c r="L65" s="31"/>
      <c r="M65" s="31"/>
      <c r="N65" s="31"/>
      <c r="O65" s="31"/>
      <c r="P65" s="31"/>
      <c r="Q65" s="31"/>
    </row>
    <row r="66" spans="1:17" x14ac:dyDescent="0.25">
      <c r="A66" s="257" t="s">
        <v>244</v>
      </c>
      <c r="G66" s="31"/>
      <c r="H66" s="31"/>
      <c r="I66" s="31"/>
      <c r="J66" s="31"/>
      <c r="K66" s="31"/>
      <c r="L66" s="31"/>
      <c r="M66" s="31"/>
      <c r="N66" s="31"/>
      <c r="O66" s="31"/>
      <c r="P66" s="31"/>
      <c r="Q66" s="31"/>
    </row>
    <row r="67" spans="1:17" x14ac:dyDescent="0.25">
      <c r="A67" s="273">
        <v>1</v>
      </c>
      <c r="B67" s="4" t="s">
        <v>261</v>
      </c>
      <c r="G67" s="31"/>
      <c r="H67" s="31"/>
      <c r="I67" s="31"/>
      <c r="J67" s="31"/>
      <c r="K67" s="31"/>
      <c r="L67" s="31"/>
      <c r="M67" s="31"/>
      <c r="N67" s="31"/>
      <c r="O67" s="31"/>
      <c r="P67" s="31"/>
      <c r="Q67" s="31"/>
    </row>
    <row r="68" spans="1:17" x14ac:dyDescent="0.25">
      <c r="A68" s="273">
        <v>2</v>
      </c>
      <c r="B68" s="4" t="s">
        <v>278</v>
      </c>
      <c r="G68" s="31"/>
      <c r="H68" s="31"/>
      <c r="I68" s="31"/>
      <c r="J68" s="31"/>
      <c r="K68" s="31"/>
      <c r="L68" s="31"/>
      <c r="M68" s="31"/>
      <c r="N68" s="31"/>
      <c r="O68" s="31"/>
      <c r="P68" s="31"/>
      <c r="Q68" s="31"/>
    </row>
    <row r="69" spans="1:17" x14ac:dyDescent="0.25">
      <c r="A69" s="273">
        <v>3</v>
      </c>
      <c r="B69" s="4" t="s">
        <v>273</v>
      </c>
      <c r="G69" s="32"/>
      <c r="H69" s="31"/>
      <c r="I69" s="31"/>
      <c r="J69" s="31"/>
      <c r="K69" s="31"/>
      <c r="L69" s="31"/>
      <c r="M69" s="31"/>
      <c r="N69" s="31"/>
      <c r="O69" s="31"/>
      <c r="P69" s="31"/>
      <c r="Q69" s="31"/>
    </row>
    <row r="70" spans="1:17" x14ac:dyDescent="0.25">
      <c r="A70" s="234"/>
      <c r="B70" s="4" t="s">
        <v>276</v>
      </c>
    </row>
    <row r="71" spans="1:17" x14ac:dyDescent="0.25">
      <c r="A71" s="234"/>
    </row>
    <row r="72" spans="1:17" x14ac:dyDescent="0.25">
      <c r="A72" s="234"/>
    </row>
    <row r="73" spans="1:17" x14ac:dyDescent="0.25">
      <c r="A73" s="234"/>
    </row>
    <row r="74" spans="1:17" x14ac:dyDescent="0.25">
      <c r="A74" s="234"/>
    </row>
  </sheetData>
  <mergeCells count="5">
    <mergeCell ref="C4:F4"/>
    <mergeCell ref="C58:E58"/>
    <mergeCell ref="C64:E64"/>
    <mergeCell ref="C13:F13"/>
    <mergeCell ref="C40:E40"/>
  </mergeCells>
  <phoneticPr fontId="18" type="noConversion"/>
  <pageMargins left="0.43" right="0.54" top="0.51" bottom="1" header="0.5" footer="0.5"/>
  <pageSetup scale="72"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B1:U38"/>
  <sheetViews>
    <sheetView zoomScaleNormal="130" workbookViewId="0">
      <selection activeCell="L47" sqref="L47"/>
    </sheetView>
  </sheetViews>
  <sheetFormatPr defaultColWidth="9.109375" defaultRowHeight="10.199999999999999" x14ac:dyDescent="0.2"/>
  <cols>
    <col min="1" max="1" width="3.109375" style="10" customWidth="1"/>
    <col min="2" max="3" width="9.109375" style="10"/>
    <col min="4" max="4" width="8.44140625" style="10" customWidth="1"/>
    <col min="5" max="5" width="23.44140625" style="10" customWidth="1"/>
    <col min="6" max="6" width="9.6640625" style="10" customWidth="1"/>
    <col min="7" max="7" width="9.5546875" style="10" bestFit="1" customWidth="1"/>
    <col min="8" max="8" width="9.88671875" style="10" bestFit="1" customWidth="1"/>
    <col min="9" max="9" width="10" style="10" customWidth="1"/>
    <col min="10" max="19" width="9.109375" style="10"/>
    <col min="20" max="20" width="13.109375" style="10" customWidth="1"/>
    <col min="21" max="21" width="15.44140625" style="10" customWidth="1"/>
    <col min="22" max="16384" width="9.109375" style="10"/>
  </cols>
  <sheetData>
    <row r="1" spans="2:17" ht="13.8" x14ac:dyDescent="0.25">
      <c r="B1" s="298" t="s">
        <v>279</v>
      </c>
    </row>
    <row r="3" spans="2:17" x14ac:dyDescent="0.2">
      <c r="B3" s="10" t="s">
        <v>310</v>
      </c>
      <c r="E3" s="10" t="s">
        <v>13</v>
      </c>
      <c r="F3" s="10" t="s">
        <v>14</v>
      </c>
    </row>
    <row r="4" spans="2:17" x14ac:dyDescent="0.2">
      <c r="B4" s="366" t="s">
        <v>8</v>
      </c>
      <c r="C4" s="366"/>
      <c r="D4" s="366"/>
      <c r="E4" s="366"/>
      <c r="F4" s="366"/>
      <c r="G4" s="366"/>
      <c r="H4" s="366"/>
      <c r="I4" s="366"/>
    </row>
    <row r="5" spans="2:17" x14ac:dyDescent="0.2">
      <c r="B5" s="376"/>
      <c r="C5" s="377"/>
      <c r="D5" s="377"/>
      <c r="E5" s="378"/>
      <c r="F5" s="8">
        <v>2015</v>
      </c>
      <c r="G5" s="8">
        <v>2016</v>
      </c>
      <c r="H5" s="8">
        <v>2017</v>
      </c>
      <c r="I5" s="8" t="s">
        <v>3</v>
      </c>
      <c r="J5" s="10" t="s">
        <v>5</v>
      </c>
    </row>
    <row r="6" spans="2:17" x14ac:dyDescent="0.2">
      <c r="B6" s="370" t="s">
        <v>184</v>
      </c>
      <c r="C6" s="370"/>
      <c r="D6" s="370"/>
      <c r="E6" s="370"/>
      <c r="F6" s="8">
        <f>'RFP-Contract Process Assump'!$C$9</f>
        <v>61</v>
      </c>
      <c r="G6" s="8"/>
      <c r="H6" s="8">
        <f>'RFP-Contract Process Assump'!$C$9</f>
        <v>61</v>
      </c>
      <c r="I6" s="8">
        <f>SUM(F6:H6)</f>
        <v>122</v>
      </c>
      <c r="J6" s="10" t="s">
        <v>28</v>
      </c>
    </row>
    <row r="7" spans="2:17" x14ac:dyDescent="0.2">
      <c r="B7" s="370" t="s">
        <v>19</v>
      </c>
      <c r="C7" s="370"/>
      <c r="D7" s="370"/>
      <c r="E7" s="370"/>
      <c r="F7" s="8">
        <f>8*45</f>
        <v>360</v>
      </c>
      <c r="G7" s="8">
        <f>8*45</f>
        <v>360</v>
      </c>
      <c r="H7" s="8">
        <f>8*45</f>
        <v>360</v>
      </c>
      <c r="I7" s="8">
        <f>SUM(F7:H7)</f>
        <v>1080</v>
      </c>
      <c r="J7" s="10" t="s">
        <v>312</v>
      </c>
    </row>
    <row r="8" spans="2:17" x14ac:dyDescent="0.2">
      <c r="B8" s="370" t="s">
        <v>293</v>
      </c>
      <c r="C8" s="370"/>
      <c r="D8" s="370"/>
      <c r="E8" s="370"/>
      <c r="F8" s="8">
        <f>25*10</f>
        <v>250</v>
      </c>
      <c r="G8" s="8">
        <f>25*10</f>
        <v>250</v>
      </c>
      <c r="H8" s="8">
        <f>25*10</f>
        <v>250</v>
      </c>
      <c r="I8" s="8">
        <f>SUM(F8:H8)</f>
        <v>750</v>
      </c>
      <c r="J8" s="10" t="s">
        <v>294</v>
      </c>
    </row>
    <row r="9" spans="2:17" x14ac:dyDescent="0.2">
      <c r="B9" s="372" t="s">
        <v>10</v>
      </c>
      <c r="C9" s="372"/>
      <c r="D9" s="372"/>
      <c r="E9" s="372"/>
      <c r="F9" s="9">
        <f>SUM(F6:F8)</f>
        <v>671</v>
      </c>
      <c r="G9" s="9">
        <f>SUM(G6:G8)</f>
        <v>610</v>
      </c>
      <c r="H9" s="9">
        <f>SUM(H6:H8)</f>
        <v>671</v>
      </c>
      <c r="I9" s="9">
        <f>SUM(F9:H9)</f>
        <v>1952</v>
      </c>
      <c r="J9" s="367" t="s">
        <v>280</v>
      </c>
      <c r="K9" s="367"/>
      <c r="L9" s="367"/>
      <c r="M9" s="367"/>
      <c r="N9" s="367"/>
      <c r="O9" s="367"/>
      <c r="P9" s="367"/>
    </row>
    <row r="10" spans="2:17" x14ac:dyDescent="0.2">
      <c r="E10" s="10" t="s">
        <v>16</v>
      </c>
      <c r="F10" s="16">
        <f>F9*'Staff rate assump'!B10</f>
        <v>32134.19</v>
      </c>
      <c r="G10" s="16">
        <f>G9*'Staff rate assump'!C10</f>
        <v>30384.100000000002</v>
      </c>
      <c r="H10" s="16">
        <f>H9*'Staff rate assump'!D10</f>
        <v>34757.799999999996</v>
      </c>
      <c r="I10" s="17">
        <f>SUM(F10:H10)</f>
        <v>97276.09</v>
      </c>
      <c r="J10" s="367"/>
      <c r="K10" s="367"/>
      <c r="L10" s="367"/>
      <c r="M10" s="367"/>
      <c r="N10" s="367"/>
      <c r="O10" s="367"/>
      <c r="P10" s="367"/>
    </row>
    <row r="12" spans="2:17" x14ac:dyDescent="0.2">
      <c r="I12" s="10" t="s">
        <v>3</v>
      </c>
      <c r="J12" s="10" t="s">
        <v>5</v>
      </c>
    </row>
    <row r="13" spans="2:17" x14ac:dyDescent="0.2">
      <c r="B13" s="371" t="s">
        <v>235</v>
      </c>
      <c r="C13" s="371"/>
      <c r="D13" s="371"/>
      <c r="E13" s="371"/>
      <c r="F13" s="11">
        <v>600000</v>
      </c>
      <c r="G13" s="12">
        <v>525000</v>
      </c>
      <c r="H13" s="12">
        <v>600000</v>
      </c>
      <c r="I13" s="13">
        <f>SUM(F13:H13)</f>
        <v>1725000</v>
      </c>
      <c r="J13" s="10" t="s">
        <v>237</v>
      </c>
    </row>
    <row r="14" spans="2:17" x14ac:dyDescent="0.2">
      <c r="L14" s="25"/>
      <c r="M14" s="25"/>
      <c r="N14" s="25"/>
      <c r="O14" s="25"/>
    </row>
    <row r="15" spans="2:17" x14ac:dyDescent="0.2">
      <c r="E15" s="14" t="s">
        <v>15</v>
      </c>
      <c r="F15" s="12">
        <f>F13+F10</f>
        <v>632134.18999999994</v>
      </c>
      <c r="G15" s="12">
        <f>G13+G10</f>
        <v>555384.1</v>
      </c>
      <c r="H15" s="12">
        <f>H13+H10</f>
        <v>634757.80000000005</v>
      </c>
      <c r="I15" s="15">
        <f>I13+I10</f>
        <v>1822276.09</v>
      </c>
      <c r="Q15" s="25"/>
    </row>
    <row r="16" spans="2:17" x14ac:dyDescent="0.2">
      <c r="N16" s="72" t="s">
        <v>11</v>
      </c>
      <c r="O16" s="72"/>
      <c r="P16" s="72"/>
      <c r="Q16" s="25"/>
    </row>
    <row r="17" spans="2:21" x14ac:dyDescent="0.2">
      <c r="M17" s="10">
        <v>2013</v>
      </c>
      <c r="N17" s="72">
        <v>2015</v>
      </c>
      <c r="O17" s="72">
        <v>2016</v>
      </c>
      <c r="P17" s="72">
        <v>2017</v>
      </c>
      <c r="Q17" s="25"/>
      <c r="T17" s="219"/>
      <c r="U17" s="219"/>
    </row>
    <row r="18" spans="2:21" x14ac:dyDescent="0.2">
      <c r="J18" s="30"/>
      <c r="M18" s="10">
        <v>145</v>
      </c>
      <c r="N18" s="96">
        <f>M18*Q23</f>
        <v>147.9</v>
      </c>
      <c r="O18" s="96">
        <f>N18*Q23</f>
        <v>150.858</v>
      </c>
      <c r="P18" s="96">
        <f>O18*Q23</f>
        <v>153.87515999999999</v>
      </c>
      <c r="Q18" s="25"/>
    </row>
    <row r="20" spans="2:21" x14ac:dyDescent="0.2">
      <c r="B20" s="10" t="s">
        <v>310</v>
      </c>
      <c r="E20" s="10" t="s">
        <v>17</v>
      </c>
      <c r="F20" s="10" t="s">
        <v>18</v>
      </c>
    </row>
    <row r="21" spans="2:21" x14ac:dyDescent="0.2">
      <c r="B21" s="366" t="s">
        <v>8</v>
      </c>
      <c r="C21" s="366"/>
      <c r="D21" s="366"/>
      <c r="E21" s="366"/>
      <c r="F21" s="366"/>
      <c r="G21" s="366"/>
      <c r="H21" s="366"/>
      <c r="I21" s="366"/>
    </row>
    <row r="22" spans="2:21" x14ac:dyDescent="0.2">
      <c r="B22" s="376"/>
      <c r="C22" s="377"/>
      <c r="D22" s="377"/>
      <c r="E22" s="378"/>
      <c r="F22" s="8">
        <v>2015</v>
      </c>
      <c r="G22" s="8">
        <v>2016</v>
      </c>
      <c r="H22" s="8">
        <v>2017</v>
      </c>
      <c r="I22" s="8" t="s">
        <v>3</v>
      </c>
      <c r="Q22" s="10" t="s">
        <v>12</v>
      </c>
    </row>
    <row r="23" spans="2:21" x14ac:dyDescent="0.2">
      <c r="B23" s="370" t="s">
        <v>184</v>
      </c>
      <c r="C23" s="370"/>
      <c r="D23" s="370"/>
      <c r="E23" s="370"/>
      <c r="F23" s="8">
        <f>'RFP-Contract Process Assump'!$C$9</f>
        <v>61</v>
      </c>
      <c r="G23" s="8"/>
      <c r="H23" s="8">
        <f>'RFP-Contract Process Assump'!$C$9</f>
        <v>61</v>
      </c>
      <c r="I23" s="8">
        <f>SUM(F23:H23)</f>
        <v>122</v>
      </c>
      <c r="J23" s="10" t="s">
        <v>28</v>
      </c>
      <c r="Q23" s="10">
        <v>1.02</v>
      </c>
    </row>
    <row r="24" spans="2:21" x14ac:dyDescent="0.2">
      <c r="B24" s="370" t="s">
        <v>20</v>
      </c>
      <c r="C24" s="370"/>
      <c r="D24" s="370"/>
      <c r="E24" s="370"/>
      <c r="F24" s="8">
        <f>3*15+2*8</f>
        <v>61</v>
      </c>
      <c r="G24" s="8">
        <f>3*15+2*8</f>
        <v>61</v>
      </c>
      <c r="H24" s="8">
        <f>3*15+2*8</f>
        <v>61</v>
      </c>
      <c r="I24" s="8">
        <f>SUM(F24:H24)</f>
        <v>183</v>
      </c>
      <c r="J24" s="10" t="s">
        <v>29</v>
      </c>
    </row>
    <row r="25" spans="2:21" x14ac:dyDescent="0.2">
      <c r="B25" s="370" t="s">
        <v>293</v>
      </c>
      <c r="C25" s="370"/>
      <c r="D25" s="370"/>
      <c r="E25" s="370"/>
      <c r="F25" s="8">
        <f>10*15</f>
        <v>150</v>
      </c>
      <c r="G25" s="8">
        <f>10*15</f>
        <v>150</v>
      </c>
      <c r="H25" s="8">
        <f>10*15</f>
        <v>150</v>
      </c>
      <c r="I25" s="8">
        <f>SUM(F25:H25)</f>
        <v>450</v>
      </c>
      <c r="J25" s="10" t="s">
        <v>295</v>
      </c>
    </row>
    <row r="26" spans="2:21" x14ac:dyDescent="0.2">
      <c r="B26" s="370" t="s">
        <v>228</v>
      </c>
      <c r="C26" s="370"/>
      <c r="D26" s="370"/>
      <c r="E26" s="370"/>
      <c r="F26" s="8">
        <v>40</v>
      </c>
      <c r="G26" s="8">
        <v>40</v>
      </c>
      <c r="H26" s="8">
        <v>40</v>
      </c>
      <c r="I26" s="8">
        <f>SUM(F26:H26)</f>
        <v>120</v>
      </c>
      <c r="J26" s="10" t="s">
        <v>229</v>
      </c>
    </row>
    <row r="27" spans="2:21" x14ac:dyDescent="0.2">
      <c r="B27" s="372" t="s">
        <v>10</v>
      </c>
      <c r="C27" s="372"/>
      <c r="D27" s="372"/>
      <c r="E27" s="372"/>
      <c r="F27" s="9">
        <f>SUM(F23:F26)</f>
        <v>312</v>
      </c>
      <c r="G27" s="9">
        <f>SUM(G23:G26)</f>
        <v>251</v>
      </c>
      <c r="H27" s="9">
        <f>SUM(H23:H26)</f>
        <v>312</v>
      </c>
      <c r="I27" s="9">
        <f>SUM(I23:I26)</f>
        <v>875</v>
      </c>
    </row>
    <row r="28" spans="2:21" x14ac:dyDescent="0.2">
      <c r="E28" s="10" t="s">
        <v>16</v>
      </c>
      <c r="F28" s="16">
        <f>F27*'Staff rate assump'!B10</f>
        <v>14941.68</v>
      </c>
      <c r="G28" s="16">
        <f>G27*'Staff rate assump'!C10</f>
        <v>12502.310000000001</v>
      </c>
      <c r="H28" s="16">
        <f>H27*'Staff rate assump'!D10</f>
        <v>16161.599999999999</v>
      </c>
      <c r="I28" s="17">
        <f>SUM(F28:H28)</f>
        <v>43605.59</v>
      </c>
    </row>
    <row r="29" spans="2:21" x14ac:dyDescent="0.2">
      <c r="I29" s="10" t="s">
        <v>3</v>
      </c>
    </row>
    <row r="30" spans="2:21" ht="11.25" customHeight="1" x14ac:dyDescent="0.2">
      <c r="B30" s="373" t="s">
        <v>296</v>
      </c>
      <c r="C30" s="374"/>
      <c r="D30" s="374"/>
      <c r="E30" s="375"/>
      <c r="F30" s="84">
        <f>161933*1.02</f>
        <v>165171.66</v>
      </c>
      <c r="G30" s="84">
        <f>F30*1.02</f>
        <v>168475.0932</v>
      </c>
      <c r="H30" s="84">
        <f>G30*1.02</f>
        <v>171844.59506399999</v>
      </c>
      <c r="I30" s="85">
        <f>SUM(F30:H30)</f>
        <v>505491.34826400003</v>
      </c>
      <c r="J30" s="367" t="s">
        <v>297</v>
      </c>
      <c r="K30" s="367"/>
      <c r="L30" s="367"/>
      <c r="M30" s="367"/>
      <c r="N30" s="367"/>
      <c r="O30" s="367"/>
      <c r="P30" s="367"/>
      <c r="Q30" s="367"/>
    </row>
    <row r="31" spans="2:21" x14ac:dyDescent="0.2">
      <c r="B31" s="18"/>
      <c r="C31" s="18"/>
      <c r="D31" s="18"/>
      <c r="E31" s="18"/>
      <c r="F31" s="18"/>
      <c r="G31" s="18"/>
      <c r="H31" s="18"/>
      <c r="I31" s="18"/>
      <c r="J31" s="367"/>
      <c r="K31" s="367"/>
      <c r="L31" s="367"/>
      <c r="M31" s="367"/>
      <c r="N31" s="367"/>
      <c r="O31" s="367"/>
      <c r="P31" s="367"/>
      <c r="Q31" s="367"/>
    </row>
    <row r="32" spans="2:21" x14ac:dyDescent="0.2">
      <c r="C32" s="371" t="s">
        <v>236</v>
      </c>
      <c r="D32" s="371"/>
      <c r="E32" s="371"/>
      <c r="F32" s="15">
        <f>F30+F28</f>
        <v>180113.34</v>
      </c>
      <c r="G32" s="15">
        <f>G30+G28</f>
        <v>180977.4032</v>
      </c>
      <c r="H32" s="15">
        <f>H30+H28</f>
        <v>188006.195064</v>
      </c>
      <c r="I32" s="15">
        <f>SUM(F32:H32)</f>
        <v>549096.938264</v>
      </c>
    </row>
    <row r="34" spans="2:17" ht="12.75" customHeight="1" x14ac:dyDescent="0.2">
      <c r="F34" s="10">
        <v>2015</v>
      </c>
      <c r="G34" s="10">
        <v>2016</v>
      </c>
      <c r="H34" s="10">
        <v>2017</v>
      </c>
      <c r="I34" s="10" t="s">
        <v>3</v>
      </c>
    </row>
    <row r="35" spans="2:17" x14ac:dyDescent="0.2">
      <c r="B35" s="369" t="s">
        <v>298</v>
      </c>
      <c r="C35" s="369"/>
      <c r="D35" s="369"/>
      <c r="E35" s="207"/>
      <c r="F35" s="74">
        <v>20000</v>
      </c>
      <c r="G35" s="74">
        <v>20000</v>
      </c>
      <c r="H35" s="72">
        <v>20000</v>
      </c>
      <c r="I35" s="74">
        <f>SUM(F35:H35)</f>
        <v>60000</v>
      </c>
      <c r="J35" s="10" t="s">
        <v>299</v>
      </c>
    </row>
    <row r="36" spans="2:17" x14ac:dyDescent="0.2">
      <c r="B36" s="368" t="s">
        <v>226</v>
      </c>
      <c r="C36" s="368"/>
      <c r="D36" s="368"/>
      <c r="E36" s="209">
        <f>1-E35</f>
        <v>1</v>
      </c>
      <c r="F36" s="197">
        <f>F32-F35</f>
        <v>160113.34</v>
      </c>
      <c r="G36" s="197">
        <f>G32-G35</f>
        <v>160977.4032</v>
      </c>
      <c r="H36" s="197">
        <f>H32-H35</f>
        <v>168006.195064</v>
      </c>
      <c r="I36" s="89">
        <f>SUM(F36:H36)</f>
        <v>489096.938264</v>
      </c>
      <c r="J36" s="367"/>
      <c r="K36" s="367"/>
      <c r="L36" s="367"/>
      <c r="M36" s="367"/>
      <c r="N36" s="367"/>
      <c r="O36" s="367"/>
      <c r="P36" s="367"/>
      <c r="Q36" s="367"/>
    </row>
    <row r="37" spans="2:17" ht="12.75" customHeight="1" x14ac:dyDescent="0.2">
      <c r="J37" s="367"/>
      <c r="K37" s="367"/>
      <c r="L37" s="367"/>
      <c r="M37" s="367"/>
      <c r="N37" s="367"/>
      <c r="O37" s="367"/>
      <c r="P37" s="367"/>
      <c r="Q37" s="367"/>
    </row>
    <row r="38" spans="2:17" ht="12.75" customHeight="1" x14ac:dyDescent="0.2">
      <c r="I38" s="30">
        <f>I35+I36</f>
        <v>549096.938264</v>
      </c>
    </row>
  </sheetData>
  <mergeCells count="21">
    <mergeCell ref="B8:E8"/>
    <mergeCell ref="B4:I4"/>
    <mergeCell ref="B5:E5"/>
    <mergeCell ref="B6:E6"/>
    <mergeCell ref="B7:E7"/>
    <mergeCell ref="B21:I21"/>
    <mergeCell ref="J9:P10"/>
    <mergeCell ref="J36:Q37"/>
    <mergeCell ref="J30:Q31"/>
    <mergeCell ref="B36:D36"/>
    <mergeCell ref="B35:D35"/>
    <mergeCell ref="B23:E23"/>
    <mergeCell ref="B24:E24"/>
    <mergeCell ref="B25:E25"/>
    <mergeCell ref="B13:E13"/>
    <mergeCell ref="B9:E9"/>
    <mergeCell ref="C32:E32"/>
    <mergeCell ref="B26:E26"/>
    <mergeCell ref="B27:E27"/>
    <mergeCell ref="B30:E30"/>
    <mergeCell ref="B22:E22"/>
  </mergeCells>
  <phoneticPr fontId="0" type="noConversion"/>
  <pageMargins left="0.24" right="0.38" top="0.55000000000000004" bottom="1" header="0.5" footer="0.5"/>
  <pageSetup scale="80"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B2:X37"/>
  <sheetViews>
    <sheetView topLeftCell="A13" zoomScaleNormal="100" workbookViewId="0">
      <selection activeCell="H10" sqref="H10"/>
    </sheetView>
  </sheetViews>
  <sheetFormatPr defaultRowHeight="13.2" x14ac:dyDescent="0.25"/>
  <cols>
    <col min="1" max="1" width="3.6640625" customWidth="1"/>
    <col min="6" max="9" width="9.5546875" bestFit="1" customWidth="1"/>
    <col min="11" max="11" width="9.5546875" bestFit="1" customWidth="1"/>
    <col min="12" max="12" width="13" customWidth="1"/>
    <col min="13" max="13" width="9.5546875" bestFit="1" customWidth="1"/>
    <col min="17" max="17" width="0" hidden="1" customWidth="1"/>
  </cols>
  <sheetData>
    <row r="2" spans="2:24" ht="13.8" x14ac:dyDescent="0.25">
      <c r="B2" s="298" t="s">
        <v>84</v>
      </c>
      <c r="C2" s="10"/>
      <c r="D2" s="10"/>
      <c r="E2" s="10"/>
      <c r="F2" s="10"/>
      <c r="G2" s="10"/>
      <c r="H2" s="10"/>
      <c r="I2" s="10"/>
      <c r="J2" s="10"/>
      <c r="K2" s="10"/>
      <c r="L2" s="10"/>
      <c r="M2" s="10"/>
      <c r="N2" s="10"/>
      <c r="O2" s="10"/>
      <c r="P2" s="10"/>
      <c r="Q2" s="10"/>
      <c r="R2" s="10"/>
      <c r="S2" s="10"/>
      <c r="T2" s="10"/>
      <c r="U2" s="10"/>
    </row>
    <row r="3" spans="2:24" x14ac:dyDescent="0.25">
      <c r="B3" s="5"/>
      <c r="C3" s="10"/>
      <c r="D3" s="10"/>
      <c r="E3" s="10"/>
      <c r="F3" s="10"/>
      <c r="G3" s="10"/>
      <c r="H3" s="10"/>
      <c r="I3" s="10"/>
      <c r="J3" s="10"/>
      <c r="K3" s="10"/>
      <c r="L3" s="10"/>
      <c r="M3" s="10"/>
      <c r="O3" s="10"/>
      <c r="P3" s="10"/>
      <c r="Q3" s="10"/>
      <c r="R3" s="10"/>
      <c r="S3" s="10"/>
      <c r="T3" s="10"/>
      <c r="U3" s="10"/>
    </row>
    <row r="4" spans="2:24" x14ac:dyDescent="0.25">
      <c r="B4" s="366" t="s">
        <v>8</v>
      </c>
      <c r="C4" s="366"/>
      <c r="D4" s="366"/>
      <c r="E4" s="366"/>
      <c r="F4" s="366"/>
      <c r="G4" s="366"/>
      <c r="H4" s="366"/>
      <c r="I4" s="366"/>
      <c r="J4" s="18"/>
      <c r="K4" s="10"/>
      <c r="L4" s="10"/>
      <c r="M4" s="10"/>
      <c r="N4" s="10"/>
      <c r="O4" s="10"/>
      <c r="P4" s="10"/>
      <c r="Q4" s="10"/>
      <c r="R4" s="10"/>
      <c r="S4" s="10"/>
      <c r="T4" s="10"/>
      <c r="U4" s="10"/>
    </row>
    <row r="5" spans="2:24" x14ac:dyDescent="0.25">
      <c r="B5" s="376"/>
      <c r="C5" s="377"/>
      <c r="D5" s="377"/>
      <c r="E5" s="378"/>
      <c r="F5" s="8">
        <v>2015</v>
      </c>
      <c r="G5" s="8">
        <v>2016</v>
      </c>
      <c r="H5" s="8">
        <v>2017</v>
      </c>
      <c r="I5" s="8" t="s">
        <v>3</v>
      </c>
      <c r="J5" s="10" t="s">
        <v>107</v>
      </c>
      <c r="K5" s="10"/>
      <c r="L5" s="10"/>
      <c r="M5" s="10"/>
      <c r="N5" s="10"/>
      <c r="O5" s="10"/>
      <c r="P5" s="10"/>
      <c r="Q5" s="10"/>
      <c r="R5" s="10"/>
      <c r="S5" s="10"/>
      <c r="T5" s="10"/>
      <c r="U5" s="10"/>
    </row>
    <row r="6" spans="2:24" x14ac:dyDescent="0.25">
      <c r="B6" s="370" t="s">
        <v>68</v>
      </c>
      <c r="C6" s="370"/>
      <c r="D6" s="370"/>
      <c r="E6" s="370"/>
      <c r="F6" s="8"/>
      <c r="G6" s="8">
        <f>'RFP-Contract Process Assump'!C9</f>
        <v>61</v>
      </c>
      <c r="H6" s="8"/>
      <c r="I6" s="8">
        <f>SUM(F6:H6)</f>
        <v>61</v>
      </c>
      <c r="J6" s="10" t="s">
        <v>106</v>
      </c>
      <c r="K6" s="10"/>
      <c r="L6" s="10"/>
      <c r="M6" s="10"/>
      <c r="N6" s="10"/>
      <c r="O6" s="10"/>
      <c r="P6" s="10"/>
    </row>
    <row r="7" spans="2:24" x14ac:dyDescent="0.25">
      <c r="B7" s="370" t="s">
        <v>31</v>
      </c>
      <c r="C7" s="370"/>
      <c r="D7" s="370"/>
      <c r="E7" s="370"/>
      <c r="F7" s="8"/>
      <c r="G7" s="8">
        <f>2*5</f>
        <v>10</v>
      </c>
      <c r="H7" s="8">
        <f>2*18.5</f>
        <v>37</v>
      </c>
      <c r="I7" s="8">
        <f>SUM(F7:H7)</f>
        <v>47</v>
      </c>
      <c r="J7" s="10" t="s">
        <v>330</v>
      </c>
      <c r="K7" s="10"/>
      <c r="L7" s="10"/>
      <c r="M7" s="10"/>
      <c r="N7" s="10"/>
      <c r="O7" s="10"/>
      <c r="P7" s="10"/>
    </row>
    <row r="8" spans="2:24" x14ac:dyDescent="0.25">
      <c r="B8" s="370" t="s">
        <v>8</v>
      </c>
      <c r="C8" s="370"/>
      <c r="D8" s="370"/>
      <c r="E8" s="370"/>
      <c r="F8" s="8"/>
      <c r="G8" s="8">
        <v>26</v>
      </c>
      <c r="H8" s="8">
        <v>350</v>
      </c>
      <c r="I8" s="8">
        <f>SUM(F8:H8)</f>
        <v>376</v>
      </c>
      <c r="J8" s="10" t="s">
        <v>108</v>
      </c>
      <c r="K8" s="10"/>
      <c r="L8" s="10"/>
      <c r="M8" s="10"/>
      <c r="N8" s="10"/>
      <c r="O8" s="10" t="s">
        <v>12</v>
      </c>
      <c r="P8" s="10">
        <v>1.02</v>
      </c>
      <c r="Q8" s="10"/>
      <c r="R8" s="10"/>
      <c r="S8" s="10">
        <f>1.02*1.02*1.02*1.02</f>
        <v>1.08243216</v>
      </c>
    </row>
    <row r="9" spans="2:24" x14ac:dyDescent="0.25">
      <c r="B9" s="372" t="s">
        <v>10</v>
      </c>
      <c r="C9" s="372"/>
      <c r="D9" s="372"/>
      <c r="E9" s="372"/>
      <c r="F9" s="9">
        <f>SUM(F6:F8)</f>
        <v>0</v>
      </c>
      <c r="G9" s="9">
        <f>SUM(G6:G8)</f>
        <v>97</v>
      </c>
      <c r="H9" s="9">
        <f>SUM(H6:H8)</f>
        <v>387</v>
      </c>
      <c r="I9" s="9">
        <f>SUM(F9:H9)</f>
        <v>484</v>
      </c>
      <c r="J9" s="10"/>
      <c r="K9" s="10"/>
      <c r="L9" s="10"/>
      <c r="M9" s="10"/>
      <c r="N9" s="10"/>
      <c r="O9" s="10"/>
      <c r="P9" s="10"/>
      <c r="Q9" s="10"/>
      <c r="R9" s="10"/>
      <c r="S9" s="10"/>
    </row>
    <row r="10" spans="2:24" x14ac:dyDescent="0.25">
      <c r="B10" s="379" t="s">
        <v>16</v>
      </c>
      <c r="C10" s="379"/>
      <c r="D10" s="379"/>
      <c r="E10" s="379"/>
      <c r="F10" s="40">
        <f>F9*'Staff rate assump'!B10</f>
        <v>0</v>
      </c>
      <c r="G10" s="40">
        <f>G9*'Staff rate assump'!C10</f>
        <v>4831.5700000000006</v>
      </c>
      <c r="H10" s="40">
        <f>H9*'Staff rate assump'!D10</f>
        <v>20046.599999999999</v>
      </c>
      <c r="I10" s="41">
        <f>SUM(F10:H10)</f>
        <v>24878.17</v>
      </c>
      <c r="K10" s="10"/>
      <c r="M10" s="10"/>
      <c r="N10" s="10"/>
      <c r="O10" s="10"/>
      <c r="P10" s="10"/>
      <c r="Q10" s="10"/>
      <c r="R10" s="10"/>
      <c r="S10" s="10"/>
    </row>
    <row r="11" spans="2:24" x14ac:dyDescent="0.25">
      <c r="B11" s="51"/>
      <c r="C11" s="51"/>
      <c r="D11" s="51"/>
      <c r="E11" s="51"/>
      <c r="F11" s="54"/>
      <c r="G11" s="54"/>
      <c r="H11" s="54"/>
      <c r="I11" s="55"/>
      <c r="K11" s="10"/>
      <c r="M11" s="10"/>
      <c r="N11" s="10"/>
      <c r="O11" s="10"/>
      <c r="P11" s="10"/>
      <c r="Q11" s="10"/>
      <c r="R11" s="10"/>
      <c r="S11" s="10"/>
    </row>
    <row r="12" spans="2:24" x14ac:dyDescent="0.25">
      <c r="B12" s="51"/>
      <c r="C12" s="51"/>
      <c r="D12" s="51"/>
      <c r="E12" s="51"/>
      <c r="F12" s="52"/>
      <c r="G12" s="52"/>
      <c r="H12" s="52"/>
      <c r="I12" s="53"/>
      <c r="L12" s="25" t="s">
        <v>105</v>
      </c>
      <c r="M12" s="10"/>
      <c r="N12" s="10"/>
      <c r="O12" s="10"/>
      <c r="P12" s="10"/>
      <c r="S12" s="10"/>
    </row>
    <row r="13" spans="2:24" x14ac:dyDescent="0.25">
      <c r="B13" s="10"/>
      <c r="C13" s="10"/>
      <c r="D13" s="10"/>
      <c r="E13" s="10"/>
      <c r="F13" s="10"/>
      <c r="G13" s="10"/>
      <c r="H13" s="10"/>
      <c r="I13" s="10" t="s">
        <v>3</v>
      </c>
      <c r="L13" s="10"/>
      <c r="M13" s="10"/>
      <c r="N13" s="59" t="s">
        <v>11</v>
      </c>
      <c r="O13" s="60"/>
      <c r="P13" s="61"/>
      <c r="Q13" s="25"/>
      <c r="X13" s="10"/>
    </row>
    <row r="14" spans="2:24" x14ac:dyDescent="0.25">
      <c r="B14" s="370" t="s">
        <v>83</v>
      </c>
      <c r="C14" s="370"/>
      <c r="D14" s="370"/>
      <c r="E14" s="370"/>
      <c r="F14" s="36"/>
      <c r="G14" s="37"/>
      <c r="H14" s="36">
        <f>K31</f>
        <v>148145.36683600309</v>
      </c>
      <c r="I14" s="38">
        <f>SUM(F14:H14)</f>
        <v>148145.36683600309</v>
      </c>
      <c r="K14" s="10"/>
      <c r="L14" s="10">
        <v>2010</v>
      </c>
      <c r="M14" s="10">
        <v>2014</v>
      </c>
      <c r="N14" s="24">
        <v>2015</v>
      </c>
      <c r="O14" s="25">
        <v>2016</v>
      </c>
      <c r="P14" s="26">
        <v>2017</v>
      </c>
      <c r="Q14" s="25"/>
      <c r="R14" s="10"/>
      <c r="X14" s="10"/>
    </row>
    <row r="15" spans="2:24" x14ac:dyDescent="0.25">
      <c r="B15" s="10"/>
      <c r="C15" s="10"/>
      <c r="D15" s="10"/>
      <c r="E15" s="10"/>
      <c r="F15" s="10"/>
      <c r="G15" s="10"/>
      <c r="H15" s="10"/>
      <c r="I15" s="10"/>
      <c r="J15" s="10"/>
      <c r="L15" s="47">
        <f>Q18</f>
        <v>164.23076923076923</v>
      </c>
      <c r="M15" s="47">
        <f>L15*S8</f>
        <v>177.76866627692306</v>
      </c>
      <c r="N15" s="56">
        <f>M15*P8</f>
        <v>181.32403960246151</v>
      </c>
      <c r="O15" s="57">
        <f>N15*P8</f>
        <v>184.95052039451073</v>
      </c>
      <c r="P15" s="58">
        <f>O15*P8</f>
        <v>188.64953080240096</v>
      </c>
      <c r="Q15" s="25"/>
      <c r="R15" s="10"/>
      <c r="X15" s="10"/>
    </row>
    <row r="16" spans="2:24" x14ac:dyDescent="0.25">
      <c r="B16" s="383" t="s">
        <v>33</v>
      </c>
      <c r="C16" s="384"/>
      <c r="D16" s="384"/>
      <c r="E16" s="385"/>
      <c r="F16" s="90">
        <f>F14+F10</f>
        <v>0</v>
      </c>
      <c r="G16" s="90">
        <f>G14+G10</f>
        <v>4831.5700000000006</v>
      </c>
      <c r="H16" s="90">
        <f>H14+H10</f>
        <v>168191.96683600309</v>
      </c>
      <c r="I16" s="89">
        <f>I14+I10</f>
        <v>173023.53683600307</v>
      </c>
      <c r="J16" s="10"/>
      <c r="K16" s="10"/>
      <c r="L16" s="10"/>
      <c r="M16" s="10"/>
      <c r="N16" s="3"/>
      <c r="O16" s="25"/>
      <c r="P16" s="25"/>
      <c r="Q16" s="25"/>
      <c r="X16" s="10"/>
    </row>
    <row r="17" spans="2:21" x14ac:dyDescent="0.25">
      <c r="B17" s="10"/>
      <c r="C17" s="10"/>
      <c r="D17" s="10"/>
      <c r="E17" s="18"/>
      <c r="F17" s="19"/>
      <c r="G17" s="19"/>
      <c r="H17" s="19"/>
      <c r="I17" s="20"/>
      <c r="J17" s="10"/>
      <c r="K17" s="42"/>
      <c r="L17" s="10"/>
      <c r="Q17" s="10">
        <f>275+180+275+180+165+165+130+130+110+110+135+135+145</f>
        <v>2135</v>
      </c>
    </row>
    <row r="18" spans="2:21" x14ac:dyDescent="0.25">
      <c r="B18" s="10"/>
      <c r="C18" s="10"/>
      <c r="D18" s="10"/>
      <c r="E18" s="10"/>
      <c r="F18" s="10"/>
      <c r="G18" s="10"/>
      <c r="H18" s="10"/>
      <c r="I18" s="10"/>
      <c r="J18" s="10"/>
      <c r="K18" s="10"/>
      <c r="L18" s="10"/>
      <c r="M18" s="42"/>
      <c r="Q18">
        <f>Q17/13</f>
        <v>164.23076923076923</v>
      </c>
    </row>
    <row r="19" spans="2:21" x14ac:dyDescent="0.25">
      <c r="B19" s="10" t="s">
        <v>187</v>
      </c>
      <c r="C19" s="10"/>
      <c r="D19" s="10"/>
      <c r="E19" s="10"/>
      <c r="F19" s="369" t="s">
        <v>8</v>
      </c>
      <c r="G19" s="369"/>
      <c r="H19" s="369"/>
      <c r="I19" s="369" t="s">
        <v>42</v>
      </c>
      <c r="J19" s="369"/>
      <c r="K19" s="369"/>
      <c r="M19" s="10"/>
      <c r="N19" s="10"/>
      <c r="P19" s="10"/>
      <c r="Q19" s="25"/>
      <c r="R19" s="25"/>
      <c r="S19" s="10"/>
    </row>
    <row r="20" spans="2:21" x14ac:dyDescent="0.25">
      <c r="B20" s="10"/>
      <c r="C20" s="10"/>
      <c r="D20" s="10"/>
      <c r="E20" s="10"/>
      <c r="F20" s="39" t="s">
        <v>36</v>
      </c>
      <c r="G20" s="39" t="s">
        <v>37</v>
      </c>
      <c r="H20" s="39" t="s">
        <v>38</v>
      </c>
      <c r="I20" s="68" t="s">
        <v>36</v>
      </c>
      <c r="J20" s="8" t="s">
        <v>37</v>
      </c>
      <c r="K20" s="8" t="s">
        <v>38</v>
      </c>
      <c r="L20" s="66" t="s">
        <v>131</v>
      </c>
      <c r="M20" s="10"/>
      <c r="N20" s="10"/>
      <c r="O20" s="10"/>
      <c r="P20" s="65"/>
      <c r="Q20" s="25"/>
      <c r="R20" s="25"/>
      <c r="S20" s="10"/>
    </row>
    <row r="21" spans="2:21" x14ac:dyDescent="0.25">
      <c r="B21" s="386" t="s">
        <v>70</v>
      </c>
      <c r="C21" s="387"/>
      <c r="D21" s="387"/>
      <c r="E21" s="388"/>
      <c r="F21" s="39">
        <v>1</v>
      </c>
      <c r="G21" s="39">
        <v>20</v>
      </c>
      <c r="H21" s="39">
        <f>G21*F21</f>
        <v>20</v>
      </c>
      <c r="I21" s="68">
        <v>1</v>
      </c>
      <c r="J21" s="8">
        <v>40</v>
      </c>
      <c r="K21" s="8">
        <f>J21*I21</f>
        <v>40</v>
      </c>
      <c r="L21" s="10">
        <v>40</v>
      </c>
      <c r="M21" s="10"/>
      <c r="N21" s="10"/>
      <c r="O21" s="10"/>
      <c r="P21" s="10"/>
      <c r="Q21" s="10"/>
      <c r="R21" s="10"/>
      <c r="S21" s="10"/>
      <c r="T21" s="10"/>
      <c r="U21" s="10"/>
    </row>
    <row r="22" spans="2:21" ht="12.75" customHeight="1" x14ac:dyDescent="0.25">
      <c r="B22" s="380" t="s">
        <v>79</v>
      </c>
      <c r="C22" s="381"/>
      <c r="D22" s="381"/>
      <c r="E22" s="382"/>
      <c r="F22" s="39">
        <v>1</v>
      </c>
      <c r="G22" s="39">
        <v>80</v>
      </c>
      <c r="H22" s="39">
        <f>G22*F22</f>
        <v>80</v>
      </c>
      <c r="I22" s="68">
        <v>1</v>
      </c>
      <c r="J22" s="8">
        <v>24</v>
      </c>
      <c r="K22" s="8">
        <f t="shared" ref="K22:K27" si="0">J22*I22</f>
        <v>24</v>
      </c>
      <c r="L22" s="10">
        <v>155</v>
      </c>
      <c r="M22" s="10"/>
      <c r="N22" s="10"/>
      <c r="O22" s="10"/>
      <c r="P22" s="10"/>
      <c r="Q22" s="10"/>
      <c r="R22" s="10"/>
      <c r="S22" s="10"/>
      <c r="T22" s="10"/>
      <c r="U22" s="10"/>
    </row>
    <row r="23" spans="2:21" x14ac:dyDescent="0.25">
      <c r="B23" s="380" t="s">
        <v>80</v>
      </c>
      <c r="C23" s="381"/>
      <c r="D23" s="381"/>
      <c r="E23" s="382"/>
      <c r="F23" s="39">
        <v>2</v>
      </c>
      <c r="G23" s="39">
        <v>80</v>
      </c>
      <c r="H23" s="39">
        <f t="shared" ref="H23:H29" si="1">G23*F23</f>
        <v>160</v>
      </c>
      <c r="I23" s="68">
        <v>1</v>
      </c>
      <c r="J23" s="8">
        <v>40</v>
      </c>
      <c r="K23" s="8">
        <f t="shared" si="0"/>
        <v>40</v>
      </c>
      <c r="L23" s="10">
        <v>155</v>
      </c>
      <c r="M23" s="10"/>
      <c r="N23" s="10"/>
      <c r="O23" s="10"/>
      <c r="P23" s="10"/>
      <c r="Q23" s="10"/>
      <c r="R23" s="10"/>
      <c r="S23" s="10"/>
      <c r="T23" s="10"/>
      <c r="U23" s="10"/>
    </row>
    <row r="24" spans="2:21" x14ac:dyDescent="0.25">
      <c r="B24" s="380" t="s">
        <v>81</v>
      </c>
      <c r="C24" s="381"/>
      <c r="D24" s="381"/>
      <c r="E24" s="382"/>
      <c r="F24" s="39"/>
      <c r="G24" s="39"/>
      <c r="H24" s="39"/>
      <c r="I24" s="68">
        <v>1</v>
      </c>
      <c r="J24" s="8">
        <v>255</v>
      </c>
      <c r="K24" s="8">
        <f t="shared" si="0"/>
        <v>255</v>
      </c>
      <c r="L24" s="10">
        <v>255</v>
      </c>
      <c r="M24" s="10"/>
      <c r="N24" s="10"/>
      <c r="O24" s="10"/>
      <c r="P24" s="10"/>
      <c r="Q24" s="10"/>
      <c r="R24" s="10"/>
      <c r="S24" s="10"/>
      <c r="T24" s="10"/>
      <c r="U24" s="10"/>
    </row>
    <row r="25" spans="2:21" x14ac:dyDescent="0.25">
      <c r="B25" s="380" t="s">
        <v>82</v>
      </c>
      <c r="C25" s="381"/>
      <c r="D25" s="381"/>
      <c r="E25" s="382"/>
      <c r="F25" s="39"/>
      <c r="G25" s="39"/>
      <c r="H25" s="39"/>
      <c r="I25" s="68">
        <v>1</v>
      </c>
      <c r="J25" s="8">
        <v>250</v>
      </c>
      <c r="K25" s="8">
        <f t="shared" si="0"/>
        <v>250</v>
      </c>
      <c r="L25" s="10">
        <v>220</v>
      </c>
      <c r="M25" s="10"/>
      <c r="N25" s="10"/>
      <c r="O25" s="10"/>
      <c r="P25" s="10"/>
      <c r="Q25" s="10"/>
      <c r="R25" s="10"/>
      <c r="S25" s="10"/>
      <c r="T25" s="10"/>
      <c r="U25" s="10"/>
    </row>
    <row r="26" spans="2:21" x14ac:dyDescent="0.25">
      <c r="B26" s="380" t="s">
        <v>78</v>
      </c>
      <c r="C26" s="381"/>
      <c r="D26" s="381"/>
      <c r="E26" s="382"/>
      <c r="F26" s="39"/>
      <c r="G26" s="39"/>
      <c r="H26" s="39"/>
      <c r="I26" s="68">
        <v>1</v>
      </c>
      <c r="J26" s="8">
        <v>100</v>
      </c>
      <c r="K26" s="8">
        <f t="shared" si="0"/>
        <v>100</v>
      </c>
      <c r="L26" s="10">
        <v>110</v>
      </c>
      <c r="M26" s="10"/>
      <c r="N26" s="10"/>
      <c r="O26" s="10"/>
      <c r="P26" s="10"/>
      <c r="Q26" s="10"/>
      <c r="R26" s="10"/>
      <c r="S26" s="10"/>
      <c r="T26" s="10"/>
      <c r="U26" s="10"/>
    </row>
    <row r="27" spans="2:21" x14ac:dyDescent="0.25">
      <c r="B27" s="120" t="s">
        <v>77</v>
      </c>
      <c r="C27" s="121"/>
      <c r="D27" s="121"/>
      <c r="E27" s="119"/>
      <c r="F27" s="39">
        <v>1</v>
      </c>
      <c r="G27" s="39">
        <v>80</v>
      </c>
      <c r="H27" s="39">
        <f t="shared" si="1"/>
        <v>80</v>
      </c>
      <c r="I27" s="68">
        <v>1</v>
      </c>
      <c r="J27" s="8">
        <v>80</v>
      </c>
      <c r="K27" s="8">
        <f t="shared" si="0"/>
        <v>80</v>
      </c>
      <c r="L27" s="10">
        <v>122</v>
      </c>
      <c r="M27" s="10"/>
      <c r="N27" s="10"/>
      <c r="O27" s="10"/>
      <c r="P27" s="10"/>
      <c r="Q27" s="10"/>
      <c r="R27" s="10"/>
      <c r="S27" s="10"/>
      <c r="T27" s="10"/>
      <c r="U27" s="10"/>
    </row>
    <row r="28" spans="2:21" x14ac:dyDescent="0.25">
      <c r="B28" s="380" t="s">
        <v>74</v>
      </c>
      <c r="C28" s="381"/>
      <c r="D28" s="381"/>
      <c r="E28" s="382"/>
      <c r="F28" s="39">
        <v>6</v>
      </c>
      <c r="G28" s="39">
        <v>2</v>
      </c>
      <c r="H28" s="39">
        <f t="shared" si="1"/>
        <v>12</v>
      </c>
      <c r="I28" s="68">
        <v>6</v>
      </c>
      <c r="J28" s="8">
        <v>2</v>
      </c>
      <c r="K28" s="8">
        <v>12</v>
      </c>
      <c r="L28" s="10"/>
      <c r="M28" s="10"/>
      <c r="N28" s="10"/>
      <c r="O28" s="10"/>
      <c r="P28" s="10"/>
      <c r="Q28" s="10"/>
      <c r="R28" s="10"/>
      <c r="S28" s="10"/>
      <c r="T28" s="10"/>
      <c r="U28" s="10"/>
    </row>
    <row r="29" spans="2:21" x14ac:dyDescent="0.25">
      <c r="B29" s="390" t="s">
        <v>75</v>
      </c>
      <c r="C29" s="391"/>
      <c r="D29" s="391"/>
      <c r="E29" s="392"/>
      <c r="F29" s="39">
        <v>6</v>
      </c>
      <c r="G29" s="39">
        <v>4</v>
      </c>
      <c r="H29" s="39">
        <f t="shared" si="1"/>
        <v>24</v>
      </c>
      <c r="I29" s="68"/>
      <c r="J29" s="8"/>
      <c r="K29" s="8"/>
      <c r="L29" s="10"/>
      <c r="M29" s="10"/>
      <c r="N29" s="10"/>
      <c r="O29" s="10"/>
      <c r="P29" s="10"/>
      <c r="Q29" s="10"/>
      <c r="R29" s="10"/>
      <c r="S29" s="10"/>
      <c r="T29" s="10"/>
      <c r="U29" s="10"/>
    </row>
    <row r="30" spans="2:21" x14ac:dyDescent="0.25">
      <c r="B30" s="393" t="s">
        <v>38</v>
      </c>
      <c r="C30" s="393"/>
      <c r="D30" s="393"/>
      <c r="E30" s="393"/>
      <c r="F30" s="10"/>
      <c r="G30" s="10"/>
      <c r="H30" s="10">
        <f>SUM(H21:H29)</f>
        <v>376</v>
      </c>
      <c r="I30" s="10"/>
      <c r="J30" s="10"/>
      <c r="K30" s="10">
        <f>SUM(K21:K29)</f>
        <v>801</v>
      </c>
      <c r="L30" s="62"/>
      <c r="M30" s="47"/>
      <c r="N30" s="10"/>
      <c r="O30" s="10"/>
      <c r="P30" s="10"/>
      <c r="Q30" s="10"/>
      <c r="R30" s="10"/>
      <c r="S30" s="10"/>
      <c r="T30" s="10"/>
      <c r="U30" s="10"/>
    </row>
    <row r="31" spans="2:21" x14ac:dyDescent="0.25">
      <c r="B31" s="10"/>
      <c r="C31" s="10"/>
      <c r="D31" s="10"/>
      <c r="E31" s="10"/>
      <c r="F31" s="10"/>
      <c r="G31" s="10"/>
      <c r="I31" s="122" t="s">
        <v>109</v>
      </c>
      <c r="J31" s="123"/>
      <c r="K31" s="124">
        <f>K30*O15</f>
        <v>148145.36683600309</v>
      </c>
      <c r="L31" s="10"/>
      <c r="M31" s="63"/>
      <c r="N31" s="10"/>
      <c r="O31" s="10"/>
      <c r="P31" s="10"/>
      <c r="Q31" s="10"/>
      <c r="R31" s="10"/>
      <c r="S31" s="10"/>
      <c r="T31" s="10"/>
      <c r="U31" s="10"/>
    </row>
    <row r="32" spans="2:21" x14ac:dyDescent="0.25">
      <c r="B32" s="49"/>
      <c r="C32" s="49"/>
      <c r="D32" s="49"/>
      <c r="E32" s="49"/>
      <c r="F32" s="389"/>
      <c r="G32" s="389"/>
      <c r="H32" s="389"/>
      <c r="I32" s="389"/>
      <c r="J32" s="389"/>
      <c r="K32" s="389"/>
      <c r="L32" s="10"/>
      <c r="M32" s="47"/>
      <c r="N32" s="10"/>
      <c r="O32" s="10"/>
      <c r="P32" s="10"/>
      <c r="Q32" s="10"/>
      <c r="R32" s="10"/>
      <c r="S32" s="10"/>
      <c r="T32" s="10"/>
      <c r="U32" s="10"/>
    </row>
    <row r="33" spans="2:21" x14ac:dyDescent="0.25">
      <c r="B33" s="49" t="s">
        <v>185</v>
      </c>
      <c r="C33" s="49"/>
      <c r="D33" s="49"/>
      <c r="E33" s="49"/>
      <c r="F33" s="49"/>
      <c r="G33" s="49"/>
      <c r="H33" s="49"/>
      <c r="I33" s="49"/>
      <c r="J33" s="49"/>
      <c r="K33" s="49"/>
      <c r="L33" s="10"/>
      <c r="M33" s="10"/>
      <c r="N33" s="10"/>
      <c r="O33" s="10"/>
      <c r="P33" s="10"/>
      <c r="Q33" s="10"/>
      <c r="R33" s="10"/>
      <c r="S33" s="10"/>
      <c r="T33" s="10"/>
      <c r="U33" s="10"/>
    </row>
    <row r="34" spans="2:21" x14ac:dyDescent="0.25">
      <c r="B34" s="50"/>
      <c r="C34" s="50"/>
      <c r="D34" s="50"/>
      <c r="E34" s="50"/>
      <c r="F34" s="49"/>
      <c r="G34" s="49"/>
      <c r="H34" s="49"/>
      <c r="I34" s="49"/>
      <c r="J34" s="49"/>
      <c r="K34" s="49"/>
      <c r="L34" s="10"/>
      <c r="M34" s="10"/>
      <c r="N34" s="10"/>
      <c r="O34" s="10"/>
      <c r="P34" s="10"/>
      <c r="Q34" s="10"/>
      <c r="R34" s="10"/>
      <c r="S34" s="10"/>
      <c r="T34" s="10"/>
      <c r="U34" s="10"/>
    </row>
    <row r="35" spans="2:21" x14ac:dyDescent="0.25">
      <c r="M35" s="10"/>
      <c r="N35" s="10"/>
      <c r="O35" s="10"/>
      <c r="P35" s="10"/>
      <c r="Q35" s="10"/>
      <c r="R35" s="10"/>
      <c r="S35" s="10"/>
      <c r="T35" s="10"/>
      <c r="U35" s="10"/>
    </row>
    <row r="36" spans="2:21" x14ac:dyDescent="0.25">
      <c r="N36" s="10"/>
      <c r="O36" s="10"/>
      <c r="P36" s="10"/>
      <c r="Q36" s="10"/>
      <c r="R36" s="10"/>
      <c r="S36" s="10"/>
      <c r="T36" s="10"/>
      <c r="U36" s="10"/>
    </row>
    <row r="37" spans="2:21" x14ac:dyDescent="0.25">
      <c r="N37" s="10"/>
      <c r="O37" s="10"/>
      <c r="P37" s="10"/>
      <c r="Q37" s="10"/>
      <c r="R37" s="10"/>
      <c r="S37" s="10"/>
      <c r="T37" s="10"/>
      <c r="U37" s="10"/>
    </row>
  </sheetData>
  <mergeCells count="22">
    <mergeCell ref="I32:K32"/>
    <mergeCell ref="B29:E29"/>
    <mergeCell ref="B30:E30"/>
    <mergeCell ref="B28:E28"/>
    <mergeCell ref="F32:H32"/>
    <mergeCell ref="I19:K19"/>
    <mergeCell ref="B26:E26"/>
    <mergeCell ref="B25:E25"/>
    <mergeCell ref="F19:H19"/>
    <mergeCell ref="B16:E16"/>
    <mergeCell ref="B22:E22"/>
    <mergeCell ref="B23:E23"/>
    <mergeCell ref="B24:E24"/>
    <mergeCell ref="B21:E21"/>
    <mergeCell ref="B9:E9"/>
    <mergeCell ref="B14:E14"/>
    <mergeCell ref="B4:I4"/>
    <mergeCell ref="B5:E5"/>
    <mergeCell ref="B6:E6"/>
    <mergeCell ref="B7:E7"/>
    <mergeCell ref="B8:E8"/>
    <mergeCell ref="B10:E10"/>
  </mergeCells>
  <phoneticPr fontId="11" type="noConversion"/>
  <pageMargins left="0.7" right="0.7" top="0.75" bottom="0.75" header="0.3" footer="0.3"/>
  <pageSetup scale="85" orientation="landscape"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2:V34"/>
  <sheetViews>
    <sheetView zoomScaleNormal="130" workbookViewId="0">
      <selection activeCell="I43" sqref="I43"/>
    </sheetView>
  </sheetViews>
  <sheetFormatPr defaultColWidth="9.109375" defaultRowHeight="10.199999999999999" x14ac:dyDescent="0.2"/>
  <cols>
    <col min="1" max="1" width="5.109375" style="10" customWidth="1"/>
    <col min="2" max="2" width="9.6640625" style="10" customWidth="1"/>
    <col min="3" max="8" width="9.109375" style="10"/>
    <col min="9" max="9" width="10.6640625" style="10" customWidth="1"/>
    <col min="10" max="12" width="9.109375" style="10"/>
    <col min="13" max="14" width="0" style="10" hidden="1" customWidth="1"/>
    <col min="15" max="15" width="6.33203125" style="10" hidden="1" customWidth="1"/>
    <col min="16" max="17" width="0" style="10" hidden="1" customWidth="1"/>
    <col min="18" max="16384" width="9.109375" style="10"/>
  </cols>
  <sheetData>
    <row r="2" spans="2:19" ht="13.8" x14ac:dyDescent="0.25">
      <c r="B2" s="298" t="s">
        <v>30</v>
      </c>
    </row>
    <row r="3" spans="2:19" ht="13.8" x14ac:dyDescent="0.25">
      <c r="B3" s="298"/>
    </row>
    <row r="4" spans="2:19" x14ac:dyDescent="0.2">
      <c r="B4" s="366" t="s">
        <v>8</v>
      </c>
      <c r="C4" s="366"/>
      <c r="D4" s="366"/>
      <c r="E4" s="366"/>
      <c r="F4" s="366"/>
      <c r="G4" s="366"/>
      <c r="H4" s="366"/>
      <c r="I4" s="366"/>
    </row>
    <row r="5" spans="2:19" x14ac:dyDescent="0.2">
      <c r="B5" s="376"/>
      <c r="C5" s="377"/>
      <c r="D5" s="377"/>
      <c r="E5" s="378"/>
      <c r="F5" s="8">
        <v>2015</v>
      </c>
      <c r="G5" s="8">
        <v>2016</v>
      </c>
      <c r="H5" s="8">
        <v>2017</v>
      </c>
      <c r="I5" s="8" t="s">
        <v>3</v>
      </c>
    </row>
    <row r="6" spans="2:19" x14ac:dyDescent="0.2">
      <c r="B6" s="370" t="s">
        <v>184</v>
      </c>
      <c r="C6" s="370"/>
      <c r="D6" s="370"/>
      <c r="E6" s="370"/>
      <c r="F6" s="8"/>
      <c r="G6" s="8"/>
      <c r="H6" s="8"/>
      <c r="I6" s="8">
        <f>SUM(F6:H6)</f>
        <v>0</v>
      </c>
    </row>
    <row r="7" spans="2:19" x14ac:dyDescent="0.2">
      <c r="B7" s="370" t="s">
        <v>31</v>
      </c>
      <c r="C7" s="370"/>
      <c r="D7" s="370"/>
      <c r="E7" s="370"/>
      <c r="F7" s="8">
        <f>0.5*45</f>
        <v>22.5</v>
      </c>
      <c r="G7" s="8">
        <f>0.5*45</f>
        <v>22.5</v>
      </c>
      <c r="H7" s="8">
        <f>0.5*45</f>
        <v>22.5</v>
      </c>
      <c r="I7" s="8">
        <f>SUM(F7:H7)</f>
        <v>67.5</v>
      </c>
    </row>
    <row r="8" spans="2:19" x14ac:dyDescent="0.2">
      <c r="B8" s="370" t="s">
        <v>355</v>
      </c>
      <c r="C8" s="370"/>
      <c r="D8" s="370"/>
      <c r="E8" s="370"/>
      <c r="F8" s="8">
        <f>H26+H32</f>
        <v>686</v>
      </c>
      <c r="G8" s="8">
        <f>H26+H32</f>
        <v>686</v>
      </c>
      <c r="H8" s="8">
        <f>H26+H32</f>
        <v>686</v>
      </c>
      <c r="I8" s="8">
        <f>SUM(F8:H8)</f>
        <v>2058</v>
      </c>
    </row>
    <row r="9" spans="2:19" x14ac:dyDescent="0.2">
      <c r="B9" s="372" t="s">
        <v>10</v>
      </c>
      <c r="C9" s="372"/>
      <c r="D9" s="372"/>
      <c r="E9" s="372"/>
      <c r="F9" s="9">
        <f>SUM(F6:F8)</f>
        <v>708.5</v>
      </c>
      <c r="G9" s="9">
        <f>SUM(G6:G8)</f>
        <v>708.5</v>
      </c>
      <c r="H9" s="9">
        <f>SUM(H6:H8)</f>
        <v>708.5</v>
      </c>
      <c r="I9" s="9">
        <f>SUM(F9:H9)</f>
        <v>2125.5</v>
      </c>
    </row>
    <row r="10" spans="2:19" ht="12.75" customHeight="1" x14ac:dyDescent="0.2">
      <c r="B10" s="379" t="s">
        <v>16</v>
      </c>
      <c r="C10" s="379"/>
      <c r="D10" s="379"/>
      <c r="E10" s="379"/>
      <c r="F10" s="40">
        <f>F9*'Staff rate assump'!$B$10</f>
        <v>33930.065000000002</v>
      </c>
      <c r="G10" s="40">
        <f>G9*'Staff rate assump'!C10</f>
        <v>35290.385000000002</v>
      </c>
      <c r="H10" s="40">
        <f>H9*'Staff rate assump'!D10</f>
        <v>36700.299999999996</v>
      </c>
      <c r="I10" s="41">
        <f>SUM(F10:H10)</f>
        <v>105920.75</v>
      </c>
    </row>
    <row r="11" spans="2:19" x14ac:dyDescent="0.2">
      <c r="F11" s="16"/>
      <c r="G11" s="16"/>
      <c r="H11" s="16"/>
      <c r="I11" s="17"/>
      <c r="N11" s="10" t="s">
        <v>34</v>
      </c>
    </row>
    <row r="12" spans="2:19" x14ac:dyDescent="0.2">
      <c r="M12" s="10">
        <v>2011</v>
      </c>
      <c r="N12" s="72">
        <v>2012</v>
      </c>
      <c r="O12" s="72">
        <v>2013</v>
      </c>
      <c r="P12" s="72">
        <v>2014</v>
      </c>
    </row>
    <row r="13" spans="2:19" x14ac:dyDescent="0.2">
      <c r="I13" s="10" t="s">
        <v>3</v>
      </c>
      <c r="M13" s="10">
        <v>135</v>
      </c>
      <c r="N13" s="73">
        <f>M13*S14</f>
        <v>137.69999999999999</v>
      </c>
      <c r="O13" s="74">
        <f>N13*S14</f>
        <v>140.45399999999998</v>
      </c>
      <c r="P13" s="74">
        <f>O13*S14</f>
        <v>143.26307999999997</v>
      </c>
    </row>
    <row r="14" spans="2:19" x14ac:dyDescent="0.2">
      <c r="B14" s="370" t="s">
        <v>32</v>
      </c>
      <c r="C14" s="370"/>
      <c r="D14" s="370"/>
      <c r="E14" s="370"/>
      <c r="F14" s="36">
        <v>30000</v>
      </c>
      <c r="G14" s="38">
        <v>30000</v>
      </c>
      <c r="H14" s="38">
        <v>30000</v>
      </c>
      <c r="I14" s="38">
        <f>SUM(F14:H14)</f>
        <v>90000</v>
      </c>
      <c r="R14" s="10" t="s">
        <v>12</v>
      </c>
      <c r="S14" s="10">
        <v>1.02</v>
      </c>
    </row>
    <row r="15" spans="2:19" x14ac:dyDescent="0.2">
      <c r="N15" s="10" t="s">
        <v>35</v>
      </c>
    </row>
    <row r="16" spans="2:19" ht="12.75" customHeight="1" x14ac:dyDescent="0.2">
      <c r="B16" s="383" t="s">
        <v>33</v>
      </c>
      <c r="C16" s="384"/>
      <c r="D16" s="384"/>
      <c r="E16" s="385"/>
      <c r="F16" s="90">
        <f>F14+F10</f>
        <v>63930.065000000002</v>
      </c>
      <c r="G16" s="90">
        <f>G14+G10</f>
        <v>65290.385000000002</v>
      </c>
      <c r="H16" s="90">
        <f>H14+H10</f>
        <v>66700.299999999988</v>
      </c>
      <c r="I16" s="89">
        <f>I14+I10</f>
        <v>195920.75</v>
      </c>
      <c r="N16" s="42">
        <f>F14/N13</f>
        <v>217.86492374727672</v>
      </c>
      <c r="O16" s="42">
        <f>G14/O13</f>
        <v>213.59306249733012</v>
      </c>
      <c r="P16" s="42">
        <f>H14/P13</f>
        <v>209.40496323267661</v>
      </c>
    </row>
    <row r="17" spans="2:22" x14ac:dyDescent="0.2">
      <c r="E17" s="18"/>
      <c r="F17" s="19"/>
      <c r="G17" s="19"/>
      <c r="H17" s="19"/>
      <c r="I17" s="20"/>
    </row>
    <row r="18" spans="2:22" x14ac:dyDescent="0.2">
      <c r="E18" s="18"/>
      <c r="F18" s="19"/>
      <c r="G18" s="19"/>
      <c r="H18" s="19"/>
      <c r="I18" s="20"/>
      <c r="K18" s="42"/>
      <c r="L18" s="42"/>
      <c r="M18" s="42"/>
    </row>
    <row r="20" spans="2:22" x14ac:dyDescent="0.2">
      <c r="B20" s="10" t="s">
        <v>44</v>
      </c>
      <c r="F20" s="369" t="s">
        <v>8</v>
      </c>
      <c r="G20" s="369"/>
      <c r="H20" s="369"/>
      <c r="I20" s="369" t="s">
        <v>42</v>
      </c>
      <c r="J20" s="369"/>
      <c r="K20" s="369"/>
    </row>
    <row r="21" spans="2:22" x14ac:dyDescent="0.2">
      <c r="F21" s="39" t="s">
        <v>36</v>
      </c>
      <c r="G21" s="39" t="s">
        <v>37</v>
      </c>
      <c r="H21" s="39" t="s">
        <v>38</v>
      </c>
      <c r="I21" s="44" t="s">
        <v>36</v>
      </c>
      <c r="J21" s="43" t="s">
        <v>37</v>
      </c>
      <c r="K21" s="43" t="s">
        <v>38</v>
      </c>
    </row>
    <row r="22" spans="2:22" x14ac:dyDescent="0.2">
      <c r="B22" s="395" t="s">
        <v>43</v>
      </c>
      <c r="C22" s="396"/>
      <c r="D22" s="396"/>
      <c r="E22" s="397"/>
      <c r="F22" s="39">
        <v>12</v>
      </c>
      <c r="G22" s="39">
        <v>3</v>
      </c>
      <c r="H22" s="39">
        <f>F22*G22</f>
        <v>36</v>
      </c>
      <c r="I22" s="44">
        <v>7</v>
      </c>
      <c r="J22" s="43">
        <v>3</v>
      </c>
      <c r="K22" s="43">
        <f>I22*J22</f>
        <v>21</v>
      </c>
      <c r="L22" s="10" t="s">
        <v>227</v>
      </c>
    </row>
    <row r="23" spans="2:22" x14ac:dyDescent="0.2">
      <c r="B23" s="380" t="s">
        <v>39</v>
      </c>
      <c r="C23" s="381"/>
      <c r="D23" s="381"/>
      <c r="E23" s="382"/>
      <c r="F23" s="39">
        <v>30</v>
      </c>
      <c r="G23" s="39">
        <v>3</v>
      </c>
      <c r="H23" s="39">
        <f>F23*G23</f>
        <v>90</v>
      </c>
      <c r="I23" s="44">
        <v>20</v>
      </c>
      <c r="J23" s="43">
        <v>3</v>
      </c>
      <c r="K23" s="43">
        <f>I23*J23</f>
        <v>60</v>
      </c>
    </row>
    <row r="24" spans="2:22" x14ac:dyDescent="0.2">
      <c r="B24" s="380" t="s">
        <v>40</v>
      </c>
      <c r="C24" s="381"/>
      <c r="D24" s="381"/>
      <c r="E24" s="382"/>
      <c r="F24" s="39">
        <v>15</v>
      </c>
      <c r="G24" s="39">
        <v>8</v>
      </c>
      <c r="H24" s="39">
        <f>F24*G24</f>
        <v>120</v>
      </c>
      <c r="I24" s="44">
        <v>10</v>
      </c>
      <c r="J24" s="43">
        <v>4</v>
      </c>
      <c r="K24" s="43">
        <f>I24*J24</f>
        <v>40</v>
      </c>
    </row>
    <row r="25" spans="2:22" x14ac:dyDescent="0.2">
      <c r="B25" s="390" t="s">
        <v>41</v>
      </c>
      <c r="C25" s="391"/>
      <c r="D25" s="391"/>
      <c r="E25" s="392"/>
      <c r="F25" s="39">
        <v>20</v>
      </c>
      <c r="G25" s="39">
        <v>4</v>
      </c>
      <c r="H25" s="39">
        <f>F25*G25</f>
        <v>80</v>
      </c>
      <c r="I25" s="44">
        <v>20</v>
      </c>
      <c r="J25" s="43">
        <v>2</v>
      </c>
      <c r="K25" s="43">
        <f>I25*J25</f>
        <v>40</v>
      </c>
    </row>
    <row r="26" spans="2:22" x14ac:dyDescent="0.2">
      <c r="B26" s="394" t="s">
        <v>38</v>
      </c>
      <c r="C26" s="394"/>
      <c r="D26" s="394"/>
      <c r="E26" s="394"/>
      <c r="H26" s="10">
        <f>SUM(H22:H25)</f>
        <v>326</v>
      </c>
      <c r="K26" s="10">
        <f>SUM(K22:K25)</f>
        <v>161</v>
      </c>
    </row>
    <row r="28" spans="2:22" x14ac:dyDescent="0.2">
      <c r="B28" s="10" t="s">
        <v>45</v>
      </c>
      <c r="F28" s="369" t="s">
        <v>8</v>
      </c>
      <c r="G28" s="369"/>
      <c r="H28" s="369"/>
      <c r="I28" s="369" t="s">
        <v>42</v>
      </c>
      <c r="J28" s="369"/>
      <c r="K28" s="369"/>
    </row>
    <row r="29" spans="2:22" x14ac:dyDescent="0.2">
      <c r="F29" s="39" t="s">
        <v>36</v>
      </c>
      <c r="G29" s="39" t="s">
        <v>37</v>
      </c>
      <c r="H29" s="39" t="s">
        <v>38</v>
      </c>
      <c r="I29" s="44" t="s">
        <v>36</v>
      </c>
      <c r="J29" s="43" t="s">
        <v>37</v>
      </c>
      <c r="K29" s="43" t="s">
        <v>38</v>
      </c>
    </row>
    <row r="30" spans="2:22" x14ac:dyDescent="0.2">
      <c r="B30" s="395" t="s">
        <v>46</v>
      </c>
      <c r="C30" s="396"/>
      <c r="D30" s="396"/>
      <c r="E30" s="397"/>
      <c r="F30" s="39">
        <v>120</v>
      </c>
      <c r="G30" s="39">
        <v>2</v>
      </c>
      <c r="H30" s="39">
        <f>F30*G30</f>
        <v>240</v>
      </c>
      <c r="I30" s="44">
        <v>60</v>
      </c>
      <c r="J30" s="43">
        <v>1</v>
      </c>
      <c r="K30" s="43">
        <f>I30*J30</f>
        <v>60</v>
      </c>
      <c r="L30" s="398" t="s">
        <v>281</v>
      </c>
      <c r="M30" s="367"/>
      <c r="N30" s="367"/>
      <c r="O30" s="367"/>
      <c r="P30" s="367"/>
      <c r="Q30" s="367"/>
      <c r="R30" s="367"/>
      <c r="S30" s="367"/>
      <c r="T30" s="367"/>
      <c r="U30" s="367"/>
      <c r="V30" s="367"/>
    </row>
    <row r="31" spans="2:22" x14ac:dyDescent="0.2">
      <c r="B31" s="390" t="s">
        <v>47</v>
      </c>
      <c r="C31" s="391"/>
      <c r="D31" s="391"/>
      <c r="E31" s="392"/>
      <c r="F31" s="39">
        <v>20</v>
      </c>
      <c r="G31" s="39">
        <v>6</v>
      </c>
      <c r="H31" s="39">
        <f>F31*G31</f>
        <v>120</v>
      </c>
      <c r="I31" s="44">
        <v>20</v>
      </c>
      <c r="J31" s="43">
        <v>4</v>
      </c>
      <c r="K31" s="43">
        <f>I31*J31</f>
        <v>80</v>
      </c>
      <c r="L31" s="398"/>
      <c r="M31" s="367"/>
      <c r="N31" s="367"/>
      <c r="O31" s="367"/>
      <c r="P31" s="367"/>
      <c r="Q31" s="367"/>
      <c r="R31" s="367"/>
      <c r="S31" s="367"/>
      <c r="T31" s="367"/>
      <c r="U31" s="367"/>
      <c r="V31" s="367"/>
    </row>
    <row r="32" spans="2:22" x14ac:dyDescent="0.2">
      <c r="B32" s="394" t="s">
        <v>38</v>
      </c>
      <c r="C32" s="394"/>
      <c r="D32" s="394"/>
      <c r="E32" s="394"/>
      <c r="H32" s="10">
        <f>SUM(H30:H31)</f>
        <v>360</v>
      </c>
      <c r="K32" s="10">
        <f>SUM(K30:K31)</f>
        <v>140</v>
      </c>
    </row>
    <row r="34" spans="2:2" x14ac:dyDescent="0.2">
      <c r="B34" s="10" t="s">
        <v>103</v>
      </c>
    </row>
  </sheetData>
  <mergeCells count="22">
    <mergeCell ref="B8:E8"/>
    <mergeCell ref="B4:I4"/>
    <mergeCell ref="B5:E5"/>
    <mergeCell ref="B6:E6"/>
    <mergeCell ref="B7:E7"/>
    <mergeCell ref="B9:E9"/>
    <mergeCell ref="B10:E10"/>
    <mergeCell ref="L30:V31"/>
    <mergeCell ref="B30:E30"/>
    <mergeCell ref="B31:E31"/>
    <mergeCell ref="F28:H28"/>
    <mergeCell ref="I28:K28"/>
    <mergeCell ref="B14:E14"/>
    <mergeCell ref="B16:E16"/>
    <mergeCell ref="I20:K20"/>
    <mergeCell ref="B25:E25"/>
    <mergeCell ref="B26:E26"/>
    <mergeCell ref="B32:E32"/>
    <mergeCell ref="B22:E22"/>
    <mergeCell ref="B23:E23"/>
    <mergeCell ref="F20:H20"/>
    <mergeCell ref="B24:E24"/>
  </mergeCells>
  <phoneticPr fontId="11" type="noConversion"/>
  <pageMargins left="0.7" right="0.7" top="0.75" bottom="0.75" header="0.3" footer="0.3"/>
  <pageSetup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2:W50"/>
  <sheetViews>
    <sheetView zoomScaleNormal="110" workbookViewId="0">
      <selection activeCell="B21" sqref="B21"/>
    </sheetView>
  </sheetViews>
  <sheetFormatPr defaultRowHeight="13.2" x14ac:dyDescent="0.25"/>
  <cols>
    <col min="1" max="1" width="3.6640625" customWidth="1"/>
    <col min="6" max="6" width="10.88671875" bestFit="1" customWidth="1"/>
    <col min="8" max="8" width="10.88671875" bestFit="1" customWidth="1"/>
    <col min="9" max="9" width="11.33203125" customWidth="1"/>
    <col min="10" max="10" width="9.5546875" customWidth="1"/>
    <col min="14" max="17" width="0" hidden="1" customWidth="1"/>
    <col min="18" max="18" width="9.5546875" hidden="1" customWidth="1"/>
    <col min="19" max="19" width="0" hidden="1" customWidth="1"/>
    <col min="21" max="21" width="9.5546875" bestFit="1" customWidth="1"/>
  </cols>
  <sheetData>
    <row r="2" spans="2:23" ht="13.8" x14ac:dyDescent="0.25">
      <c r="B2" s="298" t="s">
        <v>66</v>
      </c>
      <c r="C2" s="10"/>
      <c r="D2" s="10"/>
      <c r="E2" s="10"/>
      <c r="F2" s="10"/>
      <c r="G2" s="10"/>
      <c r="H2" s="10"/>
      <c r="I2" s="10"/>
      <c r="J2" s="18"/>
      <c r="K2" s="10" t="s">
        <v>12</v>
      </c>
      <c r="L2" s="10">
        <v>1.02</v>
      </c>
      <c r="M2" s="10"/>
      <c r="N2" s="10"/>
      <c r="O2" s="10"/>
      <c r="P2" s="10"/>
      <c r="Q2" s="10"/>
      <c r="R2" s="10"/>
      <c r="S2" s="10"/>
      <c r="T2" s="10"/>
      <c r="U2" s="10"/>
      <c r="V2" s="10"/>
    </row>
    <row r="3" spans="2:23" x14ac:dyDescent="0.25">
      <c r="B3" s="5"/>
      <c r="C3" s="10"/>
      <c r="D3" s="10"/>
      <c r="E3" s="10"/>
      <c r="F3" s="10"/>
      <c r="G3" s="10"/>
      <c r="H3" s="10"/>
      <c r="I3" s="10"/>
      <c r="J3" s="18"/>
      <c r="K3" s="10"/>
      <c r="L3" s="10"/>
      <c r="M3" s="10"/>
      <c r="N3" s="10"/>
      <c r="P3" s="10"/>
      <c r="Q3" s="10"/>
      <c r="R3" s="10"/>
      <c r="S3" s="10"/>
      <c r="T3" s="10"/>
      <c r="U3" s="10"/>
      <c r="V3" s="10"/>
    </row>
    <row r="4" spans="2:23" x14ac:dyDescent="0.25">
      <c r="B4" s="366" t="s">
        <v>8</v>
      </c>
      <c r="C4" s="366"/>
      <c r="D4" s="366"/>
      <c r="E4" s="366"/>
      <c r="F4" s="366"/>
      <c r="G4" s="366"/>
      <c r="H4" s="366"/>
      <c r="I4" s="366"/>
      <c r="J4" s="50"/>
      <c r="K4" s="10"/>
      <c r="L4" s="10"/>
      <c r="M4" s="10"/>
      <c r="N4" s="10"/>
      <c r="O4" s="10"/>
      <c r="P4" s="10"/>
      <c r="Q4" s="10"/>
      <c r="R4" s="10"/>
      <c r="S4" s="10"/>
      <c r="T4" s="10"/>
      <c r="U4" s="10"/>
      <c r="V4" s="10"/>
    </row>
    <row r="5" spans="2:23" x14ac:dyDescent="0.25">
      <c r="B5" s="376"/>
      <c r="C5" s="377"/>
      <c r="D5" s="377"/>
      <c r="E5" s="378"/>
      <c r="F5" s="8">
        <v>2015</v>
      </c>
      <c r="G5" s="8">
        <v>2016</v>
      </c>
      <c r="H5" s="8">
        <v>2017</v>
      </c>
      <c r="I5" s="8" t="s">
        <v>3</v>
      </c>
      <c r="J5" s="49" t="s">
        <v>5</v>
      </c>
      <c r="K5" s="10"/>
      <c r="L5" s="10"/>
      <c r="M5" s="10"/>
      <c r="N5" s="10"/>
      <c r="O5" s="10"/>
      <c r="P5" s="10"/>
      <c r="Q5" s="10"/>
      <c r="R5" s="10"/>
      <c r="S5" s="10"/>
      <c r="T5" s="10"/>
      <c r="U5" s="10"/>
      <c r="V5" s="10"/>
    </row>
    <row r="6" spans="2:23" x14ac:dyDescent="0.25">
      <c r="B6" s="370" t="s">
        <v>68</v>
      </c>
      <c r="C6" s="370"/>
      <c r="D6" s="370"/>
      <c r="E6" s="370"/>
      <c r="F6" s="8">
        <f>'RFP-Contract Process Assump'!C9*2</f>
        <v>122</v>
      </c>
      <c r="G6" s="8"/>
      <c r="H6" s="8"/>
      <c r="I6" s="8">
        <f>SUM(F6:G6)</f>
        <v>122</v>
      </c>
      <c r="J6" s="10" t="s">
        <v>110</v>
      </c>
      <c r="L6" s="10"/>
      <c r="M6" s="10"/>
      <c r="N6" s="10"/>
      <c r="O6" s="10"/>
      <c r="P6" s="10"/>
      <c r="Q6" s="10"/>
      <c r="R6" s="10"/>
      <c r="S6" s="10"/>
      <c r="T6" s="10"/>
      <c r="U6" s="10"/>
      <c r="V6" s="10"/>
    </row>
    <row r="7" spans="2:23" x14ac:dyDescent="0.25">
      <c r="B7" s="370" t="s">
        <v>119</v>
      </c>
      <c r="C7" s="370"/>
      <c r="D7" s="370"/>
      <c r="E7" s="370"/>
      <c r="F7" s="8">
        <f>(45*2*2)+(6*2*4)+H24+H34</f>
        <v>268</v>
      </c>
      <c r="G7" s="8"/>
      <c r="H7" s="8"/>
      <c r="I7" s="8">
        <f>SUM(F7:H7)</f>
        <v>268</v>
      </c>
      <c r="J7" s="10" t="s">
        <v>118</v>
      </c>
      <c r="L7" s="10"/>
      <c r="M7" s="10"/>
      <c r="N7" s="10"/>
      <c r="O7" s="10"/>
      <c r="P7" s="10"/>
      <c r="Q7" s="10"/>
      <c r="R7" s="10"/>
      <c r="S7" s="10"/>
      <c r="T7" s="10"/>
      <c r="U7" s="10"/>
      <c r="V7" s="10"/>
    </row>
    <row r="8" spans="2:23" x14ac:dyDescent="0.25">
      <c r="B8" s="370" t="s">
        <v>9</v>
      </c>
      <c r="C8" s="370"/>
      <c r="D8" s="370"/>
      <c r="E8" s="370"/>
      <c r="F8" s="8">
        <f>H27+H28+H37+H38+H29+H39</f>
        <v>400</v>
      </c>
      <c r="G8" s="8"/>
      <c r="H8" s="8"/>
      <c r="I8" s="8">
        <f>SUM(F8:H8)</f>
        <v>400</v>
      </c>
      <c r="J8" s="49"/>
      <c r="K8" s="10"/>
      <c r="L8" s="10"/>
      <c r="M8" s="10"/>
      <c r="N8" s="10"/>
      <c r="O8" s="10"/>
      <c r="P8" s="10"/>
      <c r="Q8" s="10"/>
      <c r="R8" s="10"/>
      <c r="S8" s="10"/>
      <c r="T8" s="10"/>
      <c r="U8" s="10"/>
      <c r="V8" s="10"/>
    </row>
    <row r="9" spans="2:23" x14ac:dyDescent="0.25">
      <c r="B9" s="372" t="s">
        <v>10</v>
      </c>
      <c r="C9" s="372"/>
      <c r="D9" s="372"/>
      <c r="E9" s="372"/>
      <c r="F9" s="9">
        <f>SUM(F6:F8)</f>
        <v>790</v>
      </c>
      <c r="G9" s="9">
        <f>SUM(G6:G8)</f>
        <v>0</v>
      </c>
      <c r="H9" s="9">
        <f>SUM(H6:H8)</f>
        <v>0</v>
      </c>
      <c r="I9" s="9">
        <f>SUM(F9:H9)</f>
        <v>790</v>
      </c>
      <c r="J9" s="97"/>
      <c r="K9" s="10"/>
      <c r="L9" s="10"/>
      <c r="M9" s="10"/>
      <c r="N9" s="10"/>
      <c r="O9" s="10"/>
      <c r="P9" s="10"/>
      <c r="Q9" s="10"/>
      <c r="R9" s="10"/>
      <c r="S9" s="10"/>
      <c r="T9" s="10"/>
      <c r="U9" s="10"/>
      <c r="V9" s="10"/>
    </row>
    <row r="10" spans="2:23" x14ac:dyDescent="0.25">
      <c r="B10" s="379" t="s">
        <v>16</v>
      </c>
      <c r="C10" s="379"/>
      <c r="D10" s="379"/>
      <c r="E10" s="379"/>
      <c r="F10" s="40">
        <f>F9*'Staff rate assump'!B10</f>
        <v>37833.1</v>
      </c>
      <c r="G10" s="40">
        <f>G9*'Staff rate assump'!C10</f>
        <v>0</v>
      </c>
      <c r="H10" s="40">
        <f>H9*'Staff rate assump'!D10</f>
        <v>0</v>
      </c>
      <c r="I10" s="41">
        <f>SUM(F10:H10)</f>
        <v>37833.1</v>
      </c>
      <c r="J10" s="55"/>
      <c r="K10" s="10"/>
      <c r="L10" s="10"/>
      <c r="M10" s="10"/>
      <c r="N10" s="10"/>
      <c r="O10" s="10"/>
      <c r="P10" s="10"/>
      <c r="Q10" s="10"/>
      <c r="R10" s="10"/>
      <c r="S10" s="10"/>
      <c r="T10" s="10"/>
      <c r="U10" s="10"/>
      <c r="V10" s="10"/>
    </row>
    <row r="11" spans="2:23" x14ac:dyDescent="0.25">
      <c r="B11" s="51"/>
      <c r="C11" s="51"/>
      <c r="D11" s="51"/>
      <c r="E11" s="51"/>
      <c r="F11" s="54"/>
      <c r="G11" s="54"/>
      <c r="H11" s="54"/>
      <c r="I11" s="55"/>
      <c r="J11" s="55"/>
    </row>
    <row r="12" spans="2:23" x14ac:dyDescent="0.25">
      <c r="B12" s="51"/>
      <c r="C12" s="51"/>
      <c r="D12" s="198"/>
      <c r="E12" s="51"/>
      <c r="F12" s="52"/>
      <c r="G12" s="52"/>
      <c r="H12" s="52"/>
      <c r="I12" s="53"/>
      <c r="J12" s="53"/>
    </row>
    <row r="13" spans="2:23" x14ac:dyDescent="0.25">
      <c r="B13" s="401" t="s">
        <v>170</v>
      </c>
      <c r="C13" s="401"/>
      <c r="D13" s="401"/>
      <c r="E13" s="401"/>
      <c r="F13" s="10">
        <v>2015</v>
      </c>
      <c r="G13" s="10">
        <v>2016</v>
      </c>
      <c r="H13" s="10">
        <v>2017</v>
      </c>
      <c r="I13" s="10" t="s">
        <v>3</v>
      </c>
      <c r="J13" s="18"/>
    </row>
    <row r="14" spans="2:23" x14ac:dyDescent="0.25">
      <c r="B14" s="370" t="s">
        <v>128</v>
      </c>
      <c r="C14" s="370"/>
      <c r="D14" s="370"/>
      <c r="E14" s="370"/>
      <c r="F14" s="36">
        <v>700000</v>
      </c>
      <c r="G14" s="37"/>
      <c r="H14" s="36"/>
      <c r="I14" s="38">
        <f>SUM(F14:H14)</f>
        <v>700000</v>
      </c>
      <c r="J14" s="18"/>
    </row>
    <row r="15" spans="2:23" x14ac:dyDescent="0.25">
      <c r="B15" s="370" t="s">
        <v>129</v>
      </c>
      <c r="C15" s="370"/>
      <c r="D15" s="370"/>
      <c r="E15" s="370"/>
      <c r="F15" s="36">
        <v>600000</v>
      </c>
      <c r="G15" s="37"/>
      <c r="H15" s="36"/>
      <c r="I15" s="38">
        <f>SUM(F15:H15)</f>
        <v>600000</v>
      </c>
      <c r="J15" s="399" t="s">
        <v>130</v>
      </c>
      <c r="K15" s="400"/>
      <c r="L15" s="400"/>
      <c r="M15" s="400"/>
      <c r="N15" s="400"/>
      <c r="O15" s="400"/>
      <c r="P15" s="400"/>
      <c r="Q15" s="400"/>
      <c r="R15" s="400"/>
      <c r="S15" s="400"/>
      <c r="T15" s="400"/>
      <c r="U15" s="400"/>
      <c r="V15" s="400"/>
      <c r="W15" s="400"/>
    </row>
    <row r="16" spans="2:23" x14ac:dyDescent="0.25">
      <c r="B16" s="10"/>
      <c r="C16" s="10"/>
      <c r="D16" s="10"/>
      <c r="E16" s="10"/>
      <c r="F16" s="10"/>
      <c r="G16" s="10"/>
      <c r="H16" s="10"/>
      <c r="I16" s="10"/>
      <c r="J16" s="400"/>
      <c r="K16" s="400"/>
      <c r="L16" s="400"/>
      <c r="M16" s="400"/>
      <c r="N16" s="400"/>
      <c r="O16" s="400"/>
      <c r="P16" s="400"/>
      <c r="Q16" s="400"/>
      <c r="R16" s="400"/>
      <c r="S16" s="400"/>
      <c r="T16" s="400"/>
      <c r="U16" s="400"/>
      <c r="V16" s="400"/>
      <c r="W16" s="400"/>
    </row>
    <row r="17" spans="2:21" x14ac:dyDescent="0.25">
      <c r="B17" s="383" t="s">
        <v>33</v>
      </c>
      <c r="C17" s="384"/>
      <c r="D17" s="384"/>
      <c r="E17" s="385"/>
      <c r="F17" s="89">
        <f>F15+F10+F14</f>
        <v>1337833.1000000001</v>
      </c>
      <c r="G17" s="90">
        <f>G10</f>
        <v>0</v>
      </c>
      <c r="H17" s="90">
        <f>H10+H14+H15</f>
        <v>0</v>
      </c>
      <c r="I17" s="89">
        <f>I15+I10+I14</f>
        <v>1337833.1000000001</v>
      </c>
      <c r="J17" s="115" t="s">
        <v>169</v>
      </c>
      <c r="K17" s="10"/>
      <c r="M17" s="67"/>
      <c r="R17" s="10"/>
    </row>
    <row r="18" spans="2:21" x14ac:dyDescent="0.25">
      <c r="B18" s="10"/>
      <c r="C18" s="10"/>
      <c r="D18" s="10"/>
      <c r="E18" s="18"/>
      <c r="F18" s="19"/>
      <c r="G18" s="19"/>
      <c r="H18" s="19"/>
      <c r="I18" s="20"/>
      <c r="J18" s="20"/>
      <c r="K18" s="10"/>
      <c r="M18" s="27"/>
      <c r="N18" s="27"/>
      <c r="O18" s="27"/>
      <c r="R18" s="10"/>
    </row>
    <row r="19" spans="2:21" x14ac:dyDescent="0.25">
      <c r="B19" s="402" t="s">
        <v>374</v>
      </c>
      <c r="C19" s="403"/>
      <c r="D19" s="403"/>
      <c r="E19" s="403"/>
      <c r="F19" s="90">
        <f>F17*'Overall Summary'!$D$63</f>
        <v>1177293.128</v>
      </c>
      <c r="G19" s="90">
        <f>G17*'Overall Summary'!$D$63</f>
        <v>0</v>
      </c>
      <c r="H19" s="90">
        <f>H17*'Overall Summary'!$D$63</f>
        <v>0</v>
      </c>
      <c r="I19" s="89">
        <f>SUM(F19:H19)</f>
        <v>1177293.128</v>
      </c>
      <c r="J19" s="20"/>
      <c r="K19" s="10"/>
      <c r="M19" s="27"/>
      <c r="N19" s="27"/>
      <c r="O19" s="27"/>
      <c r="R19" s="10"/>
    </row>
    <row r="20" spans="2:21" x14ac:dyDescent="0.25">
      <c r="B20" s="402" t="s">
        <v>375</v>
      </c>
      <c r="C20" s="403"/>
      <c r="D20" s="403"/>
      <c r="E20" s="403"/>
      <c r="F20" s="89">
        <f>F17*'Overall Summary'!$D$64</f>
        <v>160539.97200000001</v>
      </c>
      <c r="G20" s="89">
        <f>G17*'Overall Summary'!$D$64</f>
        <v>0</v>
      </c>
      <c r="H20" s="89">
        <f>H17*'Overall Summary'!$D$64</f>
        <v>0</v>
      </c>
      <c r="I20" s="89">
        <f>SUM(F20:H20)</f>
        <v>160539.97200000001</v>
      </c>
      <c r="J20" s="20"/>
      <c r="K20" s="10"/>
      <c r="M20" s="27"/>
      <c r="N20" s="27"/>
      <c r="O20" s="27"/>
      <c r="R20" s="10"/>
    </row>
    <row r="21" spans="2:21" x14ac:dyDescent="0.25">
      <c r="B21" s="10"/>
      <c r="C21" s="10"/>
      <c r="D21" s="10"/>
      <c r="E21" s="10"/>
      <c r="F21" s="10"/>
      <c r="G21" s="10"/>
      <c r="H21" s="10"/>
      <c r="I21" s="10"/>
      <c r="J21" s="10"/>
      <c r="K21" s="10"/>
      <c r="M21" s="4"/>
      <c r="N21" s="4"/>
      <c r="O21" s="4"/>
      <c r="R21" s="10"/>
    </row>
    <row r="22" spans="2:21" x14ac:dyDescent="0.25">
      <c r="B22" s="10" t="s">
        <v>69</v>
      </c>
      <c r="C22" s="10"/>
      <c r="D22" s="10"/>
      <c r="E22" s="10"/>
      <c r="F22" s="369" t="s">
        <v>8</v>
      </c>
      <c r="G22" s="369"/>
      <c r="H22" s="369"/>
      <c r="I22" s="10"/>
      <c r="J22" s="10"/>
      <c r="N22" s="10"/>
      <c r="O22" s="10" t="s">
        <v>166</v>
      </c>
      <c r="P22" s="10"/>
      <c r="Q22" s="10"/>
      <c r="R22" s="10"/>
    </row>
    <row r="23" spans="2:21" x14ac:dyDescent="0.25">
      <c r="B23" s="10"/>
      <c r="C23" s="10"/>
      <c r="D23" s="10"/>
      <c r="E23" s="10"/>
      <c r="F23" s="39" t="s">
        <v>36</v>
      </c>
      <c r="G23" s="39" t="s">
        <v>37</v>
      </c>
      <c r="H23" s="39" t="s">
        <v>38</v>
      </c>
      <c r="I23" s="10"/>
      <c r="J23" s="10"/>
      <c r="N23" s="10"/>
      <c r="O23" s="42">
        <v>2011</v>
      </c>
      <c r="P23" s="42">
        <v>2012</v>
      </c>
      <c r="Q23" s="42">
        <v>2013</v>
      </c>
      <c r="R23" s="42">
        <v>2014</v>
      </c>
    </row>
    <row r="24" spans="2:21" x14ac:dyDescent="0.25">
      <c r="B24" s="386" t="s">
        <v>111</v>
      </c>
      <c r="C24" s="387"/>
      <c r="D24" s="387"/>
      <c r="E24" s="388"/>
      <c r="F24" s="39">
        <v>1</v>
      </c>
      <c r="G24" s="39">
        <v>20</v>
      </c>
      <c r="H24" s="39">
        <f>G24*F24</f>
        <v>20</v>
      </c>
      <c r="I24" s="10"/>
      <c r="J24" s="10"/>
      <c r="N24" s="10" t="s">
        <v>168</v>
      </c>
      <c r="O24" s="10">
        <v>575000</v>
      </c>
      <c r="P24" s="10">
        <f t="shared" ref="P24:R25" si="0">O24*1.026</f>
        <v>589950</v>
      </c>
      <c r="Q24" s="10">
        <f t="shared" si="0"/>
        <v>605288.70000000007</v>
      </c>
      <c r="R24" s="10">
        <f t="shared" si="0"/>
        <v>621026.20620000013</v>
      </c>
    </row>
    <row r="25" spans="2:21" x14ac:dyDescent="0.25">
      <c r="B25" s="380" t="s">
        <v>71</v>
      </c>
      <c r="C25" s="381"/>
      <c r="D25" s="381"/>
      <c r="E25" s="382"/>
      <c r="F25" s="39"/>
      <c r="G25" s="39"/>
      <c r="H25" s="39"/>
      <c r="I25" s="10" t="s">
        <v>124</v>
      </c>
      <c r="J25" s="10"/>
      <c r="N25" s="10" t="s">
        <v>167</v>
      </c>
      <c r="O25" s="10">
        <v>550000</v>
      </c>
      <c r="P25" s="10">
        <f t="shared" si="0"/>
        <v>564300</v>
      </c>
      <c r="Q25" s="10">
        <f t="shared" si="0"/>
        <v>578971.80000000005</v>
      </c>
      <c r="R25" s="10">
        <f t="shared" si="0"/>
        <v>594025.06680000003</v>
      </c>
    </row>
    <row r="26" spans="2:21" x14ac:dyDescent="0.25">
      <c r="B26" s="380" t="s">
        <v>121</v>
      </c>
      <c r="C26" s="381"/>
      <c r="D26" s="381"/>
      <c r="E26" s="382"/>
      <c r="F26" s="39"/>
      <c r="G26" s="39"/>
      <c r="H26" s="39"/>
      <c r="I26" s="10" t="s">
        <v>125</v>
      </c>
      <c r="J26" s="10"/>
      <c r="L26" s="10"/>
      <c r="M26" s="10"/>
      <c r="N26" s="10"/>
    </row>
    <row r="27" spans="2:21" x14ac:dyDescent="0.25">
      <c r="B27" s="125" t="s">
        <v>72</v>
      </c>
      <c r="C27" s="126"/>
      <c r="D27" s="126"/>
      <c r="E27" s="81"/>
      <c r="F27" s="39">
        <v>1</v>
      </c>
      <c r="G27" s="39">
        <v>60</v>
      </c>
      <c r="H27" s="39">
        <f>F27*G27</f>
        <v>60</v>
      </c>
      <c r="I27" s="10"/>
      <c r="J27" s="10"/>
      <c r="K27" s="10"/>
      <c r="L27" s="10"/>
      <c r="M27" s="10"/>
    </row>
    <row r="28" spans="2:21" x14ac:dyDescent="0.25">
      <c r="B28" s="125" t="s">
        <v>186</v>
      </c>
      <c r="C28" s="126"/>
      <c r="D28" s="126"/>
      <c r="E28" s="81"/>
      <c r="F28" s="39">
        <v>1</v>
      </c>
      <c r="G28" s="39">
        <v>80</v>
      </c>
      <c r="H28" s="39">
        <f>F28*G28</f>
        <v>80</v>
      </c>
      <c r="I28" s="30"/>
      <c r="J28" s="10"/>
      <c r="K28" s="10"/>
      <c r="L28" s="10"/>
      <c r="M28" s="10"/>
    </row>
    <row r="29" spans="2:21" x14ac:dyDescent="0.25">
      <c r="B29" s="390" t="s">
        <v>73</v>
      </c>
      <c r="C29" s="391"/>
      <c r="D29" s="391"/>
      <c r="E29" s="392"/>
      <c r="F29" s="39">
        <v>1</v>
      </c>
      <c r="G29" s="39">
        <v>60</v>
      </c>
      <c r="H29" s="39">
        <f>F29*G29</f>
        <v>60</v>
      </c>
      <c r="I29" s="30"/>
      <c r="J29" s="10"/>
      <c r="K29" s="10"/>
      <c r="L29" s="10"/>
      <c r="M29" s="10"/>
      <c r="N29" s="10"/>
      <c r="O29" s="25" t="s">
        <v>171</v>
      </c>
      <c r="P29" s="10"/>
      <c r="Q29" s="10"/>
      <c r="R29" s="10"/>
      <c r="S29" s="10"/>
      <c r="T29" s="10"/>
      <c r="U29" s="10"/>
    </row>
    <row r="30" spans="2:21" x14ac:dyDescent="0.25">
      <c r="B30" s="393" t="s">
        <v>38</v>
      </c>
      <c r="C30" s="393"/>
      <c r="D30" s="393"/>
      <c r="E30" s="393"/>
      <c r="F30" s="10"/>
      <c r="G30" s="10"/>
      <c r="H30" s="10">
        <f>SUM(H24:H29)</f>
        <v>220</v>
      </c>
      <c r="I30" s="10"/>
      <c r="J30" s="10"/>
      <c r="K30" s="10"/>
      <c r="L30" s="10"/>
      <c r="M30" s="10"/>
      <c r="N30" s="10"/>
      <c r="O30" s="10"/>
      <c r="P30" s="21" t="s">
        <v>11</v>
      </c>
      <c r="Q30" s="22"/>
      <c r="R30" s="23"/>
      <c r="S30" s="25"/>
    </row>
    <row r="31" spans="2:21" x14ac:dyDescent="0.25">
      <c r="B31" s="10"/>
      <c r="C31" s="10"/>
      <c r="D31" s="10"/>
      <c r="E31" s="10"/>
      <c r="F31" s="10"/>
      <c r="G31" s="10"/>
      <c r="H31" s="10"/>
      <c r="I31" s="62"/>
      <c r="J31" s="63"/>
      <c r="K31" s="10"/>
      <c r="L31" s="10"/>
      <c r="M31" s="10"/>
      <c r="N31" s="10"/>
      <c r="O31" s="72">
        <v>2011</v>
      </c>
      <c r="P31" s="72">
        <v>2012</v>
      </c>
      <c r="Q31" s="72">
        <v>2013</v>
      </c>
      <c r="R31" s="72">
        <v>2014</v>
      </c>
      <c r="S31" s="25"/>
      <c r="T31" s="10"/>
      <c r="U31" s="10"/>
    </row>
    <row r="32" spans="2:21" x14ac:dyDescent="0.25">
      <c r="B32" s="10" t="s">
        <v>76</v>
      </c>
      <c r="C32" s="10"/>
      <c r="D32" s="10"/>
      <c r="E32" s="10"/>
      <c r="F32" s="369" t="s">
        <v>8</v>
      </c>
      <c r="G32" s="369"/>
      <c r="H32" s="369"/>
      <c r="I32" s="10"/>
      <c r="J32" s="10"/>
      <c r="K32" s="10"/>
      <c r="L32" s="10"/>
      <c r="M32" s="10"/>
      <c r="N32" s="10" t="s">
        <v>122</v>
      </c>
      <c r="O32" s="95">
        <f>(275+190+140+190+175+175+175+120+120+100+100+100+100+90)/12</f>
        <v>170.83333333333334</v>
      </c>
      <c r="P32" s="96">
        <f>O32*L2</f>
        <v>174.25</v>
      </c>
      <c r="Q32" s="96">
        <f>P32*L2</f>
        <v>177.73500000000001</v>
      </c>
      <c r="R32" s="96">
        <f>Q32*L2</f>
        <v>181.28970000000001</v>
      </c>
      <c r="S32" s="25"/>
      <c r="T32" s="10"/>
      <c r="U32" s="10"/>
    </row>
    <row r="33" spans="2:22" x14ac:dyDescent="0.25">
      <c r="B33" s="10"/>
      <c r="C33" s="10"/>
      <c r="D33" s="10"/>
      <c r="E33" s="10"/>
      <c r="F33" s="39" t="s">
        <v>36</v>
      </c>
      <c r="G33" s="39" t="s">
        <v>37</v>
      </c>
      <c r="H33" s="39" t="s">
        <v>38</v>
      </c>
      <c r="I33" s="10"/>
      <c r="J33" s="10"/>
      <c r="K33" s="10"/>
      <c r="L33" s="10"/>
      <c r="M33" s="10"/>
      <c r="N33" s="10" t="s">
        <v>123</v>
      </c>
      <c r="O33" s="95">
        <v>121.4</v>
      </c>
      <c r="P33" s="96">
        <f>O33*1.026</f>
        <v>124.55640000000001</v>
      </c>
      <c r="Q33" s="96">
        <f>P33*1.026</f>
        <v>127.79486640000002</v>
      </c>
      <c r="R33" s="96">
        <f>Q33*1.026</f>
        <v>131.11753292640003</v>
      </c>
      <c r="S33" s="25"/>
      <c r="T33" s="10"/>
      <c r="U33" s="10"/>
    </row>
    <row r="34" spans="2:22" x14ac:dyDescent="0.25">
      <c r="B34" s="386" t="s">
        <v>70</v>
      </c>
      <c r="C34" s="387"/>
      <c r="D34" s="387"/>
      <c r="E34" s="388"/>
      <c r="F34" s="39">
        <v>1</v>
      </c>
      <c r="G34" s="39">
        <v>20</v>
      </c>
      <c r="H34" s="39">
        <f>G34*F34</f>
        <v>20</v>
      </c>
      <c r="I34" s="10" t="s">
        <v>126</v>
      </c>
      <c r="J34" s="10"/>
      <c r="K34" s="10"/>
      <c r="L34" s="10"/>
      <c r="M34" s="10"/>
      <c r="N34" s="10"/>
      <c r="P34" s="67"/>
      <c r="U34" s="10"/>
    </row>
    <row r="35" spans="2:22" x14ac:dyDescent="0.25">
      <c r="B35" s="380" t="s">
        <v>71</v>
      </c>
      <c r="C35" s="381"/>
      <c r="D35" s="381"/>
      <c r="E35" s="382"/>
      <c r="F35" s="39"/>
      <c r="G35" s="39"/>
      <c r="H35" s="39"/>
      <c r="I35" s="10" t="s">
        <v>124</v>
      </c>
      <c r="J35" s="10"/>
      <c r="K35" s="10"/>
      <c r="L35" s="10"/>
      <c r="M35" s="10"/>
      <c r="N35" s="10"/>
      <c r="O35" s="10"/>
      <c r="P35" s="10"/>
      <c r="Q35" s="10"/>
      <c r="R35" s="10"/>
    </row>
    <row r="36" spans="2:22" x14ac:dyDescent="0.25">
      <c r="B36" s="380" t="s">
        <v>127</v>
      </c>
      <c r="C36" s="381"/>
      <c r="D36" s="381"/>
      <c r="E36" s="382"/>
      <c r="F36" s="39"/>
      <c r="G36" s="39"/>
      <c r="H36" s="39"/>
      <c r="I36" s="10" t="s">
        <v>125</v>
      </c>
      <c r="J36" s="10"/>
      <c r="K36" s="10"/>
      <c r="L36" s="10"/>
      <c r="M36" s="10"/>
      <c r="N36" s="10"/>
      <c r="O36" s="10"/>
      <c r="P36" s="10"/>
      <c r="Q36" s="10"/>
      <c r="R36" s="10"/>
    </row>
    <row r="37" spans="2:22" x14ac:dyDescent="0.25">
      <c r="B37" s="404" t="s">
        <v>72</v>
      </c>
      <c r="C37" s="405"/>
      <c r="D37" s="405"/>
      <c r="E37" s="406"/>
      <c r="F37" s="39">
        <v>1</v>
      </c>
      <c r="G37" s="39">
        <v>60</v>
      </c>
      <c r="H37" s="39">
        <f>F37*G37</f>
        <v>60</v>
      </c>
      <c r="I37" s="10"/>
      <c r="J37" s="10"/>
      <c r="K37" s="10"/>
      <c r="L37" s="10"/>
      <c r="M37" s="10"/>
      <c r="N37" s="10"/>
      <c r="O37" s="10"/>
      <c r="P37" s="10"/>
      <c r="Q37" s="10"/>
      <c r="R37" s="10"/>
    </row>
    <row r="38" spans="2:22" x14ac:dyDescent="0.25">
      <c r="B38" s="404" t="s">
        <v>186</v>
      </c>
      <c r="C38" s="405"/>
      <c r="D38" s="405"/>
      <c r="E38" s="406"/>
      <c r="F38" s="39">
        <v>1</v>
      </c>
      <c r="G38" s="39">
        <v>80</v>
      </c>
      <c r="H38" s="39">
        <f>F38*G38</f>
        <v>80</v>
      </c>
      <c r="I38" s="10"/>
      <c r="J38" s="10"/>
      <c r="K38" s="10"/>
      <c r="L38" s="10"/>
      <c r="M38" s="10"/>
      <c r="N38" s="10"/>
      <c r="O38" s="10"/>
      <c r="P38" s="10"/>
      <c r="Q38" s="10"/>
    </row>
    <row r="39" spans="2:22" x14ac:dyDescent="0.25">
      <c r="B39" s="390" t="s">
        <v>73</v>
      </c>
      <c r="C39" s="391"/>
      <c r="D39" s="391"/>
      <c r="E39" s="392"/>
      <c r="F39" s="39">
        <v>1</v>
      </c>
      <c r="G39" s="39">
        <v>60</v>
      </c>
      <c r="H39" s="39">
        <f>F39*G39</f>
        <v>60</v>
      </c>
      <c r="I39" s="30"/>
      <c r="J39" s="10"/>
      <c r="K39" s="10"/>
      <c r="L39" s="10"/>
      <c r="M39" s="10"/>
      <c r="N39" s="10"/>
      <c r="O39" s="10"/>
      <c r="P39" s="10"/>
      <c r="Q39" s="10"/>
    </row>
    <row r="40" spans="2:22" x14ac:dyDescent="0.25">
      <c r="B40" s="393" t="s">
        <v>38</v>
      </c>
      <c r="C40" s="393"/>
      <c r="D40" s="393"/>
      <c r="E40" s="393"/>
      <c r="F40" s="10"/>
      <c r="G40" s="10"/>
      <c r="H40" s="10">
        <f>SUM(H34:H39)</f>
        <v>220</v>
      </c>
      <c r="I40" s="10"/>
      <c r="J40" s="10"/>
      <c r="K40" s="10"/>
      <c r="L40" s="10"/>
      <c r="M40" s="10"/>
      <c r="N40" s="10"/>
      <c r="O40" s="10"/>
      <c r="P40" s="10"/>
      <c r="Q40" s="10"/>
    </row>
    <row r="41" spans="2:22" x14ac:dyDescent="0.25">
      <c r="B41" s="49"/>
      <c r="C41" s="49"/>
      <c r="D41" s="49"/>
      <c r="E41" s="49"/>
      <c r="F41" s="389"/>
      <c r="G41" s="389"/>
      <c r="H41" s="389"/>
      <c r="I41" s="10"/>
      <c r="J41" s="10"/>
      <c r="K41" s="10"/>
      <c r="L41" s="10"/>
      <c r="M41" s="10"/>
      <c r="N41" s="10"/>
      <c r="O41" s="10"/>
      <c r="P41" s="10"/>
      <c r="Q41" s="10"/>
    </row>
    <row r="42" spans="2:22" x14ac:dyDescent="0.25">
      <c r="B42" s="49"/>
      <c r="C42" s="49"/>
      <c r="D42" s="49"/>
      <c r="E42" s="49"/>
      <c r="F42" s="49"/>
      <c r="G42" s="49"/>
      <c r="H42" s="49"/>
      <c r="I42" s="10"/>
      <c r="J42" s="10"/>
      <c r="K42" s="10"/>
      <c r="L42" s="10"/>
      <c r="M42" s="10"/>
      <c r="N42" s="10"/>
      <c r="O42" s="10"/>
      <c r="P42" s="10"/>
      <c r="Q42" s="10"/>
    </row>
    <row r="43" spans="2:22" x14ac:dyDescent="0.25">
      <c r="B43" s="389"/>
      <c r="C43" s="389"/>
      <c r="D43" s="389"/>
      <c r="E43" s="389"/>
      <c r="F43" s="49"/>
      <c r="G43" s="49"/>
      <c r="H43" s="49"/>
      <c r="I43" s="62"/>
      <c r="J43" s="10"/>
      <c r="K43" s="10"/>
      <c r="L43" s="10"/>
      <c r="M43" s="10"/>
      <c r="N43" s="10"/>
      <c r="O43" s="10"/>
      <c r="P43" s="10"/>
      <c r="Q43" s="10"/>
    </row>
    <row r="44" spans="2:22" x14ac:dyDescent="0.25">
      <c r="I44" s="50"/>
      <c r="J44" s="50"/>
      <c r="K44" s="10"/>
      <c r="L44" s="10"/>
      <c r="M44" s="10"/>
      <c r="N44" s="10"/>
      <c r="O44" s="10"/>
      <c r="P44" s="10"/>
      <c r="Q44" s="10"/>
    </row>
    <row r="45" spans="2:22" x14ac:dyDescent="0.25">
      <c r="I45" s="49"/>
      <c r="J45" s="49"/>
      <c r="K45" s="10"/>
      <c r="L45" s="10"/>
      <c r="M45" s="10"/>
      <c r="N45" s="10"/>
      <c r="O45" s="10"/>
      <c r="P45" s="10"/>
      <c r="Q45" s="10"/>
    </row>
    <row r="46" spans="2:22" x14ac:dyDescent="0.25">
      <c r="I46" s="49"/>
      <c r="J46" s="49"/>
      <c r="K46" s="10"/>
      <c r="L46" s="10"/>
      <c r="M46" s="10"/>
      <c r="N46" s="10"/>
      <c r="O46" s="10"/>
      <c r="P46" s="10"/>
      <c r="Q46" s="10"/>
    </row>
    <row r="47" spans="2:22" x14ac:dyDescent="0.25">
      <c r="K47" s="50"/>
      <c r="L47" s="50"/>
      <c r="M47" s="64"/>
      <c r="N47" s="63"/>
      <c r="O47" s="10"/>
      <c r="P47" s="10"/>
      <c r="Q47" s="10"/>
      <c r="R47" s="47"/>
      <c r="S47" s="10"/>
      <c r="T47" s="10"/>
      <c r="U47" s="10"/>
      <c r="V47" s="10"/>
    </row>
    <row r="48" spans="2:22" x14ac:dyDescent="0.25">
      <c r="K48" s="49"/>
      <c r="L48" s="49"/>
      <c r="M48" s="10"/>
      <c r="N48" s="10"/>
      <c r="O48" s="10"/>
      <c r="P48" s="10"/>
      <c r="Q48" s="10"/>
      <c r="R48" s="10"/>
      <c r="S48" s="10"/>
      <c r="T48" s="10"/>
      <c r="U48" s="10"/>
      <c r="V48" s="10"/>
    </row>
    <row r="49" spans="11:22" x14ac:dyDescent="0.25">
      <c r="K49" s="49"/>
      <c r="L49" s="49"/>
      <c r="M49" s="10"/>
      <c r="N49" s="10"/>
      <c r="O49" s="10"/>
      <c r="P49" s="10"/>
      <c r="Q49" s="10"/>
      <c r="R49" s="10"/>
      <c r="S49" s="10"/>
      <c r="T49" s="10"/>
      <c r="U49" s="10"/>
      <c r="V49" s="10"/>
    </row>
    <row r="50" spans="11:22" x14ac:dyDescent="0.25">
      <c r="M50" s="10"/>
      <c r="N50" s="10"/>
      <c r="O50" s="10"/>
      <c r="P50" s="10"/>
      <c r="Q50" s="10"/>
      <c r="R50" s="10"/>
      <c r="S50" s="10"/>
      <c r="T50" s="10"/>
      <c r="U50" s="10"/>
      <c r="V50" s="10"/>
    </row>
  </sheetData>
  <mergeCells count="30">
    <mergeCell ref="B43:E43"/>
    <mergeCell ref="B40:E40"/>
    <mergeCell ref="B38:E38"/>
    <mergeCell ref="B37:E37"/>
    <mergeCell ref="B20:E20"/>
    <mergeCell ref="F41:H41"/>
    <mergeCell ref="B39:E39"/>
    <mergeCell ref="B34:E34"/>
    <mergeCell ref="B35:E35"/>
    <mergeCell ref="B36:E36"/>
    <mergeCell ref="F32:H32"/>
    <mergeCell ref="B24:E24"/>
    <mergeCell ref="B25:E25"/>
    <mergeCell ref="B29:E29"/>
    <mergeCell ref="B30:E30"/>
    <mergeCell ref="B26:E26"/>
    <mergeCell ref="F22:H22"/>
    <mergeCell ref="B8:E8"/>
    <mergeCell ref="B9:E9"/>
    <mergeCell ref="B10:E10"/>
    <mergeCell ref="B15:E15"/>
    <mergeCell ref="B17:E17"/>
    <mergeCell ref="B14:E14"/>
    <mergeCell ref="B13:E13"/>
    <mergeCell ref="B19:E19"/>
    <mergeCell ref="B4:I4"/>
    <mergeCell ref="B5:E5"/>
    <mergeCell ref="B6:E6"/>
    <mergeCell ref="B7:E7"/>
    <mergeCell ref="J15:W16"/>
  </mergeCells>
  <phoneticPr fontId="11" type="noConversion"/>
  <pageMargins left="0.7" right="0.7" top="0.75" bottom="0.75" header="0.3" footer="0.3"/>
  <pageSetup scale="7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2:U35"/>
  <sheetViews>
    <sheetView workbookViewId="0">
      <selection activeCell="L41" sqref="L41"/>
    </sheetView>
  </sheetViews>
  <sheetFormatPr defaultRowHeight="13.2" x14ac:dyDescent="0.25"/>
  <cols>
    <col min="1" max="1" width="3.6640625" customWidth="1"/>
    <col min="6" max="6" width="9.5546875" bestFit="1" customWidth="1"/>
    <col min="8" max="9" width="9.5546875" bestFit="1" customWidth="1"/>
    <col min="12" max="12" width="13" customWidth="1"/>
    <col min="14" max="20" width="0" hidden="1" customWidth="1"/>
  </cols>
  <sheetData>
    <row r="2" spans="2:21" ht="13.8" x14ac:dyDescent="0.25">
      <c r="B2" s="298" t="s">
        <v>2</v>
      </c>
      <c r="C2" s="10"/>
      <c r="D2" s="10"/>
      <c r="E2" s="10"/>
      <c r="F2" s="10"/>
      <c r="G2" s="10"/>
      <c r="H2" s="10"/>
      <c r="I2" s="10"/>
      <c r="J2" s="10"/>
      <c r="K2" s="10" t="s">
        <v>12</v>
      </c>
      <c r="L2" s="10">
        <v>1.026</v>
      </c>
      <c r="M2" s="10"/>
      <c r="N2" s="10"/>
      <c r="O2" s="10"/>
      <c r="P2" s="10"/>
      <c r="Q2" s="10"/>
      <c r="R2" s="10"/>
      <c r="S2" s="10"/>
      <c r="T2" s="10"/>
      <c r="U2" s="10"/>
    </row>
    <row r="3" spans="2:21" x14ac:dyDescent="0.25">
      <c r="B3" s="5"/>
      <c r="C3" s="10"/>
      <c r="D3" s="10"/>
      <c r="E3" s="10"/>
      <c r="F3" s="10"/>
      <c r="G3" s="10"/>
      <c r="H3" s="10"/>
      <c r="I3" s="10"/>
      <c r="J3" s="10"/>
      <c r="K3" s="10"/>
      <c r="L3" s="10"/>
      <c r="M3" s="10"/>
      <c r="O3" s="10"/>
      <c r="P3" s="10"/>
      <c r="Q3" s="10"/>
      <c r="R3" s="10"/>
      <c r="S3" s="10"/>
      <c r="T3" s="10"/>
      <c r="U3" s="10"/>
    </row>
    <row r="4" spans="2:21" x14ac:dyDescent="0.25">
      <c r="B4" s="366" t="s">
        <v>8</v>
      </c>
      <c r="C4" s="366"/>
      <c r="D4" s="366"/>
      <c r="E4" s="366"/>
      <c r="F4" s="366"/>
      <c r="G4" s="366"/>
      <c r="H4" s="366"/>
      <c r="I4" s="366"/>
      <c r="J4" s="18"/>
      <c r="K4" s="10"/>
      <c r="L4" s="10"/>
      <c r="M4" s="10"/>
      <c r="N4" s="10"/>
      <c r="O4" s="10"/>
      <c r="P4" s="10"/>
      <c r="Q4" s="10"/>
      <c r="R4" s="10"/>
      <c r="S4" s="10"/>
      <c r="T4" s="10"/>
      <c r="U4" s="10"/>
    </row>
    <row r="5" spans="2:21" x14ac:dyDescent="0.25">
      <c r="B5" s="376"/>
      <c r="C5" s="377"/>
      <c r="D5" s="377"/>
      <c r="E5" s="378"/>
      <c r="F5" s="8">
        <v>2015</v>
      </c>
      <c r="G5" s="8">
        <v>2016</v>
      </c>
      <c r="H5" s="8">
        <v>2017</v>
      </c>
      <c r="I5" s="8" t="s">
        <v>3</v>
      </c>
      <c r="J5" s="10" t="s">
        <v>5</v>
      </c>
      <c r="K5" s="10"/>
      <c r="L5" s="10"/>
      <c r="M5" s="10"/>
      <c r="N5" s="10"/>
      <c r="O5" s="10"/>
      <c r="P5" s="10"/>
      <c r="Q5" s="10"/>
      <c r="R5" s="10"/>
      <c r="S5" s="10"/>
      <c r="T5" s="10"/>
      <c r="U5" s="10"/>
    </row>
    <row r="6" spans="2:21" x14ac:dyDescent="0.25">
      <c r="B6" s="370" t="s">
        <v>68</v>
      </c>
      <c r="C6" s="370"/>
      <c r="D6" s="370"/>
      <c r="E6" s="370"/>
      <c r="F6" s="8">
        <v>0</v>
      </c>
      <c r="G6" s="8">
        <f>'RFP-Contract Process Assump'!C9</f>
        <v>61</v>
      </c>
      <c r="H6" s="8">
        <v>0</v>
      </c>
      <c r="I6" s="8">
        <f>SUM(F6:H6)</f>
        <v>61</v>
      </c>
      <c r="J6" s="10"/>
      <c r="K6" s="10"/>
      <c r="L6" s="10"/>
      <c r="M6" s="10"/>
      <c r="N6" s="10"/>
      <c r="O6" s="10"/>
      <c r="P6" s="10"/>
      <c r="Q6" s="10"/>
      <c r="R6" s="10"/>
      <c r="S6" s="10"/>
      <c r="T6" s="10"/>
      <c r="U6" s="10"/>
    </row>
    <row r="7" spans="2:21" x14ac:dyDescent="0.25">
      <c r="B7" s="370" t="s">
        <v>31</v>
      </c>
      <c r="C7" s="370"/>
      <c r="D7" s="370"/>
      <c r="E7" s="370"/>
      <c r="F7" s="8">
        <v>0</v>
      </c>
      <c r="G7" s="8">
        <v>60</v>
      </c>
      <c r="H7" s="8">
        <v>0</v>
      </c>
      <c r="I7" s="8">
        <f>SUM(F7:H7)</f>
        <v>60</v>
      </c>
      <c r="J7" s="10"/>
      <c r="K7" s="10"/>
      <c r="L7" s="10"/>
      <c r="M7" s="10"/>
      <c r="N7" s="10"/>
      <c r="O7" s="10"/>
      <c r="P7" s="10"/>
      <c r="Q7" s="10"/>
      <c r="R7" s="10"/>
      <c r="S7" s="10"/>
      <c r="T7" s="10"/>
      <c r="U7" s="10"/>
    </row>
    <row r="8" spans="2:21" x14ac:dyDescent="0.25">
      <c r="B8" s="370" t="s">
        <v>306</v>
      </c>
      <c r="C8" s="370"/>
      <c r="D8" s="370"/>
      <c r="E8" s="370"/>
      <c r="F8" s="8">
        <f>F25</f>
        <v>80</v>
      </c>
      <c r="G8" s="8">
        <f>G25</f>
        <v>194</v>
      </c>
      <c r="H8" s="8">
        <f>H25</f>
        <v>80</v>
      </c>
      <c r="I8" s="8">
        <f>SUM(F8:H8)</f>
        <v>354</v>
      </c>
      <c r="J8" s="10" t="s">
        <v>86</v>
      </c>
      <c r="K8" s="10"/>
      <c r="L8" s="10"/>
      <c r="M8" s="10"/>
      <c r="N8" s="10"/>
      <c r="O8" s="10"/>
      <c r="P8" s="10"/>
      <c r="Q8" s="10"/>
      <c r="R8" s="10"/>
      <c r="S8" s="10"/>
      <c r="T8" s="10"/>
      <c r="U8" s="10"/>
    </row>
    <row r="9" spans="2:21" x14ac:dyDescent="0.25">
      <c r="B9" s="372" t="s">
        <v>10</v>
      </c>
      <c r="C9" s="372"/>
      <c r="D9" s="372"/>
      <c r="E9" s="372"/>
      <c r="F9" s="9">
        <f>SUM(F6:F8)</f>
        <v>80</v>
      </c>
      <c r="G9" s="9">
        <f>SUM(G6:G8)</f>
        <v>315</v>
      </c>
      <c r="H9" s="9">
        <f>SUM(H6:H8)</f>
        <v>80</v>
      </c>
      <c r="I9" s="9">
        <f>SUM(F9:H9)</f>
        <v>475</v>
      </c>
      <c r="J9" s="10"/>
      <c r="K9" s="10"/>
      <c r="L9" s="10"/>
      <c r="M9" s="10"/>
      <c r="N9" s="10"/>
      <c r="O9" s="10"/>
      <c r="P9" s="10"/>
      <c r="Q9" s="10"/>
      <c r="R9" s="10"/>
      <c r="S9" s="10"/>
      <c r="T9" s="10"/>
      <c r="U9" s="10"/>
    </row>
    <row r="10" spans="2:21" x14ac:dyDescent="0.25">
      <c r="B10" s="379" t="s">
        <v>16</v>
      </c>
      <c r="C10" s="379"/>
      <c r="D10" s="379"/>
      <c r="E10" s="379"/>
      <c r="F10" s="40">
        <f>F9*'Staff rate assump'!B10</f>
        <v>3831.2</v>
      </c>
      <c r="G10" s="40">
        <f>G9*'Staff rate assump'!C10</f>
        <v>15690.150000000001</v>
      </c>
      <c r="H10" s="40">
        <f>H9*'Staff rate assump'!D10</f>
        <v>4144</v>
      </c>
      <c r="I10" s="41">
        <f>SUM(F10:H10)</f>
        <v>23665.350000000002</v>
      </c>
      <c r="J10" s="10" t="s">
        <v>85</v>
      </c>
      <c r="L10" s="10"/>
      <c r="M10" s="10"/>
      <c r="N10" s="10"/>
      <c r="O10" s="10"/>
      <c r="P10" s="10"/>
      <c r="Q10" s="10"/>
      <c r="R10" s="10"/>
      <c r="S10" s="10"/>
      <c r="T10" s="10"/>
      <c r="U10" s="10"/>
    </row>
    <row r="11" spans="2:21" x14ac:dyDescent="0.25">
      <c r="B11" s="51"/>
      <c r="C11" s="51"/>
      <c r="D11" s="51"/>
      <c r="E11" s="51"/>
      <c r="F11" s="54"/>
      <c r="G11" s="54"/>
      <c r="H11" s="54"/>
      <c r="I11" s="55"/>
      <c r="J11" s="25" t="s">
        <v>116</v>
      </c>
      <c r="L11" s="10"/>
      <c r="M11" s="10"/>
      <c r="N11" s="10"/>
      <c r="O11" s="10"/>
      <c r="P11" s="10"/>
      <c r="Q11" s="10"/>
      <c r="R11" s="10"/>
      <c r="S11" s="10"/>
      <c r="T11" s="10"/>
      <c r="U11" s="10"/>
    </row>
    <row r="12" spans="2:21" x14ac:dyDescent="0.25">
      <c r="B12" s="10"/>
      <c r="C12" s="10"/>
      <c r="D12" s="10"/>
      <c r="E12" s="10"/>
      <c r="F12" s="16"/>
      <c r="G12" s="16"/>
      <c r="H12" s="16"/>
      <c r="I12" s="17"/>
      <c r="N12" s="10"/>
      <c r="O12" s="10"/>
      <c r="P12" s="59" t="s">
        <v>11</v>
      </c>
      <c r="Q12" s="60"/>
      <c r="R12" s="61"/>
      <c r="S12" s="25"/>
    </row>
    <row r="13" spans="2:21" x14ac:dyDescent="0.25">
      <c r="B13" s="10"/>
      <c r="C13" s="10"/>
      <c r="D13" s="10"/>
      <c r="E13" s="10"/>
      <c r="F13" s="71"/>
      <c r="G13" s="10"/>
      <c r="H13" s="10"/>
      <c r="I13" s="10" t="s">
        <v>3</v>
      </c>
      <c r="N13" s="10">
        <v>2010</v>
      </c>
      <c r="O13" s="10">
        <v>2011</v>
      </c>
      <c r="P13" s="24">
        <v>2012</v>
      </c>
      <c r="Q13" s="25">
        <v>2013</v>
      </c>
      <c r="R13" s="26">
        <v>2014</v>
      </c>
      <c r="S13" s="25"/>
      <c r="T13" s="10"/>
      <c r="U13" s="10"/>
    </row>
    <row r="14" spans="2:21" x14ac:dyDescent="0.25">
      <c r="B14" s="370" t="s">
        <v>83</v>
      </c>
      <c r="C14" s="370"/>
      <c r="D14" s="370"/>
      <c r="E14" s="370"/>
      <c r="F14" s="36">
        <v>0</v>
      </c>
      <c r="G14" s="37">
        <v>65000</v>
      </c>
      <c r="H14" s="36">
        <f>R14*K25</f>
        <v>0</v>
      </c>
      <c r="I14" s="38">
        <f>SUM(F14:H14)</f>
        <v>65000</v>
      </c>
      <c r="J14" s="10"/>
      <c r="N14" s="47">
        <f>T16</f>
        <v>164.23076923076923</v>
      </c>
      <c r="O14" s="47">
        <f>N14*L2</f>
        <v>168.50076923076924</v>
      </c>
      <c r="P14" s="56">
        <f>O14*L2</f>
        <v>172.88178923076924</v>
      </c>
      <c r="Q14" s="57">
        <f>P14*L2</f>
        <v>177.37671575076925</v>
      </c>
      <c r="R14" s="58">
        <f>Q14*L2</f>
        <v>181.98851036028927</v>
      </c>
      <c r="S14" s="25"/>
      <c r="T14" s="10"/>
      <c r="U14" s="10"/>
    </row>
    <row r="15" spans="2:21" x14ac:dyDescent="0.25">
      <c r="B15" s="10"/>
      <c r="C15" s="10"/>
      <c r="D15" s="10"/>
      <c r="E15" s="10"/>
      <c r="F15" s="10"/>
      <c r="G15" s="10"/>
      <c r="H15" s="10"/>
      <c r="I15" s="10"/>
      <c r="J15" s="10"/>
      <c r="N15" s="10"/>
      <c r="O15" s="10"/>
      <c r="P15" s="3"/>
      <c r="Q15" s="25"/>
      <c r="R15" s="25"/>
      <c r="S15" s="25"/>
      <c r="T15" s="10">
        <f>275+180+275+180+165+165+130+130+110+110+135+135+145</f>
        <v>2135</v>
      </c>
      <c r="U15" s="10"/>
    </row>
    <row r="16" spans="2:21" x14ac:dyDescent="0.25">
      <c r="B16" s="383" t="s">
        <v>33</v>
      </c>
      <c r="C16" s="384"/>
      <c r="D16" s="384"/>
      <c r="E16" s="385"/>
      <c r="F16" s="90">
        <f>F10+F14</f>
        <v>3831.2</v>
      </c>
      <c r="G16" s="90">
        <f>G10+G14</f>
        <v>80690.149999999994</v>
      </c>
      <c r="H16" s="90">
        <f>H10+H14</f>
        <v>4144</v>
      </c>
      <c r="I16" s="89">
        <f>I14+I10</f>
        <v>88665.35</v>
      </c>
      <c r="J16" s="10"/>
      <c r="K16" s="10"/>
      <c r="L16" s="10"/>
      <c r="N16" s="10"/>
      <c r="T16">
        <f>T15/13</f>
        <v>164.23076923076923</v>
      </c>
      <c r="U16" s="10"/>
    </row>
    <row r="17" spans="1:21" x14ac:dyDescent="0.25">
      <c r="B17" s="10"/>
      <c r="C17" s="10"/>
      <c r="D17" s="10"/>
      <c r="E17" s="18"/>
      <c r="F17" s="19"/>
      <c r="G17" s="19"/>
      <c r="H17" s="19"/>
      <c r="I17" s="20"/>
      <c r="J17" s="10"/>
      <c r="K17" s="42"/>
      <c r="L17" s="42"/>
      <c r="Q17" s="10"/>
      <c r="R17" s="25"/>
      <c r="S17" s="25"/>
      <c r="T17" s="25"/>
      <c r="U17" s="10"/>
    </row>
    <row r="18" spans="1:21" x14ac:dyDescent="0.25">
      <c r="B18" s="10"/>
      <c r="C18" s="10"/>
      <c r="D18" s="10"/>
      <c r="E18" s="10"/>
      <c r="F18" s="10"/>
      <c r="G18" s="10"/>
      <c r="H18" s="10"/>
      <c r="I18" s="10"/>
      <c r="J18" s="10"/>
      <c r="K18" s="10"/>
      <c r="L18" s="10"/>
      <c r="Q18" s="10"/>
      <c r="R18" s="65"/>
      <c r="S18" s="25"/>
      <c r="T18" s="25"/>
      <c r="U18" s="10"/>
    </row>
    <row r="19" spans="1:21" x14ac:dyDescent="0.25">
      <c r="B19" s="10" t="s">
        <v>188</v>
      </c>
      <c r="C19" s="10"/>
      <c r="D19" s="10"/>
      <c r="E19" s="10"/>
      <c r="F19" s="369" t="s">
        <v>8</v>
      </c>
      <c r="G19" s="369"/>
      <c r="H19" s="369"/>
      <c r="I19" s="10"/>
      <c r="J19" s="10"/>
      <c r="K19" s="10"/>
      <c r="L19" s="10"/>
      <c r="M19" s="10"/>
      <c r="N19" s="10"/>
      <c r="O19" s="10"/>
      <c r="P19" s="10"/>
      <c r="Q19" s="10"/>
      <c r="R19" s="25"/>
      <c r="S19" s="25"/>
      <c r="T19" s="25"/>
      <c r="U19" s="10"/>
    </row>
    <row r="20" spans="1:21" x14ac:dyDescent="0.25">
      <c r="B20" s="10"/>
      <c r="C20" s="10"/>
      <c r="D20" s="10"/>
      <c r="E20" s="10"/>
      <c r="F20" s="39">
        <v>2015</v>
      </c>
      <c r="G20" s="39">
        <v>2016</v>
      </c>
      <c r="H20" s="39">
        <v>2017</v>
      </c>
      <c r="I20" s="39" t="s">
        <v>38</v>
      </c>
      <c r="J20" s="10"/>
      <c r="K20" s="10"/>
      <c r="L20" s="10"/>
      <c r="M20" s="42"/>
      <c r="N20" s="10"/>
      <c r="O20" s="10"/>
      <c r="P20" s="10"/>
      <c r="Q20" s="10"/>
      <c r="R20" s="65"/>
      <c r="S20" s="25"/>
      <c r="T20" s="25"/>
      <c r="U20" s="10"/>
    </row>
    <row r="21" spans="1:21" x14ac:dyDescent="0.25">
      <c r="B21" s="386" t="s">
        <v>112</v>
      </c>
      <c r="C21" s="387"/>
      <c r="D21" s="387"/>
      <c r="E21" s="388"/>
      <c r="F21" s="39">
        <v>0</v>
      </c>
      <c r="G21" s="39">
        <v>24</v>
      </c>
      <c r="H21" s="39">
        <v>0</v>
      </c>
      <c r="I21" s="39">
        <f>SUM(F21:H21)</f>
        <v>24</v>
      </c>
      <c r="J21" s="10"/>
      <c r="K21" s="10"/>
      <c r="L21" s="10"/>
      <c r="M21" s="10"/>
      <c r="N21" s="10"/>
      <c r="O21" s="10"/>
      <c r="P21" s="10"/>
      <c r="Q21" s="10"/>
      <c r="R21" s="10"/>
      <c r="S21" s="10"/>
      <c r="T21" s="10"/>
      <c r="U21" s="10"/>
    </row>
    <row r="22" spans="1:21" ht="12.75" customHeight="1" x14ac:dyDescent="0.25">
      <c r="B22" s="380" t="s">
        <v>113</v>
      </c>
      <c r="C22" s="381"/>
      <c r="D22" s="381"/>
      <c r="E22" s="382"/>
      <c r="F22" s="39">
        <v>20</v>
      </c>
      <c r="G22" s="39">
        <v>80</v>
      </c>
      <c r="H22" s="39">
        <v>20</v>
      </c>
      <c r="I22" s="39">
        <f>SUM(F22:H22)</f>
        <v>120</v>
      </c>
      <c r="J22" s="10"/>
      <c r="K22" s="10"/>
      <c r="L22" s="10"/>
      <c r="M22" s="10"/>
      <c r="N22" s="10"/>
      <c r="O22" s="10"/>
      <c r="P22" s="10"/>
      <c r="Q22" s="10"/>
    </row>
    <row r="23" spans="1:21" x14ac:dyDescent="0.25">
      <c r="B23" s="380" t="s">
        <v>114</v>
      </c>
      <c r="C23" s="381"/>
      <c r="D23" s="381"/>
      <c r="E23" s="382"/>
      <c r="F23" s="39">
        <v>50</v>
      </c>
      <c r="G23" s="39">
        <v>50</v>
      </c>
      <c r="H23" s="39">
        <v>50</v>
      </c>
      <c r="I23" s="39">
        <f>SUM(F23:H23)</f>
        <v>150</v>
      </c>
      <c r="J23" s="10"/>
      <c r="K23" s="10"/>
      <c r="L23" s="10"/>
      <c r="M23" s="10"/>
      <c r="N23" s="10"/>
      <c r="O23" s="10"/>
      <c r="P23" s="10"/>
      <c r="Q23" s="10"/>
    </row>
    <row r="24" spans="1:21" x14ac:dyDescent="0.25">
      <c r="B24" s="127" t="s">
        <v>115</v>
      </c>
      <c r="C24" s="128"/>
      <c r="D24" s="128"/>
      <c r="E24" s="129"/>
      <c r="F24" s="39">
        <v>10</v>
      </c>
      <c r="G24" s="39">
        <v>40</v>
      </c>
      <c r="H24" s="39">
        <v>10</v>
      </c>
      <c r="I24" s="39">
        <f>SUM(F24:H24)</f>
        <v>60</v>
      </c>
      <c r="J24" s="10" t="s">
        <v>120</v>
      </c>
      <c r="L24" s="10"/>
      <c r="M24" s="10"/>
      <c r="N24" s="10"/>
      <c r="O24" s="10"/>
      <c r="P24" s="10"/>
      <c r="Q24" s="10"/>
    </row>
    <row r="25" spans="1:21" x14ac:dyDescent="0.25">
      <c r="B25" s="393" t="s">
        <v>38</v>
      </c>
      <c r="C25" s="393"/>
      <c r="D25" s="393"/>
      <c r="E25" s="393"/>
      <c r="F25" s="10">
        <f>SUM(F21:F24)</f>
        <v>80</v>
      </c>
      <c r="G25" s="10">
        <f>SUM(G21:G24)</f>
        <v>194</v>
      </c>
      <c r="H25" s="10">
        <f>SUM(H21:H24)</f>
        <v>80</v>
      </c>
      <c r="I25" s="10"/>
      <c r="J25" s="10"/>
      <c r="K25" s="10"/>
      <c r="L25" s="62"/>
      <c r="M25" s="10"/>
      <c r="N25" s="10"/>
      <c r="O25" s="10"/>
      <c r="P25" s="10"/>
      <c r="Q25" s="10"/>
    </row>
    <row r="26" spans="1:21" x14ac:dyDescent="0.25">
      <c r="B26" s="10"/>
      <c r="C26" s="10"/>
      <c r="D26" s="10"/>
      <c r="E26" s="10"/>
      <c r="F26" s="10"/>
      <c r="G26" s="10"/>
      <c r="H26" s="10"/>
      <c r="I26" s="10"/>
      <c r="J26" s="10"/>
      <c r="K26" s="10"/>
      <c r="L26" s="10"/>
      <c r="M26" s="10"/>
      <c r="N26" s="10"/>
      <c r="O26" s="10"/>
      <c r="P26" s="10"/>
      <c r="Q26" s="10"/>
    </row>
    <row r="27" spans="1:21" x14ac:dyDescent="0.25">
      <c r="A27" s="5"/>
      <c r="B27" s="49"/>
      <c r="C27" s="49"/>
      <c r="D27" s="49"/>
      <c r="E27" s="49"/>
      <c r="F27" s="389"/>
      <c r="G27" s="389"/>
      <c r="H27" s="389"/>
      <c r="I27" s="389"/>
      <c r="J27" s="389"/>
      <c r="K27" s="389"/>
      <c r="L27" s="10"/>
      <c r="M27" s="10"/>
      <c r="N27" s="10"/>
      <c r="O27" s="10"/>
      <c r="P27" s="10"/>
      <c r="Q27" s="10"/>
    </row>
    <row r="28" spans="1:21" x14ac:dyDescent="0.25">
      <c r="B28" s="10"/>
      <c r="C28" s="49"/>
      <c r="D28" s="49"/>
      <c r="E28" s="49"/>
      <c r="F28" s="49"/>
      <c r="G28" s="49"/>
      <c r="H28" s="49"/>
      <c r="I28" s="49"/>
      <c r="J28" s="49"/>
      <c r="K28" s="49"/>
      <c r="L28" s="10"/>
      <c r="M28" s="63"/>
      <c r="N28" s="10"/>
      <c r="O28" s="10"/>
      <c r="P28" s="10"/>
      <c r="Q28" s="10"/>
      <c r="R28" s="10"/>
      <c r="S28" s="10"/>
      <c r="T28" s="10"/>
      <c r="U28" s="10"/>
    </row>
    <row r="29" spans="1:21" x14ac:dyDescent="0.25">
      <c r="B29" s="50"/>
      <c r="C29" s="69"/>
      <c r="D29" s="50"/>
      <c r="E29" s="50"/>
      <c r="F29" s="49"/>
      <c r="G29" s="49"/>
      <c r="H29" s="49"/>
      <c r="I29" s="49"/>
      <c r="J29" s="49"/>
      <c r="K29" s="49"/>
      <c r="L29" s="10"/>
      <c r="M29" s="10"/>
      <c r="N29" s="10"/>
      <c r="O29" s="10"/>
      <c r="P29" s="10"/>
      <c r="Q29" s="10"/>
      <c r="R29" s="10"/>
      <c r="S29" s="10"/>
      <c r="T29" s="10"/>
      <c r="U29" s="10"/>
    </row>
    <row r="30" spans="1:21" x14ac:dyDescent="0.25">
      <c r="C30" s="69"/>
      <c r="M30" s="10"/>
      <c r="N30" s="10"/>
      <c r="O30" s="10"/>
      <c r="P30" s="10"/>
      <c r="Q30" s="10"/>
      <c r="R30" s="10"/>
      <c r="S30" s="10"/>
      <c r="T30" s="10"/>
      <c r="U30" s="10"/>
    </row>
    <row r="31" spans="1:21" x14ac:dyDescent="0.25">
      <c r="C31" s="69"/>
      <c r="M31" s="10"/>
      <c r="N31" s="10"/>
      <c r="O31" s="10"/>
      <c r="P31" s="10"/>
      <c r="Q31" s="10"/>
      <c r="R31" s="10"/>
      <c r="S31" s="10"/>
      <c r="T31" s="10"/>
      <c r="U31" s="10"/>
    </row>
    <row r="32" spans="1:21" x14ac:dyDescent="0.25">
      <c r="C32" s="70"/>
      <c r="M32" s="10"/>
      <c r="N32" s="10"/>
      <c r="O32" s="10"/>
      <c r="P32" s="10"/>
      <c r="Q32" s="10"/>
      <c r="R32" s="10"/>
      <c r="S32" s="10"/>
      <c r="T32" s="10"/>
      <c r="U32" s="10"/>
    </row>
    <row r="33" spans="3:3" x14ac:dyDescent="0.25">
      <c r="C33" s="70"/>
    </row>
    <row r="34" spans="3:3" x14ac:dyDescent="0.25">
      <c r="C34" s="69"/>
    </row>
    <row r="35" spans="3:3" x14ac:dyDescent="0.25">
      <c r="C35" s="50"/>
    </row>
  </sheetData>
  <mergeCells count="16">
    <mergeCell ref="B10:E10"/>
    <mergeCell ref="B14:E14"/>
    <mergeCell ref="B4:I4"/>
    <mergeCell ref="B5:E5"/>
    <mergeCell ref="B6:E6"/>
    <mergeCell ref="B7:E7"/>
    <mergeCell ref="B8:E8"/>
    <mergeCell ref="B9:E9"/>
    <mergeCell ref="B23:E23"/>
    <mergeCell ref="B16:E16"/>
    <mergeCell ref="F27:H27"/>
    <mergeCell ref="I27:K27"/>
    <mergeCell ref="F19:H19"/>
    <mergeCell ref="B25:E25"/>
    <mergeCell ref="B21:E21"/>
    <mergeCell ref="B22:E22"/>
  </mergeCells>
  <phoneticPr fontId="11" type="noConversion"/>
  <pageMargins left="0.75" right="0.75" top="1" bottom="1" header="0.5" footer="0.5"/>
  <pageSetup scale="96"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2:J20"/>
  <sheetViews>
    <sheetView workbookViewId="0">
      <selection activeCell="B21" sqref="B21"/>
    </sheetView>
  </sheetViews>
  <sheetFormatPr defaultRowHeight="13.2" x14ac:dyDescent="0.25"/>
  <cols>
    <col min="1" max="1" width="5.44140625" customWidth="1"/>
  </cols>
  <sheetData>
    <row r="2" spans="2:10" ht="13.8" x14ac:dyDescent="0.25">
      <c r="B2" s="298" t="s">
        <v>183</v>
      </c>
    </row>
    <row r="4" spans="2:10" x14ac:dyDescent="0.25">
      <c r="B4" s="366" t="s">
        <v>8</v>
      </c>
      <c r="C4" s="366"/>
      <c r="D4" s="366"/>
      <c r="E4" s="366"/>
      <c r="F4" s="366"/>
      <c r="G4" s="366"/>
      <c r="H4" s="366"/>
      <c r="I4" s="366"/>
    </row>
    <row r="5" spans="2:10" x14ac:dyDescent="0.25">
      <c r="B5" s="376"/>
      <c r="C5" s="377"/>
      <c r="D5" s="377"/>
      <c r="E5" s="378"/>
      <c r="F5" s="8">
        <v>2015</v>
      </c>
      <c r="G5" s="8">
        <v>2016</v>
      </c>
      <c r="H5" s="8">
        <v>2017</v>
      </c>
      <c r="I5" s="8" t="s">
        <v>3</v>
      </c>
      <c r="J5" s="67" t="s">
        <v>5</v>
      </c>
    </row>
    <row r="6" spans="2:10" x14ac:dyDescent="0.25">
      <c r="B6" s="407" t="s">
        <v>210</v>
      </c>
      <c r="C6" s="408"/>
      <c r="D6" s="408"/>
      <c r="E6" s="409"/>
      <c r="F6" s="8">
        <v>80</v>
      </c>
      <c r="G6" s="8">
        <v>80</v>
      </c>
      <c r="H6" s="8">
        <v>80</v>
      </c>
      <c r="I6" s="8">
        <f t="shared" ref="I6:I11" si="0">SUM(F6:H6)</f>
        <v>240</v>
      </c>
      <c r="J6" s="67" t="s">
        <v>215</v>
      </c>
    </row>
    <row r="7" spans="2:10" x14ac:dyDescent="0.25">
      <c r="B7" s="82"/>
      <c r="C7" s="408" t="s">
        <v>211</v>
      </c>
      <c r="D7" s="408"/>
      <c r="E7" s="409"/>
      <c r="F7" s="8"/>
      <c r="G7" s="8">
        <v>120</v>
      </c>
      <c r="H7" s="8"/>
      <c r="I7" s="8">
        <f t="shared" si="0"/>
        <v>120</v>
      </c>
      <c r="J7" s="67" t="s">
        <v>214</v>
      </c>
    </row>
    <row r="8" spans="2:10" x14ac:dyDescent="0.25">
      <c r="B8" s="370" t="s">
        <v>68</v>
      </c>
      <c r="C8" s="370"/>
      <c r="D8" s="370"/>
      <c r="E8" s="370"/>
      <c r="F8" s="149"/>
      <c r="G8" s="8"/>
      <c r="H8" s="8">
        <f>'RFP-Contract Process Assump'!C9</f>
        <v>61</v>
      </c>
      <c r="I8" s="8">
        <f t="shared" si="0"/>
        <v>61</v>
      </c>
      <c r="J8" s="67" t="s">
        <v>216</v>
      </c>
    </row>
    <row r="9" spans="2:10" x14ac:dyDescent="0.25">
      <c r="B9" s="370" t="s">
        <v>31</v>
      </c>
      <c r="C9" s="370"/>
      <c r="D9" s="370"/>
      <c r="E9" s="370"/>
      <c r="F9" s="8"/>
      <c r="G9" s="8">
        <v>0</v>
      </c>
      <c r="H9" s="8">
        <v>36</v>
      </c>
      <c r="I9" s="8">
        <f t="shared" si="0"/>
        <v>36</v>
      </c>
      <c r="J9" s="67" t="s">
        <v>217</v>
      </c>
    </row>
    <row r="10" spans="2:10" x14ac:dyDescent="0.25">
      <c r="B10" s="372" t="s">
        <v>10</v>
      </c>
      <c r="C10" s="372"/>
      <c r="D10" s="372"/>
      <c r="E10" s="372"/>
      <c r="F10" s="9">
        <f>SUM(F6:F9)</f>
        <v>80</v>
      </c>
      <c r="G10" s="9">
        <f>SUM(G6:G9)</f>
        <v>200</v>
      </c>
      <c r="H10" s="9">
        <f>SUM(H6:H9)</f>
        <v>177</v>
      </c>
      <c r="I10" s="9">
        <f t="shared" si="0"/>
        <v>457</v>
      </c>
      <c r="J10" s="67" t="s">
        <v>203</v>
      </c>
    </row>
    <row r="11" spans="2:10" x14ac:dyDescent="0.25">
      <c r="B11" s="379" t="s">
        <v>16</v>
      </c>
      <c r="C11" s="379"/>
      <c r="D11" s="379"/>
      <c r="E11" s="379"/>
      <c r="F11" s="40">
        <f>F10*'Staff rate assump'!B10</f>
        <v>3831.2</v>
      </c>
      <c r="G11" s="40">
        <f>G10*'Staff rate assump'!C10</f>
        <v>9962</v>
      </c>
      <c r="H11" s="40">
        <f>H10*'Staff rate assump'!D10</f>
        <v>9168.6</v>
      </c>
      <c r="I11" s="41">
        <f t="shared" si="0"/>
        <v>22961.800000000003</v>
      </c>
      <c r="J11" s="67"/>
    </row>
    <row r="12" spans="2:10" x14ac:dyDescent="0.25">
      <c r="J12" s="67"/>
    </row>
    <row r="13" spans="2:10" x14ac:dyDescent="0.25">
      <c r="B13" s="51"/>
      <c r="C13" s="51"/>
      <c r="D13" s="51"/>
      <c r="E13" s="51"/>
      <c r="F13" s="52"/>
      <c r="G13" s="52"/>
      <c r="H13" s="52"/>
      <c r="I13" s="53"/>
    </row>
    <row r="14" spans="2:10" x14ac:dyDescent="0.25">
      <c r="B14" s="10"/>
      <c r="C14" s="10"/>
      <c r="D14" s="10"/>
      <c r="E14" s="10"/>
      <c r="F14" s="71"/>
      <c r="G14" s="10"/>
      <c r="H14" s="10"/>
      <c r="I14" s="10" t="s">
        <v>3</v>
      </c>
    </row>
    <row r="15" spans="2:10" x14ac:dyDescent="0.25">
      <c r="B15" s="370" t="s">
        <v>83</v>
      </c>
      <c r="C15" s="370"/>
      <c r="D15" s="370"/>
      <c r="E15" s="370"/>
      <c r="F15" s="36">
        <v>0</v>
      </c>
      <c r="G15" s="37">
        <v>0</v>
      </c>
      <c r="H15" s="37">
        <v>35000</v>
      </c>
      <c r="I15" s="38">
        <f>SUM(F15:H15)</f>
        <v>35000</v>
      </c>
    </row>
    <row r="16" spans="2:10" x14ac:dyDescent="0.25">
      <c r="B16" s="10"/>
      <c r="C16" s="10"/>
      <c r="D16" s="10"/>
      <c r="E16" s="10"/>
      <c r="F16" s="10"/>
      <c r="G16" s="10"/>
      <c r="H16" s="10"/>
      <c r="I16" s="10"/>
    </row>
    <row r="17" spans="2:9" x14ac:dyDescent="0.25">
      <c r="B17" s="383" t="s">
        <v>33</v>
      </c>
      <c r="C17" s="384"/>
      <c r="D17" s="384"/>
      <c r="E17" s="385"/>
      <c r="F17" s="90">
        <f>F11+F15</f>
        <v>3831.2</v>
      </c>
      <c r="G17" s="90">
        <f>G11+G15</f>
        <v>9962</v>
      </c>
      <c r="H17" s="90">
        <f>H11+H15</f>
        <v>44168.6</v>
      </c>
      <c r="I17" s="90">
        <f>I11+I15</f>
        <v>57961.8</v>
      </c>
    </row>
    <row r="19" spans="2:9" x14ac:dyDescent="0.25">
      <c r="B19" s="402" t="s">
        <v>374</v>
      </c>
      <c r="C19" s="403"/>
      <c r="D19" s="403"/>
      <c r="E19" s="403"/>
      <c r="F19" s="90">
        <f>F17*'Overall Summary'!$D$63</f>
        <v>3371.4559999999997</v>
      </c>
      <c r="G19" s="90">
        <f>G17*'Overall Summary'!$D$63</f>
        <v>8766.56</v>
      </c>
      <c r="H19" s="90">
        <f>H17*'Overall Summary'!$D$63</f>
        <v>38868.368000000002</v>
      </c>
      <c r="I19" s="90">
        <f>SUM(F19:H19)</f>
        <v>51006.384000000005</v>
      </c>
    </row>
    <row r="20" spans="2:9" x14ac:dyDescent="0.25">
      <c r="B20" s="402" t="s">
        <v>375</v>
      </c>
      <c r="C20" s="403"/>
      <c r="D20" s="403"/>
      <c r="E20" s="403"/>
      <c r="F20" s="90">
        <f>F17*'Overall Summary'!$D$64</f>
        <v>459.74399999999997</v>
      </c>
      <c r="G20" s="90">
        <f>G17*'Overall Summary'!$D$64</f>
        <v>1195.44</v>
      </c>
      <c r="H20" s="90">
        <f>H17*'Overall Summary'!$D$64</f>
        <v>5300.232</v>
      </c>
      <c r="I20" s="90">
        <f>SUM(F20:H20)</f>
        <v>6955.4160000000002</v>
      </c>
    </row>
  </sheetData>
  <mergeCells count="12">
    <mergeCell ref="B8:E8"/>
    <mergeCell ref="B4:I4"/>
    <mergeCell ref="B5:E5"/>
    <mergeCell ref="B6:E6"/>
    <mergeCell ref="C7:E7"/>
    <mergeCell ref="B9:E9"/>
    <mergeCell ref="B19:E19"/>
    <mergeCell ref="B20:E20"/>
    <mergeCell ref="B17:E17"/>
    <mergeCell ref="B15:E15"/>
    <mergeCell ref="B10:E10"/>
    <mergeCell ref="B11:E11"/>
  </mergeCells>
  <phoneticPr fontId="11" type="noConversion"/>
  <pageMargins left="0.7" right="0.7" top="0.75" bottom="0.75" header="0.3" footer="0.3"/>
  <pageSetup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2:J17"/>
  <sheetViews>
    <sheetView workbookViewId="0">
      <selection activeCell="B18" sqref="B18"/>
    </sheetView>
  </sheetViews>
  <sheetFormatPr defaultRowHeight="13.2" x14ac:dyDescent="0.25"/>
  <cols>
    <col min="1" max="1" width="5.44140625" customWidth="1"/>
    <col min="7" max="7" width="9.5546875" bestFit="1" customWidth="1"/>
    <col min="9" max="9" width="9.5546875" bestFit="1" customWidth="1"/>
  </cols>
  <sheetData>
    <row r="2" spans="2:10" ht="13.8" x14ac:dyDescent="0.25">
      <c r="B2" s="298" t="s">
        <v>202</v>
      </c>
    </row>
    <row r="4" spans="2:10" x14ac:dyDescent="0.25">
      <c r="B4" s="366" t="s">
        <v>8</v>
      </c>
      <c r="C4" s="366"/>
      <c r="D4" s="366"/>
      <c r="E4" s="366"/>
      <c r="F4" s="366"/>
      <c r="G4" s="366"/>
      <c r="H4" s="366"/>
      <c r="I4" s="366"/>
    </row>
    <row r="5" spans="2:10" x14ac:dyDescent="0.25">
      <c r="B5" s="376"/>
      <c r="C5" s="377"/>
      <c r="D5" s="377"/>
      <c r="E5" s="378"/>
      <c r="F5" s="8">
        <v>2015</v>
      </c>
      <c r="G5" s="8">
        <v>2016</v>
      </c>
      <c r="H5" s="8">
        <v>2017</v>
      </c>
      <c r="I5" s="8" t="s">
        <v>3</v>
      </c>
      <c r="J5" s="67" t="s">
        <v>5</v>
      </c>
    </row>
    <row r="6" spans="2:10" x14ac:dyDescent="0.25">
      <c r="B6" s="370" t="s">
        <v>68</v>
      </c>
      <c r="C6" s="370"/>
      <c r="D6" s="370"/>
      <c r="E6" s="370"/>
      <c r="F6" s="178"/>
      <c r="G6" s="8">
        <f>'RFP-Contract Process Assump'!C9</f>
        <v>61</v>
      </c>
      <c r="H6" s="8"/>
      <c r="I6" s="8">
        <f>SUM(G6:H6)</f>
        <v>61</v>
      </c>
      <c r="J6" s="67"/>
    </row>
    <row r="7" spans="2:10" x14ac:dyDescent="0.25">
      <c r="B7" s="370" t="s">
        <v>31</v>
      </c>
      <c r="C7" s="370"/>
      <c r="D7" s="370"/>
      <c r="E7" s="370"/>
      <c r="F7" s="8"/>
      <c r="G7" s="8">
        <f>2.5*45</f>
        <v>112.5</v>
      </c>
      <c r="H7" s="8"/>
      <c r="I7" s="8">
        <f>SUM(F7:H7)</f>
        <v>112.5</v>
      </c>
      <c r="J7" s="10" t="s">
        <v>313</v>
      </c>
    </row>
    <row r="8" spans="2:10" x14ac:dyDescent="0.25">
      <c r="B8" s="372" t="s">
        <v>10</v>
      </c>
      <c r="C8" s="372"/>
      <c r="D8" s="372"/>
      <c r="E8" s="372"/>
      <c r="F8" s="9">
        <f>SUM(F6:F7)</f>
        <v>0</v>
      </c>
      <c r="G8" s="9">
        <f>SUM(G6:G7)</f>
        <v>173.5</v>
      </c>
      <c r="H8" s="9">
        <f>SUM(H6:H7)</f>
        <v>0</v>
      </c>
      <c r="I8" s="9">
        <f>SUM(F8:H8)</f>
        <v>173.5</v>
      </c>
      <c r="J8" s="67"/>
    </row>
    <row r="9" spans="2:10" x14ac:dyDescent="0.25">
      <c r="B9" s="379" t="s">
        <v>16</v>
      </c>
      <c r="C9" s="379"/>
      <c r="D9" s="379"/>
      <c r="E9" s="379"/>
      <c r="F9" s="40">
        <f>F8*'Staff rate assump'!B10</f>
        <v>0</v>
      </c>
      <c r="G9" s="40">
        <f>G8*'Staff rate assump'!C10</f>
        <v>8642.0349999999999</v>
      </c>
      <c r="H9" s="40">
        <f>H8*'Staff rate assump'!D10</f>
        <v>0</v>
      </c>
      <c r="I9" s="41">
        <f>SUM(F9:H9)</f>
        <v>8642.0349999999999</v>
      </c>
      <c r="J9" s="67"/>
    </row>
    <row r="10" spans="2:10" x14ac:dyDescent="0.25">
      <c r="J10" s="67"/>
    </row>
    <row r="11" spans="2:10" x14ac:dyDescent="0.25">
      <c r="B11" s="10"/>
      <c r="C11" s="10"/>
      <c r="D11" s="10"/>
      <c r="E11" s="10"/>
      <c r="F11" s="71"/>
      <c r="G11" s="10"/>
      <c r="H11" s="10"/>
      <c r="I11" s="10" t="s">
        <v>3</v>
      </c>
    </row>
    <row r="12" spans="2:10" x14ac:dyDescent="0.25">
      <c r="B12" s="370" t="s">
        <v>83</v>
      </c>
      <c r="C12" s="370"/>
      <c r="D12" s="370"/>
      <c r="E12" s="370"/>
      <c r="F12" s="36"/>
      <c r="G12" s="38">
        <v>150000</v>
      </c>
      <c r="H12" s="36"/>
      <c r="I12" s="38">
        <f>SUM(F12:H12)</f>
        <v>150000</v>
      </c>
    </row>
    <row r="13" spans="2:10" x14ac:dyDescent="0.25">
      <c r="B13" s="10"/>
      <c r="C13" s="10"/>
      <c r="D13" s="10"/>
      <c r="E13" s="10"/>
      <c r="F13" s="10"/>
      <c r="G13" s="10"/>
      <c r="H13" s="10"/>
      <c r="I13" s="10"/>
    </row>
    <row r="14" spans="2:10" x14ac:dyDescent="0.25">
      <c r="B14" s="383" t="s">
        <v>33</v>
      </c>
      <c r="C14" s="384"/>
      <c r="D14" s="384"/>
      <c r="E14" s="385"/>
      <c r="F14" s="90">
        <f>F9+F12</f>
        <v>0</v>
      </c>
      <c r="G14" s="90">
        <f>G9+G12</f>
        <v>158642.035</v>
      </c>
      <c r="H14" s="90">
        <f>H9+H12</f>
        <v>0</v>
      </c>
      <c r="I14" s="90">
        <f>I9+I12</f>
        <v>158642.035</v>
      </c>
    </row>
    <row r="16" spans="2:10" x14ac:dyDescent="0.25">
      <c r="B16" s="402" t="s">
        <v>374</v>
      </c>
      <c r="C16" s="403"/>
      <c r="D16" s="403"/>
      <c r="E16" s="403"/>
      <c r="F16" s="90">
        <f>F14*'Overall Summary'!$D$63</f>
        <v>0</v>
      </c>
      <c r="G16" s="90">
        <f>G14*'Overall Summary'!$D$63</f>
        <v>139604.9908</v>
      </c>
      <c r="H16" s="90">
        <f>H14*'Overall Summary'!$D$63</f>
        <v>0</v>
      </c>
      <c r="I16" s="90">
        <f>SUM(F16:H16)</f>
        <v>139604.9908</v>
      </c>
    </row>
    <row r="17" spans="2:9" x14ac:dyDescent="0.25">
      <c r="B17" s="402" t="s">
        <v>375</v>
      </c>
      <c r="C17" s="403"/>
      <c r="D17" s="403"/>
      <c r="E17" s="403"/>
      <c r="F17" s="90">
        <f>F14*'Overall Summary'!$D$64</f>
        <v>0</v>
      </c>
      <c r="G17" s="90">
        <f>G14*'Overall Summary'!$D$64</f>
        <v>19037.0442</v>
      </c>
      <c r="H17" s="90">
        <f>H14*'Overall Summary'!$D$64</f>
        <v>0</v>
      </c>
      <c r="I17" s="90">
        <f>SUM(F17:H17)</f>
        <v>19037.0442</v>
      </c>
    </row>
  </sheetData>
  <mergeCells count="10">
    <mergeCell ref="B16:E16"/>
    <mergeCell ref="B17:E17"/>
    <mergeCell ref="B4:I4"/>
    <mergeCell ref="B5:E5"/>
    <mergeCell ref="B12:E12"/>
    <mergeCell ref="B14:E14"/>
    <mergeCell ref="B6:E6"/>
    <mergeCell ref="B7:E7"/>
    <mergeCell ref="B8:E8"/>
    <mergeCell ref="B9:E9"/>
  </mergeCells>
  <phoneticPr fontId="11" type="noConversion"/>
  <pageMargins left="0.75" right="0.75" top="1" bottom="1" header="0.5" footer="0.5"/>
  <pageSetup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2:N25"/>
  <sheetViews>
    <sheetView workbookViewId="0">
      <selection activeCell="C33" sqref="C33"/>
    </sheetView>
  </sheetViews>
  <sheetFormatPr defaultColWidth="9.109375" defaultRowHeight="10.199999999999999" x14ac:dyDescent="0.2"/>
  <cols>
    <col min="1" max="1" width="4.44140625" style="67" customWidth="1"/>
    <col min="2" max="2" width="35.88671875" style="67" customWidth="1"/>
    <col min="3" max="3" width="18.109375" style="67" customWidth="1"/>
    <col min="4" max="5" width="10.33203125" style="67" bestFit="1" customWidth="1"/>
    <col min="6" max="6" width="10.33203125" style="67" customWidth="1"/>
    <col min="7" max="16384" width="9.109375" style="67"/>
  </cols>
  <sheetData>
    <row r="2" spans="2:14" ht="13.8" x14ac:dyDescent="0.25">
      <c r="B2" s="298" t="s">
        <v>0</v>
      </c>
      <c r="C2" s="134"/>
      <c r="D2" s="134"/>
      <c r="E2" s="134"/>
      <c r="F2" s="134"/>
    </row>
    <row r="3" spans="2:14" ht="13.2" x14ac:dyDescent="0.25">
      <c r="B3" s="300" t="s">
        <v>301</v>
      </c>
      <c r="C3" s="134"/>
      <c r="D3" s="134"/>
      <c r="E3" s="134"/>
      <c r="F3" s="134"/>
      <c r="N3" s="131"/>
    </row>
    <row r="4" spans="2:14" ht="13.2" x14ac:dyDescent="0.25">
      <c r="B4" s="410" t="s">
        <v>49</v>
      </c>
      <c r="C4" s="411"/>
      <c r="D4" s="411"/>
      <c r="E4" s="411"/>
      <c r="F4" s="412"/>
    </row>
    <row r="5" spans="2:14" x14ac:dyDescent="0.2">
      <c r="B5" s="175"/>
      <c r="C5" s="175">
        <v>2015</v>
      </c>
      <c r="D5" s="175">
        <v>2016</v>
      </c>
      <c r="E5" s="175">
        <v>2017</v>
      </c>
      <c r="F5" s="177" t="s">
        <v>3</v>
      </c>
      <c r="G5" s="67" t="s">
        <v>5</v>
      </c>
    </row>
    <row r="6" spans="2:14" x14ac:dyDescent="0.2">
      <c r="B6" s="136" t="s">
        <v>52</v>
      </c>
      <c r="C6" s="135">
        <v>0</v>
      </c>
      <c r="D6" s="135">
        <v>0</v>
      </c>
      <c r="E6" s="135">
        <v>80</v>
      </c>
      <c r="F6" s="135">
        <f t="shared" ref="F6:F11" si="0">C6+D6+E6</f>
        <v>80</v>
      </c>
    </row>
    <row r="7" spans="2:14" x14ac:dyDescent="0.2">
      <c r="B7" s="136" t="s">
        <v>53</v>
      </c>
      <c r="C7" s="135">
        <v>10</v>
      </c>
      <c r="D7" s="135">
        <v>10</v>
      </c>
      <c r="E7" s="135">
        <v>30</v>
      </c>
      <c r="F7" s="135">
        <f t="shared" si="0"/>
        <v>50</v>
      </c>
    </row>
    <row r="8" spans="2:14" x14ac:dyDescent="0.2">
      <c r="B8" s="136" t="s">
        <v>141</v>
      </c>
      <c r="C8" s="135">
        <v>60</v>
      </c>
      <c r="D8" s="135">
        <v>60</v>
      </c>
      <c r="E8" s="135">
        <v>60</v>
      </c>
      <c r="F8" s="135">
        <f t="shared" si="0"/>
        <v>180</v>
      </c>
      <c r="G8" s="67" t="s">
        <v>218</v>
      </c>
    </row>
    <row r="9" spans="2:14" x14ac:dyDescent="0.2">
      <c r="B9" s="136" t="s">
        <v>142</v>
      </c>
      <c r="C9" s="135">
        <v>20</v>
      </c>
      <c r="D9" s="135">
        <v>20</v>
      </c>
      <c r="E9" s="135">
        <v>20</v>
      </c>
      <c r="F9" s="135">
        <f t="shared" si="0"/>
        <v>60</v>
      </c>
    </row>
    <row r="10" spans="2:14" x14ac:dyDescent="0.2">
      <c r="B10" s="138" t="s">
        <v>190</v>
      </c>
      <c r="C10" s="139">
        <f>SUM(C6:C9)</f>
        <v>90</v>
      </c>
      <c r="D10" s="139">
        <f>SUM(D6:D9)</f>
        <v>90</v>
      </c>
      <c r="E10" s="139">
        <f>SUM(E6:E9)</f>
        <v>190</v>
      </c>
      <c r="F10" s="9">
        <f t="shared" si="0"/>
        <v>370</v>
      </c>
      <c r="G10" s="67" t="s">
        <v>54</v>
      </c>
    </row>
    <row r="11" spans="2:14" x14ac:dyDescent="0.2">
      <c r="B11" s="141" t="s">
        <v>191</v>
      </c>
      <c r="C11" s="40">
        <f>C10*'Staff rate assump'!B10</f>
        <v>4310.1000000000004</v>
      </c>
      <c r="D11" s="40">
        <f>D10*'Staff rate assump'!C10</f>
        <v>4482.9000000000005</v>
      </c>
      <c r="E11" s="40">
        <f>E10*'Staff rate assump'!D10</f>
        <v>9842</v>
      </c>
      <c r="F11" s="41">
        <f t="shared" si="0"/>
        <v>18635</v>
      </c>
      <c r="G11" s="413" t="s">
        <v>219</v>
      </c>
      <c r="H11" s="413"/>
      <c r="I11" s="413"/>
      <c r="J11" s="413"/>
    </row>
    <row r="12" spans="2:14" x14ac:dyDescent="0.2">
      <c r="B12" s="130"/>
      <c r="C12" s="131"/>
      <c r="D12" s="131"/>
      <c r="E12" s="131"/>
      <c r="F12" s="131"/>
      <c r="G12" s="413"/>
      <c r="H12" s="413"/>
      <c r="I12" s="413"/>
      <c r="J12" s="413"/>
    </row>
    <row r="13" spans="2:14" x14ac:dyDescent="0.2">
      <c r="B13" s="130"/>
      <c r="C13" s="131"/>
      <c r="D13" s="131"/>
      <c r="E13" s="131"/>
      <c r="F13" s="131"/>
    </row>
    <row r="14" spans="2:14" ht="13.8" x14ac:dyDescent="0.25">
      <c r="B14" s="298" t="s">
        <v>1</v>
      </c>
      <c r="C14" s="134"/>
      <c r="D14" s="134"/>
      <c r="E14" s="134"/>
      <c r="F14" s="134"/>
    </row>
    <row r="15" spans="2:14" ht="13.2" x14ac:dyDescent="0.25">
      <c r="B15" s="300" t="s">
        <v>311</v>
      </c>
      <c r="C15" s="134"/>
      <c r="D15" s="134"/>
      <c r="E15" s="134"/>
      <c r="F15" s="134"/>
    </row>
    <row r="16" spans="2:14" ht="13.2" x14ac:dyDescent="0.25">
      <c r="B16" s="410" t="s">
        <v>49</v>
      </c>
      <c r="C16" s="411"/>
      <c r="D16" s="411"/>
      <c r="E16" s="411"/>
      <c r="F16" s="412"/>
    </row>
    <row r="17" spans="2:7" x14ac:dyDescent="0.2">
      <c r="B17" s="135"/>
      <c r="C17" s="135">
        <v>2015</v>
      </c>
      <c r="D17" s="135">
        <v>2016</v>
      </c>
      <c r="E17" s="135">
        <v>2017</v>
      </c>
      <c r="F17" s="177" t="s">
        <v>3</v>
      </c>
    </row>
    <row r="18" spans="2:7" x14ac:dyDescent="0.2">
      <c r="B18" s="136" t="s">
        <v>53</v>
      </c>
      <c r="C18" s="135">
        <v>10</v>
      </c>
      <c r="D18" s="135">
        <v>10</v>
      </c>
      <c r="E18" s="135">
        <v>30</v>
      </c>
      <c r="F18" s="135">
        <f>C18+D18+E18</f>
        <v>50</v>
      </c>
    </row>
    <row r="19" spans="2:7" x14ac:dyDescent="0.2">
      <c r="B19" s="136" t="s">
        <v>51</v>
      </c>
      <c r="C19" s="135">
        <v>50</v>
      </c>
      <c r="D19" s="135">
        <v>50</v>
      </c>
      <c r="E19" s="135">
        <v>50</v>
      </c>
      <c r="F19" s="135">
        <f>C19+D19+E19</f>
        <v>150</v>
      </c>
    </row>
    <row r="20" spans="2:7" x14ac:dyDescent="0.2">
      <c r="B20" s="136" t="s">
        <v>142</v>
      </c>
      <c r="C20" s="135">
        <v>20</v>
      </c>
      <c r="D20" s="135">
        <v>20</v>
      </c>
      <c r="E20" s="135">
        <v>20</v>
      </c>
      <c r="F20" s="135">
        <f>C20+D20+E20</f>
        <v>60</v>
      </c>
    </row>
    <row r="21" spans="2:7" x14ac:dyDescent="0.2">
      <c r="B21" s="138" t="s">
        <v>190</v>
      </c>
      <c r="C21" s="139">
        <f>SUM(C18:C20)</f>
        <v>80</v>
      </c>
      <c r="D21" s="139">
        <f>SUM(D18:D20)</f>
        <v>80</v>
      </c>
      <c r="E21" s="139">
        <f>SUM(E18:E20)</f>
        <v>100</v>
      </c>
      <c r="F21" s="176">
        <f>C21+D21+E21</f>
        <v>260</v>
      </c>
    </row>
    <row r="22" spans="2:7" x14ac:dyDescent="0.2">
      <c r="B22" s="140" t="s">
        <v>16</v>
      </c>
      <c r="C22" s="40">
        <f>C21*'Staff rate assump'!B10</f>
        <v>3831.2</v>
      </c>
      <c r="D22" s="40">
        <f>D21*'Staff rate assump'!C10</f>
        <v>3984.8</v>
      </c>
      <c r="E22" s="40">
        <f>E21*'Staff rate assump'!D10</f>
        <v>5180</v>
      </c>
      <c r="F22" s="41">
        <f>C22+D22+E22</f>
        <v>12996</v>
      </c>
      <c r="G22" s="133"/>
    </row>
    <row r="24" spans="2:7" x14ac:dyDescent="0.2">
      <c r="B24" s="137" t="s">
        <v>192</v>
      </c>
      <c r="C24" s="132">
        <f>C22+C11</f>
        <v>8141.3</v>
      </c>
      <c r="D24" s="132">
        <f>D22+D11</f>
        <v>8467.7000000000007</v>
      </c>
      <c r="E24" s="132">
        <f>E22+E11</f>
        <v>15022</v>
      </c>
      <c r="F24" s="132">
        <f>SUM(C24:E24)</f>
        <v>31631</v>
      </c>
    </row>
    <row r="25" spans="2:7" x14ac:dyDescent="0.2">
      <c r="G25" s="133"/>
    </row>
  </sheetData>
  <mergeCells count="3">
    <mergeCell ref="B4:F4"/>
    <mergeCell ref="B16:F16"/>
    <mergeCell ref="G11:J12"/>
  </mergeCells>
  <phoneticPr fontId="11" type="noConversion"/>
  <pageMargins left="0.7" right="0.7" top="0.75" bottom="0.75" header="0.3" footer="0.3"/>
  <pageSetup scale="97" orientation="landscape"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B1:N31"/>
  <sheetViews>
    <sheetView topLeftCell="A10" workbookViewId="0">
      <selection activeCell="F21" sqref="F21"/>
    </sheetView>
  </sheetViews>
  <sheetFormatPr defaultRowHeight="13.2" x14ac:dyDescent="0.25"/>
  <cols>
    <col min="1" max="1" width="3.5546875" customWidth="1"/>
    <col min="4" max="4" width="8.5546875" customWidth="1"/>
    <col min="5" max="5" width="13.6640625" customWidth="1"/>
    <col min="6" max="6" width="10.109375" bestFit="1" customWidth="1"/>
    <col min="8" max="8" width="8.6640625" bestFit="1" customWidth="1"/>
    <col min="9" max="9" width="9.5546875" bestFit="1" customWidth="1"/>
    <col min="10" max="10" width="5.6640625" customWidth="1"/>
    <col min="11" max="11" width="28.109375" customWidth="1"/>
    <col min="12" max="12" width="9" customWidth="1"/>
  </cols>
  <sheetData>
    <row r="1" spans="2:14" x14ac:dyDescent="0.25">
      <c r="B1" s="10"/>
      <c r="C1" s="10"/>
      <c r="D1" s="10"/>
      <c r="E1" s="10"/>
      <c r="F1" s="10"/>
      <c r="G1" s="10"/>
      <c r="H1" s="10"/>
      <c r="I1" s="10"/>
      <c r="J1" s="10"/>
      <c r="K1" s="10"/>
      <c r="L1" s="10"/>
      <c r="M1" s="10"/>
      <c r="N1" s="10"/>
    </row>
    <row r="2" spans="2:14" ht="13.8" x14ac:dyDescent="0.25">
      <c r="B2" s="298" t="s">
        <v>67</v>
      </c>
      <c r="C2" s="10"/>
      <c r="D2" s="10"/>
      <c r="E2" s="10"/>
      <c r="F2" s="10"/>
      <c r="G2" s="10"/>
      <c r="H2" s="10"/>
      <c r="I2" s="10"/>
      <c r="J2" s="10"/>
      <c r="K2" s="10"/>
      <c r="L2" s="10"/>
      <c r="M2" s="10"/>
      <c r="N2" s="10"/>
    </row>
    <row r="3" spans="2:14" x14ac:dyDescent="0.25">
      <c r="B3" s="10"/>
      <c r="C3" s="10"/>
      <c r="D3" s="10"/>
      <c r="E3" s="10"/>
      <c r="F3" s="10"/>
      <c r="G3" s="10"/>
      <c r="H3" s="10"/>
      <c r="I3" s="10"/>
      <c r="J3" s="10"/>
      <c r="K3" s="10"/>
      <c r="L3" s="10"/>
      <c r="M3" s="10"/>
      <c r="N3" s="10"/>
    </row>
    <row r="4" spans="2:14" x14ac:dyDescent="0.25">
      <c r="B4" s="366" t="s">
        <v>8</v>
      </c>
      <c r="C4" s="366"/>
      <c r="D4" s="366"/>
      <c r="E4" s="366"/>
      <c r="F4" s="366"/>
      <c r="G4" s="366"/>
      <c r="H4" s="366"/>
      <c r="I4" s="366"/>
      <c r="J4" s="10"/>
      <c r="K4" s="142" t="s">
        <v>97</v>
      </c>
      <c r="L4" s="10"/>
    </row>
    <row r="5" spans="2:14" x14ac:dyDescent="0.25">
      <c r="B5" s="376"/>
      <c r="C5" s="377"/>
      <c r="D5" s="377"/>
      <c r="E5" s="378"/>
      <c r="F5" s="8">
        <v>2015</v>
      </c>
      <c r="G5" s="8">
        <v>2016</v>
      </c>
      <c r="H5" s="8">
        <v>2017</v>
      </c>
      <c r="I5" s="8" t="s">
        <v>3</v>
      </c>
      <c r="J5" s="10"/>
      <c r="K5" s="10" t="s">
        <v>94</v>
      </c>
      <c r="L5" s="10"/>
    </row>
    <row r="6" spans="2:14" x14ac:dyDescent="0.25">
      <c r="B6" s="370" t="s">
        <v>92</v>
      </c>
      <c r="C6" s="370"/>
      <c r="D6" s="370"/>
      <c r="E6" s="370"/>
      <c r="F6" s="8">
        <f>$L$9*2</f>
        <v>80</v>
      </c>
      <c r="G6" s="8">
        <f>$L$9*2</f>
        <v>80</v>
      </c>
      <c r="H6" s="8">
        <f>$L$9*2</f>
        <v>80</v>
      </c>
      <c r="I6" s="8">
        <f>SUM(F6:H6)</f>
        <v>240</v>
      </c>
      <c r="J6" s="10"/>
      <c r="K6" s="143" t="s">
        <v>93</v>
      </c>
      <c r="L6" s="23">
        <v>10</v>
      </c>
    </row>
    <row r="7" spans="2:14" x14ac:dyDescent="0.25">
      <c r="B7" s="370" t="s">
        <v>98</v>
      </c>
      <c r="C7" s="370"/>
      <c r="D7" s="370"/>
      <c r="E7" s="370"/>
      <c r="F7" s="8">
        <v>8</v>
      </c>
      <c r="G7" s="8">
        <v>8</v>
      </c>
      <c r="H7" s="8">
        <v>8</v>
      </c>
      <c r="I7" s="8">
        <f>SUM(F7:H7)</f>
        <v>24</v>
      </c>
      <c r="J7" s="10"/>
      <c r="K7" s="144" t="s">
        <v>96</v>
      </c>
      <c r="L7" s="26">
        <v>20</v>
      </c>
      <c r="M7" s="10"/>
      <c r="N7" s="10"/>
    </row>
    <row r="8" spans="2:14" x14ac:dyDescent="0.25">
      <c r="B8" s="372" t="s">
        <v>10</v>
      </c>
      <c r="C8" s="372"/>
      <c r="D8" s="372"/>
      <c r="E8" s="372"/>
      <c r="F8" s="9">
        <f>SUM(F6:F7)</f>
        <v>88</v>
      </c>
      <c r="G8" s="9">
        <f>SUM(G6:G7)</f>
        <v>88</v>
      </c>
      <c r="H8" s="9">
        <f>SUM(H6:H7)</f>
        <v>88</v>
      </c>
      <c r="I8" s="9">
        <f>SUM(F8:H8)</f>
        <v>264</v>
      </c>
      <c r="J8" s="10"/>
      <c r="K8" s="145" t="s">
        <v>95</v>
      </c>
      <c r="L8" s="28">
        <v>10</v>
      </c>
      <c r="M8" s="10"/>
      <c r="N8" s="10"/>
    </row>
    <row r="9" spans="2:14" x14ac:dyDescent="0.25">
      <c r="B9" s="379" t="s">
        <v>16</v>
      </c>
      <c r="C9" s="379"/>
      <c r="D9" s="379"/>
      <c r="E9" s="419"/>
      <c r="F9" s="40">
        <f>F8*'Staff rate assump'!B10</f>
        <v>4214.32</v>
      </c>
      <c r="G9" s="40">
        <f>G8*'Staff rate assump'!C10</f>
        <v>4383.2800000000007</v>
      </c>
      <c r="H9" s="40">
        <f>H8*'Staff rate assump'!D10</f>
        <v>4558.3999999999996</v>
      </c>
      <c r="I9" s="41">
        <f>SUM(F9:H9)</f>
        <v>13156</v>
      </c>
      <c r="J9" s="10"/>
      <c r="K9" s="118" t="s">
        <v>3</v>
      </c>
      <c r="L9" s="10">
        <f>SUM(L6:L8)</f>
        <v>40</v>
      </c>
      <c r="M9" s="10"/>
      <c r="N9" s="10"/>
    </row>
    <row r="10" spans="2:14" x14ac:dyDescent="0.25">
      <c r="B10" s="10"/>
      <c r="C10" s="10"/>
      <c r="D10" s="10"/>
      <c r="E10" s="10"/>
      <c r="F10" s="16"/>
      <c r="G10" s="16"/>
      <c r="H10" s="16"/>
      <c r="I10" s="17"/>
      <c r="J10" s="10"/>
      <c r="K10" s="118"/>
      <c r="L10" s="10"/>
      <c r="M10" s="10"/>
      <c r="N10" s="10"/>
    </row>
    <row r="11" spans="2:14" x14ac:dyDescent="0.25">
      <c r="B11" s="416" t="s">
        <v>220</v>
      </c>
      <c r="C11" s="417"/>
      <c r="D11" s="417"/>
      <c r="E11" s="417"/>
      <c r="F11" s="417"/>
      <c r="G11" s="417"/>
      <c r="H11" s="417"/>
      <c r="I11" s="418"/>
      <c r="J11" s="10"/>
      <c r="K11" s="142" t="s">
        <v>99</v>
      </c>
      <c r="L11" s="10"/>
      <c r="M11" s="10"/>
      <c r="N11" s="10"/>
    </row>
    <row r="12" spans="2:14" x14ac:dyDescent="0.25">
      <c r="B12" s="370"/>
      <c r="C12" s="370"/>
      <c r="D12" s="370"/>
      <c r="E12" s="370"/>
      <c r="F12" s="8">
        <v>2015</v>
      </c>
      <c r="G12" s="8">
        <v>2016</v>
      </c>
      <c r="H12" s="8">
        <v>2017</v>
      </c>
      <c r="I12" s="8" t="s">
        <v>6</v>
      </c>
      <c r="J12" s="10"/>
      <c r="K12" s="146" t="s">
        <v>100</v>
      </c>
      <c r="L12" s="61">
        <v>16</v>
      </c>
      <c r="M12" s="10"/>
      <c r="N12" s="10"/>
    </row>
    <row r="13" spans="2:14" x14ac:dyDescent="0.25">
      <c r="B13" s="370" t="s">
        <v>90</v>
      </c>
      <c r="C13" s="370"/>
      <c r="D13" s="370"/>
      <c r="E13" s="370"/>
      <c r="F13" s="38">
        <v>72146</v>
      </c>
      <c r="G13" s="38">
        <v>73589</v>
      </c>
      <c r="H13" s="38">
        <v>75060</v>
      </c>
      <c r="I13" s="38">
        <f>SUM(F13:H13)</f>
        <v>220795</v>
      </c>
      <c r="J13" s="10"/>
      <c r="K13" s="118" t="s">
        <v>3</v>
      </c>
      <c r="L13" s="10">
        <f>SUM(L12)</f>
        <v>16</v>
      </c>
      <c r="M13" s="10"/>
      <c r="N13" s="10"/>
    </row>
    <row r="14" spans="2:14" x14ac:dyDescent="0.25">
      <c r="B14" s="370" t="s">
        <v>91</v>
      </c>
      <c r="C14" s="370"/>
      <c r="D14" s="370"/>
      <c r="E14" s="370"/>
      <c r="F14" s="38">
        <v>1500</v>
      </c>
      <c r="G14" s="38">
        <v>1500</v>
      </c>
      <c r="H14" s="38">
        <v>1500</v>
      </c>
      <c r="I14" s="38">
        <f>SUM(F14:H14)</f>
        <v>4500</v>
      </c>
      <c r="J14" s="10"/>
      <c r="M14" s="10"/>
      <c r="N14" s="10"/>
    </row>
    <row r="15" spans="2:14" x14ac:dyDescent="0.25">
      <c r="B15" s="415" t="s">
        <v>194</v>
      </c>
      <c r="C15" s="415"/>
      <c r="D15" s="415"/>
      <c r="E15" s="415"/>
      <c r="F15" s="148">
        <f>E26+E27</f>
        <v>73676</v>
      </c>
      <c r="G15" s="148">
        <f>F26+F27</f>
        <v>75149.52</v>
      </c>
      <c r="H15" s="148">
        <f>G26+G27</f>
        <v>76652.510399999999</v>
      </c>
      <c r="I15" s="148">
        <f>SUM(F15:H15)</f>
        <v>225478.03040000002</v>
      </c>
      <c r="J15" s="10"/>
      <c r="M15" s="10"/>
      <c r="N15" s="10"/>
    </row>
    <row r="16" spans="2:14" x14ac:dyDescent="0.25">
      <c r="B16" s="10"/>
      <c r="C16" s="10"/>
      <c r="D16" s="10"/>
      <c r="E16" s="10"/>
      <c r="F16" s="10"/>
      <c r="G16" s="10"/>
      <c r="H16" s="10"/>
      <c r="I16" s="10"/>
      <c r="J16" s="10"/>
      <c r="M16" s="10"/>
      <c r="N16" s="10"/>
    </row>
    <row r="17" spans="2:14" x14ac:dyDescent="0.25">
      <c r="B17" s="414" t="s">
        <v>193</v>
      </c>
      <c r="C17" s="414"/>
      <c r="D17" s="414"/>
      <c r="E17" s="414"/>
      <c r="F17" s="85">
        <f>F9+F15</f>
        <v>77890.320000000007</v>
      </c>
      <c r="G17" s="85">
        <f>G9+G15</f>
        <v>79532.800000000003</v>
      </c>
      <c r="H17" s="85">
        <f>H9+H15</f>
        <v>81210.910399999993</v>
      </c>
      <c r="I17" s="85">
        <f>I9+I15</f>
        <v>238634.03040000002</v>
      </c>
      <c r="J17" s="10"/>
      <c r="M17" s="10"/>
      <c r="N17" s="10"/>
    </row>
    <row r="18" spans="2:14" ht="13.5" customHeight="1" x14ac:dyDescent="0.25">
      <c r="C18" s="10"/>
      <c r="D18" s="10"/>
      <c r="E18" s="10"/>
      <c r="F18" s="10"/>
      <c r="G18" s="10"/>
      <c r="H18" s="10"/>
      <c r="I18" s="10"/>
      <c r="J18" s="10"/>
      <c r="M18" s="10"/>
      <c r="N18" s="10"/>
    </row>
    <row r="19" spans="2:14" x14ac:dyDescent="0.25">
      <c r="B19" s="10"/>
      <c r="C19" s="10"/>
      <c r="D19" s="10"/>
      <c r="E19" s="72" t="s">
        <v>101</v>
      </c>
      <c r="F19" s="72">
        <v>2015</v>
      </c>
      <c r="G19" s="72">
        <v>2016</v>
      </c>
      <c r="H19" s="72">
        <v>2017</v>
      </c>
      <c r="I19" s="72" t="s">
        <v>3</v>
      </c>
      <c r="J19" s="10"/>
      <c r="K19" s="10"/>
      <c r="L19" s="10"/>
      <c r="M19" s="10"/>
      <c r="N19" s="10"/>
    </row>
    <row r="20" spans="2:14" x14ac:dyDescent="0.25">
      <c r="B20" s="10"/>
      <c r="C20" s="10"/>
      <c r="D20" s="10"/>
      <c r="E20" s="260" t="s">
        <v>259</v>
      </c>
      <c r="F20" s="89">
        <f>F17*0.25</f>
        <v>19472.580000000002</v>
      </c>
      <c r="G20" s="89">
        <f>G17*0.25</f>
        <v>19883.2</v>
      </c>
      <c r="H20" s="89">
        <f>H17*0.25</f>
        <v>20302.727599999998</v>
      </c>
      <c r="I20" s="89">
        <f>SUM(F20:H20)</f>
        <v>59658.507599999997</v>
      </c>
      <c r="J20" s="10"/>
      <c r="K20" s="10"/>
      <c r="L20" s="10"/>
      <c r="M20" s="10"/>
      <c r="N20" s="10"/>
    </row>
    <row r="21" spans="2:14" x14ac:dyDescent="0.25">
      <c r="B21" s="10"/>
      <c r="C21" s="10"/>
      <c r="D21" s="10"/>
      <c r="E21" s="259" t="s">
        <v>275</v>
      </c>
      <c r="F21" s="238">
        <f>F17*0.75</f>
        <v>58417.740000000005</v>
      </c>
      <c r="G21" s="238">
        <f>G17*0.75</f>
        <v>59649.600000000006</v>
      </c>
      <c r="H21" s="238">
        <f>H17*0.75</f>
        <v>60908.182799999995</v>
      </c>
      <c r="I21" s="90">
        <f>SUM(F21:H21)</f>
        <v>178975.52280000001</v>
      </c>
      <c r="J21" s="237"/>
      <c r="K21" s="237"/>
      <c r="L21" s="237"/>
      <c r="M21" s="10"/>
      <c r="N21" s="10"/>
    </row>
    <row r="22" spans="2:14" x14ac:dyDescent="0.25">
      <c r="B22" s="10"/>
      <c r="C22" s="10"/>
      <c r="D22" s="10"/>
      <c r="E22" s="10"/>
      <c r="F22" s="10"/>
      <c r="G22" s="10"/>
      <c r="H22" s="10"/>
      <c r="I22" s="10"/>
      <c r="J22" s="10"/>
      <c r="K22" s="10"/>
      <c r="L22" s="10"/>
      <c r="M22" s="10"/>
      <c r="N22" s="10"/>
    </row>
    <row r="23" spans="2:14" x14ac:dyDescent="0.25">
      <c r="B23" s="10" t="s">
        <v>5</v>
      </c>
      <c r="C23" s="10"/>
      <c r="D23" s="10"/>
      <c r="E23" s="10"/>
      <c r="F23" s="10"/>
      <c r="G23" s="10"/>
      <c r="H23" s="10"/>
      <c r="I23" s="10"/>
      <c r="J23" s="10"/>
      <c r="K23" s="10"/>
      <c r="L23" s="10"/>
      <c r="M23" s="10"/>
      <c r="N23" s="10"/>
    </row>
    <row r="24" spans="2:14" x14ac:dyDescent="0.25">
      <c r="B24" s="10">
        <v>1</v>
      </c>
      <c r="C24" s="10" t="s">
        <v>290</v>
      </c>
      <c r="D24" s="10"/>
      <c r="E24" s="10"/>
      <c r="F24" s="10"/>
      <c r="G24" s="10"/>
      <c r="H24" s="10"/>
      <c r="I24" s="10"/>
      <c r="J24" s="10"/>
      <c r="K24" s="10"/>
      <c r="L24" s="10"/>
      <c r="M24" s="10"/>
      <c r="N24" s="10"/>
    </row>
    <row r="25" spans="2:14" x14ac:dyDescent="0.25">
      <c r="C25" s="72"/>
      <c r="D25" s="72">
        <v>2014</v>
      </c>
      <c r="E25" s="72">
        <v>2015</v>
      </c>
      <c r="F25" s="72">
        <v>2016</v>
      </c>
      <c r="G25" s="72">
        <v>2017</v>
      </c>
      <c r="H25" s="10"/>
      <c r="I25" s="10"/>
      <c r="J25" s="10"/>
      <c r="K25" s="10"/>
      <c r="L25" s="10"/>
      <c r="M25" s="10"/>
      <c r="N25" s="10"/>
    </row>
    <row r="26" spans="2:14" x14ac:dyDescent="0.25">
      <c r="C26" s="72" t="s">
        <v>90</v>
      </c>
      <c r="D26" s="74">
        <v>68800</v>
      </c>
      <c r="E26" s="74">
        <v>72146</v>
      </c>
      <c r="F26" s="74">
        <f>E26*1.02</f>
        <v>73588.92</v>
      </c>
      <c r="G26" s="74">
        <f>F26*1.02</f>
        <v>75060.698399999994</v>
      </c>
      <c r="H26" s="10"/>
      <c r="I26" s="10"/>
      <c r="J26" s="10"/>
      <c r="K26" s="10"/>
      <c r="L26" s="10"/>
      <c r="M26" s="10"/>
      <c r="N26" s="10"/>
    </row>
    <row r="27" spans="2:14" x14ac:dyDescent="0.25">
      <c r="C27" s="72" t="s">
        <v>91</v>
      </c>
      <c r="D27" s="74">
        <v>1500</v>
      </c>
      <c r="E27" s="74">
        <f>D27*1.02</f>
        <v>1530</v>
      </c>
      <c r="F27" s="74">
        <f>E27*1.02</f>
        <v>1560.6000000000001</v>
      </c>
      <c r="G27" s="74">
        <f>F27*1.02</f>
        <v>1591.8120000000001</v>
      </c>
      <c r="H27" s="10"/>
      <c r="I27" s="10"/>
      <c r="J27" s="10"/>
      <c r="K27" s="10"/>
      <c r="L27" s="10"/>
      <c r="M27" s="10"/>
      <c r="N27" s="10"/>
    </row>
    <row r="28" spans="2:14" x14ac:dyDescent="0.25">
      <c r="B28" s="10">
        <v>2</v>
      </c>
      <c r="C28" s="10" t="s">
        <v>289</v>
      </c>
      <c r="G28" s="10"/>
      <c r="H28" s="10"/>
      <c r="I28" s="10"/>
      <c r="J28" s="10"/>
      <c r="K28" s="10"/>
      <c r="L28" s="10"/>
      <c r="M28" s="10"/>
      <c r="N28" s="10"/>
    </row>
    <row r="29" spans="2:14" x14ac:dyDescent="0.25">
      <c r="B29" s="10">
        <v>3</v>
      </c>
      <c r="C29" s="10" t="s">
        <v>102</v>
      </c>
    </row>
    <row r="31" spans="2:14" x14ac:dyDescent="0.25">
      <c r="B31" s="10"/>
      <c r="C31" s="10"/>
      <c r="D31" s="10"/>
      <c r="E31" s="10"/>
      <c r="F31" s="10"/>
    </row>
  </sheetData>
  <mergeCells count="12">
    <mergeCell ref="B4:I4"/>
    <mergeCell ref="B5:E5"/>
    <mergeCell ref="B6:E6"/>
    <mergeCell ref="B7:E7"/>
    <mergeCell ref="B17:E17"/>
    <mergeCell ref="B12:E12"/>
    <mergeCell ref="B13:E13"/>
    <mergeCell ref="B8:E8"/>
    <mergeCell ref="B14:E14"/>
    <mergeCell ref="B15:E15"/>
    <mergeCell ref="B11:I11"/>
    <mergeCell ref="B9:E9"/>
  </mergeCells>
  <phoneticPr fontId="11" type="noConversion"/>
  <pageMargins left="0.7" right="0.7" top="0.75" bottom="0.75" header="0.3" footer="0.3"/>
  <pageSetup scale="94" orientation="landscape"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2:M20"/>
  <sheetViews>
    <sheetView workbookViewId="0">
      <selection activeCell="K16" sqref="K16"/>
    </sheetView>
  </sheetViews>
  <sheetFormatPr defaultRowHeight="13.2" x14ac:dyDescent="0.25"/>
  <cols>
    <col min="1" max="1" width="5.44140625" customWidth="1"/>
  </cols>
  <sheetData>
    <row r="2" spans="2:13" ht="13.8" x14ac:dyDescent="0.25">
      <c r="B2" s="298" t="s">
        <v>143</v>
      </c>
    </row>
    <row r="4" spans="2:13" x14ac:dyDescent="0.25">
      <c r="B4" s="366" t="s">
        <v>8</v>
      </c>
      <c r="C4" s="366"/>
      <c r="D4" s="366"/>
      <c r="E4" s="366"/>
      <c r="F4" s="366"/>
      <c r="G4" s="366"/>
      <c r="H4" s="366"/>
      <c r="I4" s="366"/>
    </row>
    <row r="5" spans="2:13" x14ac:dyDescent="0.25">
      <c r="B5" s="376"/>
      <c r="C5" s="377"/>
      <c r="D5" s="377"/>
      <c r="E5" s="378"/>
      <c r="F5" s="8">
        <v>2015</v>
      </c>
      <c r="G5" s="8">
        <v>2016</v>
      </c>
      <c r="H5" s="8">
        <v>2017</v>
      </c>
      <c r="I5" s="8" t="s">
        <v>3</v>
      </c>
      <c r="J5" s="67" t="s">
        <v>5</v>
      </c>
    </row>
    <row r="6" spans="2:13" x14ac:dyDescent="0.25">
      <c r="B6" s="407" t="s">
        <v>302</v>
      </c>
      <c r="C6" s="408"/>
      <c r="D6" s="408"/>
      <c r="E6" s="409"/>
      <c r="F6" s="8">
        <v>120</v>
      </c>
      <c r="G6" s="8">
        <v>120</v>
      </c>
      <c r="H6" s="8">
        <v>120</v>
      </c>
      <c r="I6" s="8"/>
    </row>
    <row r="7" spans="2:13" x14ac:dyDescent="0.25">
      <c r="B7" s="82"/>
      <c r="C7" s="408" t="s">
        <v>144</v>
      </c>
      <c r="D7" s="408"/>
      <c r="E7" s="409"/>
      <c r="F7" s="8"/>
      <c r="G7" s="8"/>
      <c r="H7" s="8"/>
      <c r="I7" s="8"/>
      <c r="J7" t="s">
        <v>303</v>
      </c>
    </row>
    <row r="8" spans="2:13" x14ac:dyDescent="0.25">
      <c r="B8" s="370" t="s">
        <v>68</v>
      </c>
      <c r="C8" s="370"/>
      <c r="D8" s="370"/>
      <c r="E8" s="370"/>
      <c r="F8" s="8">
        <f>'RFP-Contract Process Assump'!C9</f>
        <v>61</v>
      </c>
      <c r="G8" s="8"/>
      <c r="H8" s="8">
        <f>'RFP-Contract Process Assump'!C9</f>
        <v>61</v>
      </c>
      <c r="I8" s="8">
        <f>SUM(F8:H8)</f>
        <v>122</v>
      </c>
      <c r="J8" s="300"/>
    </row>
    <row r="9" spans="2:13" x14ac:dyDescent="0.25">
      <c r="B9" s="370" t="s">
        <v>31</v>
      </c>
      <c r="C9" s="370"/>
      <c r="D9" s="370"/>
      <c r="E9" s="370"/>
      <c r="F9" s="8">
        <f>3*22.5</f>
        <v>67.5</v>
      </c>
      <c r="G9" s="8">
        <f>3*22.5</f>
        <v>67.5</v>
      </c>
      <c r="H9" s="8">
        <f>3*22.5</f>
        <v>67.5</v>
      </c>
      <c r="I9" s="8">
        <f>SUM(F9:H9)</f>
        <v>202.5</v>
      </c>
      <c r="J9" s="10" t="s">
        <v>172</v>
      </c>
    </row>
    <row r="10" spans="2:13" x14ac:dyDescent="0.25">
      <c r="B10" s="372" t="s">
        <v>10</v>
      </c>
      <c r="C10" s="372"/>
      <c r="D10" s="372"/>
      <c r="E10" s="372"/>
      <c r="F10" s="9">
        <f>SUM(F6:F9)</f>
        <v>248.5</v>
      </c>
      <c r="G10" s="9">
        <f>SUM(G6:G9)</f>
        <v>187.5</v>
      </c>
      <c r="H10" s="9">
        <f>SUM(H6:H9)</f>
        <v>248.5</v>
      </c>
      <c r="I10" s="9">
        <f>SUM(F10:H10)</f>
        <v>684.5</v>
      </c>
    </row>
    <row r="11" spans="2:13" x14ac:dyDescent="0.25">
      <c r="B11" s="379" t="s">
        <v>16</v>
      </c>
      <c r="C11" s="379"/>
      <c r="D11" s="379"/>
      <c r="E11" s="379"/>
      <c r="F11" s="40">
        <f>F10*'Staff rate assump'!B10</f>
        <v>11900.665000000001</v>
      </c>
      <c r="G11" s="40">
        <f>G10*'Staff rate assump'!C10</f>
        <v>9339.375</v>
      </c>
      <c r="H11" s="40">
        <f>H10*'Staff rate assump'!D10</f>
        <v>12872.3</v>
      </c>
      <c r="I11" s="41">
        <f>SUM(F11:H11)</f>
        <v>34112.339999999997</v>
      </c>
    </row>
    <row r="13" spans="2:13" x14ac:dyDescent="0.25">
      <c r="F13" s="99">
        <v>2015</v>
      </c>
      <c r="G13" s="99">
        <v>2016</v>
      </c>
      <c r="H13" s="99">
        <v>2017</v>
      </c>
      <c r="I13" s="10" t="s">
        <v>6</v>
      </c>
    </row>
    <row r="14" spans="2:13" x14ac:dyDescent="0.25">
      <c r="B14" s="10" t="s">
        <v>304</v>
      </c>
      <c r="D14" s="10"/>
      <c r="E14" s="10"/>
      <c r="F14" s="301">
        <v>250000</v>
      </c>
      <c r="G14" s="301">
        <v>250000</v>
      </c>
      <c r="H14" s="301">
        <v>250000</v>
      </c>
      <c r="I14" s="301">
        <f>SUM(F14:H14)</f>
        <v>750000</v>
      </c>
      <c r="K14" s="10"/>
      <c r="L14" s="10"/>
      <c r="M14" s="10"/>
    </row>
    <row r="15" spans="2:13" x14ac:dyDescent="0.25">
      <c r="D15" s="10"/>
      <c r="E15" s="10"/>
      <c r="F15" s="10"/>
      <c r="G15" s="10"/>
      <c r="H15" s="10"/>
      <c r="I15" s="10"/>
      <c r="K15" s="10"/>
      <c r="L15" s="10"/>
      <c r="M15" s="10"/>
    </row>
    <row r="16" spans="2:13" x14ac:dyDescent="0.25">
      <c r="D16" s="10"/>
      <c r="E16" s="10"/>
      <c r="F16" s="10"/>
      <c r="G16" s="10"/>
      <c r="H16" s="10"/>
      <c r="I16" s="10"/>
      <c r="K16" s="10"/>
      <c r="L16" s="10"/>
      <c r="M16" s="10"/>
    </row>
    <row r="17" spans="4:13" x14ac:dyDescent="0.25">
      <c r="D17" s="10"/>
      <c r="E17" s="10"/>
      <c r="F17" s="99">
        <v>2015</v>
      </c>
      <c r="G17" s="99">
        <v>2016</v>
      </c>
      <c r="H17" s="99">
        <v>2017</v>
      </c>
      <c r="I17" s="10" t="s">
        <v>6</v>
      </c>
      <c r="K17" s="10"/>
      <c r="L17" s="10"/>
      <c r="M17" s="10"/>
    </row>
    <row r="18" spans="4:13" x14ac:dyDescent="0.25">
      <c r="D18" s="10"/>
      <c r="E18" s="100" t="s">
        <v>145</v>
      </c>
      <c r="F18" s="89">
        <f>F14+F11</f>
        <v>261900.66500000001</v>
      </c>
      <c r="G18" s="89">
        <f>G14+G11</f>
        <v>259339.375</v>
      </c>
      <c r="H18" s="89">
        <f>H14+H11</f>
        <v>262872.3</v>
      </c>
      <c r="I18" s="89">
        <f>SUM(F18:H18)</f>
        <v>784112.34000000008</v>
      </c>
      <c r="J18" s="10"/>
      <c r="K18" s="10"/>
      <c r="L18" s="10"/>
      <c r="M18" s="10"/>
    </row>
    <row r="19" spans="4:13" x14ac:dyDescent="0.25">
      <c r="D19" s="10"/>
      <c r="E19" s="10"/>
      <c r="F19" s="10"/>
      <c r="G19" s="10"/>
      <c r="H19" s="10"/>
      <c r="I19" s="10"/>
      <c r="J19" s="10"/>
      <c r="K19" s="10"/>
      <c r="L19" s="10"/>
      <c r="M19" s="10"/>
    </row>
    <row r="20" spans="4:13" x14ac:dyDescent="0.25">
      <c r="D20" s="10"/>
      <c r="E20" s="10"/>
      <c r="F20" s="10"/>
      <c r="G20" s="10"/>
      <c r="H20" s="10"/>
      <c r="I20" s="10"/>
      <c r="J20" s="10"/>
      <c r="K20" s="10"/>
      <c r="L20" s="10"/>
      <c r="M20" s="10"/>
    </row>
  </sheetData>
  <mergeCells count="8">
    <mergeCell ref="B11:E11"/>
    <mergeCell ref="B6:E6"/>
    <mergeCell ref="C7:E7"/>
    <mergeCell ref="B4:I4"/>
    <mergeCell ref="B5:E5"/>
    <mergeCell ref="B8:E8"/>
    <mergeCell ref="B9:E9"/>
    <mergeCell ref="B10:E10"/>
  </mergeCells>
  <phoneticPr fontId="11" type="noConversion"/>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pageSetUpPr fitToPage="1"/>
  </sheetPr>
  <dimension ref="B2:M98"/>
  <sheetViews>
    <sheetView topLeftCell="A52" workbookViewId="0">
      <selection activeCell="I70" sqref="I70"/>
    </sheetView>
  </sheetViews>
  <sheetFormatPr defaultRowHeight="13.2" x14ac:dyDescent="0.25"/>
  <cols>
    <col min="1" max="1" width="4.5546875" customWidth="1"/>
    <col min="2" max="2" width="21.88671875" customWidth="1"/>
    <col min="3" max="5" width="11.33203125" bestFit="1" customWidth="1"/>
    <col min="6" max="6" width="10.109375" customWidth="1"/>
    <col min="7" max="7" width="9.88671875" customWidth="1"/>
    <col min="8" max="8" width="10.88671875" bestFit="1" customWidth="1"/>
    <col min="9" max="12" width="9.6640625" bestFit="1" customWidth="1"/>
  </cols>
  <sheetData>
    <row r="2" spans="2:9" ht="13.8" x14ac:dyDescent="0.25">
      <c r="B2" s="298" t="s">
        <v>149</v>
      </c>
    </row>
    <row r="4" spans="2:9" x14ac:dyDescent="0.25">
      <c r="B4" s="29" t="s">
        <v>177</v>
      </c>
    </row>
    <row r="5" spans="2:9" x14ac:dyDescent="0.25">
      <c r="B5" s="416" t="s">
        <v>8</v>
      </c>
      <c r="C5" s="426"/>
      <c r="D5" s="426"/>
      <c r="E5" s="426"/>
      <c r="F5" s="412"/>
      <c r="G5" s="50"/>
      <c r="H5" s="50"/>
      <c r="I5" s="50"/>
    </row>
    <row r="6" spans="2:9" x14ac:dyDescent="0.25">
      <c r="B6" s="82"/>
      <c r="C6" s="8">
        <v>2015</v>
      </c>
      <c r="D6" s="8">
        <v>2016</v>
      </c>
      <c r="E6" s="8">
        <v>2017</v>
      </c>
      <c r="F6" s="8" t="s">
        <v>3</v>
      </c>
      <c r="G6" s="67" t="s">
        <v>5</v>
      </c>
    </row>
    <row r="7" spans="2:9" x14ac:dyDescent="0.25">
      <c r="B7" s="109" t="s">
        <v>150</v>
      </c>
      <c r="C7" s="8">
        <v>80</v>
      </c>
      <c r="D7" s="8">
        <v>80</v>
      </c>
      <c r="E7" s="8">
        <v>80</v>
      </c>
      <c r="F7" s="8">
        <f t="shared" ref="F7:F12" si="0">SUM(C7:E7)</f>
        <v>240</v>
      </c>
    </row>
    <row r="8" spans="2:9" x14ac:dyDescent="0.25">
      <c r="B8" s="109" t="s">
        <v>151</v>
      </c>
      <c r="C8" s="8">
        <v>0</v>
      </c>
      <c r="D8" s="8">
        <v>0</v>
      </c>
      <c r="E8" s="8">
        <v>140</v>
      </c>
      <c r="F8" s="8">
        <f t="shared" si="0"/>
        <v>140</v>
      </c>
    </row>
    <row r="9" spans="2:9" x14ac:dyDescent="0.25">
      <c r="B9" s="110" t="s">
        <v>142</v>
      </c>
      <c r="C9" s="8">
        <v>40</v>
      </c>
      <c r="D9" s="8">
        <v>40</v>
      </c>
      <c r="E9" s="8">
        <v>40</v>
      </c>
      <c r="F9" s="8">
        <f t="shared" si="0"/>
        <v>120</v>
      </c>
    </row>
    <row r="10" spans="2:9" x14ac:dyDescent="0.25">
      <c r="B10" s="109" t="s">
        <v>178</v>
      </c>
      <c r="C10" s="8">
        <v>90</v>
      </c>
      <c r="D10" s="8">
        <v>90</v>
      </c>
      <c r="E10" s="8">
        <v>90</v>
      </c>
      <c r="F10" s="8">
        <f t="shared" si="0"/>
        <v>270</v>
      </c>
      <c r="G10" s="10" t="s">
        <v>179</v>
      </c>
    </row>
    <row r="11" spans="2:9" x14ac:dyDescent="0.25">
      <c r="B11" s="117" t="s">
        <v>10</v>
      </c>
      <c r="C11" s="9">
        <f>SUM(C7:C10)</f>
        <v>210</v>
      </c>
      <c r="D11" s="9">
        <f>SUM(D7:D10)</f>
        <v>210</v>
      </c>
      <c r="E11" s="9">
        <f>SUM(E7:E10)</f>
        <v>350</v>
      </c>
      <c r="F11" s="9">
        <f t="shared" si="0"/>
        <v>770</v>
      </c>
    </row>
    <row r="12" spans="2:9" x14ac:dyDescent="0.25">
      <c r="B12" s="105" t="s">
        <v>16</v>
      </c>
      <c r="C12" s="103">
        <f>C11*'Staff rate assump'!B10</f>
        <v>10056.9</v>
      </c>
      <c r="D12" s="103">
        <f>D11*'Staff rate assump'!C10</f>
        <v>10460.1</v>
      </c>
      <c r="E12" s="103">
        <f>E11*'Staff rate assump'!D10</f>
        <v>18130</v>
      </c>
      <c r="F12" s="104">
        <f t="shared" si="0"/>
        <v>38647</v>
      </c>
    </row>
    <row r="14" spans="2:9" x14ac:dyDescent="0.25">
      <c r="B14" s="236" t="s">
        <v>350</v>
      </c>
      <c r="C14" s="239">
        <f>C12*0.89</f>
        <v>8950.6409999999996</v>
      </c>
      <c r="D14" s="239">
        <f t="shared" ref="D14:F14" si="1">D12*0.89</f>
        <v>9309.4889999999996</v>
      </c>
      <c r="E14" s="239">
        <f t="shared" si="1"/>
        <v>16135.7</v>
      </c>
      <c r="F14" s="104">
        <f t="shared" si="1"/>
        <v>34395.83</v>
      </c>
    </row>
    <row r="15" spans="2:9" x14ac:dyDescent="0.25">
      <c r="B15" s="321" t="s">
        <v>351</v>
      </c>
      <c r="C15" s="239">
        <f>C12*0.11</f>
        <v>1106.259</v>
      </c>
      <c r="D15" s="239">
        <f t="shared" ref="D15:F15" si="2">D12*0.11</f>
        <v>1150.6110000000001</v>
      </c>
      <c r="E15" s="239">
        <f t="shared" si="2"/>
        <v>1994.3</v>
      </c>
      <c r="F15" s="104">
        <f t="shared" si="2"/>
        <v>4251.17</v>
      </c>
    </row>
    <row r="18" spans="2:13" x14ac:dyDescent="0.25">
      <c r="B18" s="29" t="s">
        <v>65</v>
      </c>
    </row>
    <row r="19" spans="2:13" x14ac:dyDescent="0.25">
      <c r="B19" s="10" t="s">
        <v>57</v>
      </c>
    </row>
    <row r="20" spans="2:13" x14ac:dyDescent="0.25">
      <c r="B20" s="10" t="s">
        <v>189</v>
      </c>
    </row>
    <row r="21" spans="2:13" x14ac:dyDescent="0.25">
      <c r="B21" s="416" t="s">
        <v>56</v>
      </c>
      <c r="C21" s="417"/>
      <c r="D21" s="417"/>
      <c r="E21" s="417"/>
      <c r="F21" s="437"/>
      <c r="H21" s="5"/>
    </row>
    <row r="22" spans="2:13" ht="13.8" thickBot="1" x14ac:dyDescent="0.3">
      <c r="B22" s="8"/>
      <c r="C22" s="8">
        <v>2015</v>
      </c>
      <c r="D22" s="8">
        <v>2016</v>
      </c>
      <c r="E22" s="8">
        <v>2017</v>
      </c>
      <c r="F22" s="8" t="s">
        <v>3</v>
      </c>
      <c r="H22" s="142" t="s">
        <v>195</v>
      </c>
      <c r="I22" s="10"/>
      <c r="J22" s="10"/>
      <c r="K22" s="10"/>
      <c r="L22" s="10"/>
    </row>
    <row r="23" spans="2:13" x14ac:dyDescent="0.25">
      <c r="B23" s="147" t="s">
        <v>0</v>
      </c>
      <c r="C23" s="8"/>
      <c r="D23" s="150">
        <v>10</v>
      </c>
      <c r="E23" s="8"/>
      <c r="F23" s="8">
        <f>C23+D23+E23</f>
        <v>10</v>
      </c>
      <c r="H23" s="154" t="s">
        <v>196</v>
      </c>
      <c r="I23" s="423" t="s">
        <v>197</v>
      </c>
      <c r="J23" s="424"/>
      <c r="K23" s="424"/>
      <c r="L23" s="425"/>
    </row>
    <row r="24" spans="2:13" x14ac:dyDescent="0.25">
      <c r="B24" s="147" t="s">
        <v>55</v>
      </c>
      <c r="C24" s="8">
        <v>20</v>
      </c>
      <c r="D24" s="8">
        <v>20</v>
      </c>
      <c r="E24" s="8">
        <v>20</v>
      </c>
      <c r="F24" s="8">
        <f t="shared" ref="F24:F31" si="3">C24+D24+E24</f>
        <v>60</v>
      </c>
      <c r="H24" s="155">
        <v>2014</v>
      </c>
      <c r="I24" s="156">
        <v>2015</v>
      </c>
      <c r="J24" s="72">
        <v>2016</v>
      </c>
      <c r="K24" s="72">
        <v>2017</v>
      </c>
      <c r="L24" s="157">
        <v>2018</v>
      </c>
    </row>
    <row r="25" spans="2:13" ht="13.8" thickBot="1" x14ac:dyDescent="0.3">
      <c r="B25" s="147" t="s">
        <v>58</v>
      </c>
      <c r="C25" s="8">
        <v>140</v>
      </c>
      <c r="D25" s="8"/>
      <c r="E25" s="8"/>
      <c r="F25" s="8">
        <f t="shared" si="3"/>
        <v>140</v>
      </c>
      <c r="H25" s="158">
        <v>140</v>
      </c>
      <c r="I25" s="159">
        <v>140</v>
      </c>
      <c r="J25" s="160">
        <f>I25*1.02</f>
        <v>142.80000000000001</v>
      </c>
      <c r="K25" s="160">
        <f>J25*1.02</f>
        <v>145.65600000000001</v>
      </c>
      <c r="L25" s="161">
        <f>K25*1.02</f>
        <v>148.56912</v>
      </c>
      <c r="M25" s="46"/>
    </row>
    <row r="26" spans="2:13" x14ac:dyDescent="0.25">
      <c r="B26" s="147" t="s">
        <v>59</v>
      </c>
      <c r="C26" s="8">
        <v>10</v>
      </c>
      <c r="D26" s="8">
        <v>10</v>
      </c>
      <c r="E26" s="8">
        <v>10</v>
      </c>
      <c r="F26" s="8">
        <f t="shared" si="3"/>
        <v>30</v>
      </c>
      <c r="G26" t="s">
        <v>284</v>
      </c>
    </row>
    <row r="27" spans="2:13" x14ac:dyDescent="0.25">
      <c r="B27" s="147" t="s">
        <v>60</v>
      </c>
      <c r="C27" s="8">
        <v>20</v>
      </c>
      <c r="D27" s="8">
        <v>20</v>
      </c>
      <c r="E27" s="8">
        <v>20</v>
      </c>
      <c r="F27" s="8">
        <f t="shared" si="3"/>
        <v>60</v>
      </c>
    </row>
    <row r="28" spans="2:13" x14ac:dyDescent="0.25">
      <c r="B28" s="147" t="s">
        <v>2</v>
      </c>
      <c r="C28" s="8">
        <v>30</v>
      </c>
      <c r="D28" s="8">
        <v>30</v>
      </c>
      <c r="E28" s="8">
        <v>30</v>
      </c>
      <c r="F28" s="8">
        <f t="shared" si="3"/>
        <v>90</v>
      </c>
    </row>
    <row r="29" spans="2:13" x14ac:dyDescent="0.25">
      <c r="B29" s="147" t="s">
        <v>61</v>
      </c>
      <c r="C29" s="8">
        <v>10</v>
      </c>
      <c r="D29" s="8">
        <v>10</v>
      </c>
      <c r="E29" s="8">
        <v>10</v>
      </c>
      <c r="F29" s="8">
        <f t="shared" si="3"/>
        <v>30</v>
      </c>
    </row>
    <row r="30" spans="2:13" x14ac:dyDescent="0.25">
      <c r="B30" s="147" t="s">
        <v>62</v>
      </c>
      <c r="C30" s="8">
        <v>60</v>
      </c>
      <c r="D30" s="8">
        <v>75</v>
      </c>
      <c r="E30" s="8">
        <v>65</v>
      </c>
      <c r="F30" s="8">
        <f t="shared" si="3"/>
        <v>200</v>
      </c>
    </row>
    <row r="31" spans="2:13" x14ac:dyDescent="0.25">
      <c r="B31" s="151" t="s">
        <v>38</v>
      </c>
      <c r="C31" s="152">
        <f>SUM(C23:C30)</f>
        <v>290</v>
      </c>
      <c r="D31" s="152">
        <f>SUM(D23:D30)</f>
        <v>175</v>
      </c>
      <c r="E31" s="152">
        <f>SUM(E23:E30)</f>
        <v>155</v>
      </c>
      <c r="F31" s="153">
        <f t="shared" si="3"/>
        <v>620</v>
      </c>
    </row>
    <row r="32" spans="2:13" x14ac:dyDescent="0.25">
      <c r="B32" s="105" t="s">
        <v>3</v>
      </c>
      <c r="C32" s="103">
        <f>C31*J25</f>
        <v>41412</v>
      </c>
      <c r="D32" s="103">
        <f>D31*K25</f>
        <v>25489.8</v>
      </c>
      <c r="E32" s="103">
        <f>E31*L25</f>
        <v>23028.213599999999</v>
      </c>
      <c r="F32" s="104">
        <f>SUM(C32:E32)</f>
        <v>89930.013600000006</v>
      </c>
      <c r="G32" s="4"/>
    </row>
    <row r="34" spans="2:9" x14ac:dyDescent="0.25">
      <c r="B34" s="67" t="s">
        <v>64</v>
      </c>
      <c r="C34" s="67"/>
      <c r="D34" s="67"/>
    </row>
    <row r="35" spans="2:9" x14ac:dyDescent="0.25">
      <c r="B35" s="137" t="s">
        <v>193</v>
      </c>
      <c r="C35" s="104">
        <v>30550</v>
      </c>
      <c r="D35" s="104">
        <v>30550</v>
      </c>
      <c r="E35" s="104">
        <v>30550</v>
      </c>
      <c r="F35" s="104">
        <f>SUM(C35:E35)</f>
        <v>91650</v>
      </c>
    </row>
    <row r="36" spans="2:9" x14ac:dyDescent="0.25">
      <c r="B36" s="181"/>
      <c r="C36" s="55"/>
      <c r="D36" s="55"/>
      <c r="E36" s="55"/>
      <c r="F36" s="55"/>
    </row>
    <row r="37" spans="2:9" x14ac:dyDescent="0.25">
      <c r="B37" s="236" t="s">
        <v>350</v>
      </c>
      <c r="C37" s="239">
        <f>C35*0.89</f>
        <v>27189.5</v>
      </c>
      <c r="D37" s="239">
        <f t="shared" ref="D37:F37" si="4">D35*0.89</f>
        <v>27189.5</v>
      </c>
      <c r="E37" s="239">
        <f t="shared" si="4"/>
        <v>27189.5</v>
      </c>
      <c r="F37" s="104">
        <f t="shared" si="4"/>
        <v>81568.5</v>
      </c>
    </row>
    <row r="38" spans="2:9" x14ac:dyDescent="0.25">
      <c r="B38" s="321" t="s">
        <v>351</v>
      </c>
      <c r="C38" s="239">
        <f>C35*0.11</f>
        <v>3360.5</v>
      </c>
      <c r="D38" s="239">
        <f t="shared" ref="D38:F38" si="5">D35*0.11</f>
        <v>3360.5</v>
      </c>
      <c r="E38" s="239">
        <f t="shared" si="5"/>
        <v>3360.5</v>
      </c>
      <c r="F38" s="104">
        <f t="shared" si="5"/>
        <v>10081.5</v>
      </c>
    </row>
    <row r="39" spans="2:9" x14ac:dyDescent="0.25">
      <c r="B39" s="181"/>
      <c r="C39" s="55"/>
      <c r="D39" s="55"/>
      <c r="E39" s="55"/>
      <c r="F39" s="55"/>
    </row>
    <row r="40" spans="2:9" x14ac:dyDescent="0.25">
      <c r="B40" s="67" t="s">
        <v>5</v>
      </c>
      <c r="C40" s="67"/>
      <c r="D40" s="67"/>
    </row>
    <row r="41" spans="2:9" x14ac:dyDescent="0.25">
      <c r="B41" s="10" t="s">
        <v>285</v>
      </c>
      <c r="C41" s="67"/>
      <c r="D41" s="67"/>
    </row>
    <row r="42" spans="2:9" x14ac:dyDescent="0.25">
      <c r="B42" s="10" t="s">
        <v>291</v>
      </c>
      <c r="C42" s="67"/>
      <c r="D42" s="67"/>
    </row>
    <row r="43" spans="2:9" x14ac:dyDescent="0.25">
      <c r="B43" s="10" t="s">
        <v>292</v>
      </c>
      <c r="C43" s="67"/>
      <c r="D43" s="67"/>
    </row>
    <row r="45" spans="2:9" x14ac:dyDescent="0.25">
      <c r="B45" s="29" t="s">
        <v>182</v>
      </c>
    </row>
    <row r="46" spans="2:9" x14ac:dyDescent="0.25">
      <c r="B46" s="416" t="s">
        <v>8</v>
      </c>
      <c r="C46" s="426"/>
      <c r="D46" s="426"/>
      <c r="E46" s="426"/>
      <c r="F46" s="426"/>
      <c r="G46" s="412"/>
      <c r="H46" s="50"/>
      <c r="I46" s="50"/>
    </row>
    <row r="47" spans="2:9" x14ac:dyDescent="0.25">
      <c r="B47" s="431"/>
      <c r="C47" s="432"/>
      <c r="D47" s="8">
        <v>2015</v>
      </c>
      <c r="E47" s="8">
        <v>2016</v>
      </c>
      <c r="F47" s="8">
        <v>2017</v>
      </c>
      <c r="G47" s="8" t="s">
        <v>3</v>
      </c>
    </row>
    <row r="48" spans="2:9" x14ac:dyDescent="0.25">
      <c r="B48" s="407" t="s">
        <v>221</v>
      </c>
      <c r="C48" s="409"/>
      <c r="D48" s="8">
        <v>120</v>
      </c>
      <c r="E48" s="8">
        <v>120</v>
      </c>
      <c r="F48" s="8">
        <v>120</v>
      </c>
      <c r="G48" s="8">
        <f>SUM(D48:F48)</f>
        <v>360</v>
      </c>
    </row>
    <row r="49" spans="2:12" x14ac:dyDescent="0.25">
      <c r="B49" s="407" t="s">
        <v>286</v>
      </c>
      <c r="C49" s="430"/>
      <c r="D49" s="8">
        <v>20</v>
      </c>
      <c r="E49" s="8">
        <v>20</v>
      </c>
      <c r="F49" s="8">
        <v>20</v>
      </c>
      <c r="G49" s="8">
        <f>SUM(D49:F49)</f>
        <v>60</v>
      </c>
    </row>
    <row r="50" spans="2:12" x14ac:dyDescent="0.25">
      <c r="B50" s="407" t="s">
        <v>176</v>
      </c>
      <c r="C50" s="430"/>
      <c r="D50" s="8">
        <f>SUM(D48:D49)</f>
        <v>140</v>
      </c>
      <c r="E50" s="8">
        <f>SUM(E48:E49)</f>
        <v>140</v>
      </c>
      <c r="F50" s="8">
        <f>SUM(F48:F49)</f>
        <v>140</v>
      </c>
      <c r="G50" s="8">
        <f>SUM(D50:F50)</f>
        <v>420</v>
      </c>
    </row>
    <row r="51" spans="2:12" x14ac:dyDescent="0.25">
      <c r="B51" s="438" t="s">
        <v>16</v>
      </c>
      <c r="C51" s="439"/>
      <c r="D51" s="40">
        <f>D50*'Staff rate assump'!B10</f>
        <v>6704.6</v>
      </c>
      <c r="E51" s="40">
        <f>E50*'Staff rate assump'!C10</f>
        <v>6973.4000000000005</v>
      </c>
      <c r="F51" s="40">
        <f>F50*'Staff rate assump'!D10</f>
        <v>7252</v>
      </c>
      <c r="G51" s="41">
        <f>SUM(D51:F51)</f>
        <v>20930</v>
      </c>
    </row>
    <row r="52" spans="2:12" x14ac:dyDescent="0.25">
      <c r="B52" s="436"/>
      <c r="C52" s="436"/>
      <c r="D52" s="436"/>
      <c r="E52" s="436"/>
      <c r="F52" s="10"/>
      <c r="G52" s="10"/>
      <c r="H52" s="10"/>
      <c r="I52" s="10"/>
    </row>
    <row r="53" spans="2:12" x14ac:dyDescent="0.25">
      <c r="B53" s="416" t="s">
        <v>152</v>
      </c>
      <c r="C53" s="426"/>
      <c r="D53" s="426"/>
      <c r="E53" s="426"/>
      <c r="F53" s="426"/>
      <c r="G53" s="426"/>
      <c r="H53" s="426"/>
      <c r="I53" s="412"/>
      <c r="J53" s="50"/>
      <c r="K53" s="50"/>
      <c r="L53" s="50"/>
    </row>
    <row r="54" spans="2:12" x14ac:dyDescent="0.25">
      <c r="B54" s="169" t="s">
        <v>154</v>
      </c>
      <c r="C54" s="170" t="s">
        <v>155</v>
      </c>
      <c r="D54" s="171" t="s">
        <v>159</v>
      </c>
      <c r="E54" s="172" t="s">
        <v>158</v>
      </c>
      <c r="F54" s="173">
        <v>2015</v>
      </c>
      <c r="G54" s="174">
        <v>2016</v>
      </c>
      <c r="H54" s="174">
        <v>2017</v>
      </c>
      <c r="I54" s="174" t="s">
        <v>3</v>
      </c>
    </row>
    <row r="55" spans="2:12" x14ac:dyDescent="0.25">
      <c r="B55" s="109" t="s">
        <v>153</v>
      </c>
      <c r="C55" s="163">
        <v>3</v>
      </c>
      <c r="D55" s="107">
        <v>650</v>
      </c>
      <c r="E55" s="164">
        <v>1200</v>
      </c>
      <c r="F55" s="162">
        <f>C55*D55+C55*E55</f>
        <v>5550</v>
      </c>
      <c r="G55" s="38"/>
      <c r="H55" s="38">
        <f>C55*D55+C55*E55</f>
        <v>5550</v>
      </c>
      <c r="I55" s="38">
        <f t="shared" ref="I55:I60" si="6">SUM(F55:H55)</f>
        <v>11100</v>
      </c>
    </row>
    <row r="56" spans="2:12" x14ac:dyDescent="0.25">
      <c r="B56" s="109" t="s">
        <v>160</v>
      </c>
      <c r="C56" s="163">
        <v>4</v>
      </c>
      <c r="D56" s="107">
        <v>650</v>
      </c>
      <c r="E56" s="164">
        <v>1200</v>
      </c>
      <c r="F56" s="162">
        <f t="shared" ref="F56:H58" si="7">$C56*$D56+$C56*$E56</f>
        <v>7400</v>
      </c>
      <c r="G56" s="38">
        <f t="shared" si="7"/>
        <v>7400</v>
      </c>
      <c r="H56" s="38">
        <f t="shared" si="7"/>
        <v>7400</v>
      </c>
      <c r="I56" s="38">
        <f t="shared" si="6"/>
        <v>22200</v>
      </c>
    </row>
    <row r="57" spans="2:12" x14ac:dyDescent="0.25">
      <c r="B57" s="109" t="s">
        <v>156</v>
      </c>
      <c r="C57" s="163">
        <v>2</v>
      </c>
      <c r="D57" s="107">
        <v>650</v>
      </c>
      <c r="E57" s="164">
        <v>1200</v>
      </c>
      <c r="F57" s="162">
        <f t="shared" si="7"/>
        <v>3700</v>
      </c>
      <c r="G57" s="38">
        <f t="shared" si="7"/>
        <v>3700</v>
      </c>
      <c r="H57" s="38">
        <f t="shared" si="7"/>
        <v>3700</v>
      </c>
      <c r="I57" s="38">
        <f t="shared" si="6"/>
        <v>11100</v>
      </c>
    </row>
    <row r="58" spans="2:12" ht="13.8" thickBot="1" x14ac:dyDescent="0.3">
      <c r="B58" s="109" t="s">
        <v>157</v>
      </c>
      <c r="C58" s="165">
        <v>2</v>
      </c>
      <c r="D58" s="166">
        <v>150</v>
      </c>
      <c r="E58" s="167">
        <v>250</v>
      </c>
      <c r="F58" s="162">
        <f t="shared" si="7"/>
        <v>800</v>
      </c>
      <c r="G58" s="38">
        <f t="shared" si="7"/>
        <v>800</v>
      </c>
      <c r="H58" s="38">
        <f t="shared" si="7"/>
        <v>800</v>
      </c>
      <c r="I58" s="38">
        <f t="shared" si="6"/>
        <v>2400</v>
      </c>
    </row>
    <row r="59" spans="2:12" x14ac:dyDescent="0.25">
      <c r="B59" s="106" t="s">
        <v>3</v>
      </c>
      <c r="C59" s="168" t="s">
        <v>198</v>
      </c>
      <c r="D59" s="168" t="s">
        <v>198</v>
      </c>
      <c r="E59" s="168" t="s">
        <v>198</v>
      </c>
      <c r="F59" s="40">
        <f>SUM(F55:F58)</f>
        <v>17450</v>
      </c>
      <c r="G59" s="40">
        <f>SUM(G55:G58)</f>
        <v>11900</v>
      </c>
      <c r="H59" s="40">
        <f>SUM(H55:H58)</f>
        <v>17450</v>
      </c>
      <c r="I59" s="41">
        <f t="shared" si="6"/>
        <v>46800</v>
      </c>
    </row>
    <row r="60" spans="2:12" x14ac:dyDescent="0.25">
      <c r="B60" s="434" t="s">
        <v>199</v>
      </c>
      <c r="C60" s="426"/>
      <c r="D60" s="426"/>
      <c r="E60" s="412"/>
      <c r="F60" s="104">
        <f>D51+F59</f>
        <v>24154.6</v>
      </c>
      <c r="G60" s="104">
        <f>E51+G59</f>
        <v>18873.400000000001</v>
      </c>
      <c r="H60" s="104">
        <f>F51+H59</f>
        <v>24702</v>
      </c>
      <c r="I60" s="104">
        <f t="shared" si="6"/>
        <v>67730</v>
      </c>
    </row>
    <row r="61" spans="2:12" x14ac:dyDescent="0.25">
      <c r="D61" s="5"/>
    </row>
    <row r="62" spans="2:12" x14ac:dyDescent="0.25">
      <c r="B62" s="402" t="s">
        <v>374</v>
      </c>
      <c r="C62" s="427"/>
      <c r="D62" s="427"/>
      <c r="E62" s="427"/>
      <c r="F62" s="239">
        <f>F60*'Overall Summary'!$D$63</f>
        <v>21256.047999999999</v>
      </c>
      <c r="G62" s="239">
        <f>G60*'Overall Summary'!$D$63</f>
        <v>16608.592000000001</v>
      </c>
      <c r="H62" s="239">
        <f>H60*'Overall Summary'!$D$63</f>
        <v>21737.759999999998</v>
      </c>
      <c r="I62" s="104">
        <f>SUM(F62:H62)</f>
        <v>59602.399999999994</v>
      </c>
    </row>
    <row r="63" spans="2:12" x14ac:dyDescent="0.25">
      <c r="B63" s="402" t="s">
        <v>375</v>
      </c>
      <c r="C63" s="427"/>
      <c r="D63" s="427"/>
      <c r="E63" s="427"/>
      <c r="F63" s="239">
        <f>F60*'Overall Summary'!$D$64</f>
        <v>2898.5519999999997</v>
      </c>
      <c r="G63" s="239">
        <f>G60*'Overall Summary'!$D$64</f>
        <v>2264.808</v>
      </c>
      <c r="H63" s="239">
        <f>H60*'Overall Summary'!$D$64</f>
        <v>2964.24</v>
      </c>
      <c r="I63" s="104">
        <f>SUM(F63:H63)</f>
        <v>8127.5999999999995</v>
      </c>
    </row>
    <row r="64" spans="2:12" x14ac:dyDescent="0.25">
      <c r="D64" s="5"/>
    </row>
    <row r="65" spans="2:12" x14ac:dyDescent="0.25">
      <c r="B65" s="29" t="s">
        <v>161</v>
      </c>
      <c r="D65" s="5"/>
    </row>
    <row r="66" spans="2:12" x14ac:dyDescent="0.25">
      <c r="B66" s="435"/>
      <c r="C66" s="435"/>
      <c r="D66" s="135">
        <v>2015</v>
      </c>
      <c r="E66" s="135">
        <v>2016</v>
      </c>
      <c r="F66" s="135">
        <v>2017</v>
      </c>
      <c r="G66" s="135" t="s">
        <v>3</v>
      </c>
    </row>
    <row r="67" spans="2:12" x14ac:dyDescent="0.25">
      <c r="B67" s="429" t="s">
        <v>162</v>
      </c>
      <c r="C67" s="429"/>
      <c r="D67" s="179"/>
      <c r="E67" s="179">
        <v>5000</v>
      </c>
      <c r="F67" s="179"/>
      <c r="G67" s="179">
        <f>SUM(D67:F67)</f>
        <v>5000</v>
      </c>
    </row>
    <row r="68" spans="2:12" x14ac:dyDescent="0.25">
      <c r="B68" s="429" t="s">
        <v>163</v>
      </c>
      <c r="C68" s="429"/>
      <c r="D68" s="179">
        <v>300</v>
      </c>
      <c r="E68" s="179">
        <v>300</v>
      </c>
      <c r="F68" s="179">
        <v>300</v>
      </c>
      <c r="G68" s="179">
        <f>SUM(D68:F68)</f>
        <v>900</v>
      </c>
    </row>
    <row r="69" spans="2:12" x14ac:dyDescent="0.25">
      <c r="B69" s="429" t="s">
        <v>164</v>
      </c>
      <c r="C69" s="429"/>
      <c r="D69" s="179">
        <v>300</v>
      </c>
      <c r="E69" s="179">
        <v>300</v>
      </c>
      <c r="F69" s="179">
        <v>300</v>
      </c>
      <c r="G69" s="179">
        <f>SUM(D69:F69)</f>
        <v>900</v>
      </c>
      <c r="L69" s="31"/>
    </row>
    <row r="70" spans="2:12" x14ac:dyDescent="0.25">
      <c r="B70" s="428" t="s">
        <v>200</v>
      </c>
      <c r="C70" s="428"/>
      <c r="D70" s="180">
        <f>SUM(D67:D69)</f>
        <v>600</v>
      </c>
      <c r="E70" s="180">
        <f>SUM(E67:E69)</f>
        <v>5600</v>
      </c>
      <c r="F70" s="104">
        <f>SUM(F67:F69)</f>
        <v>600</v>
      </c>
      <c r="G70" s="104">
        <f>SUM(D70:F70)</f>
        <v>6800</v>
      </c>
    </row>
    <row r="71" spans="2:12" x14ac:dyDescent="0.25">
      <c r="B71" s="181"/>
      <c r="C71" s="45"/>
      <c r="D71" s="55"/>
      <c r="E71" s="55"/>
      <c r="F71" s="55"/>
      <c r="G71" s="55"/>
    </row>
    <row r="72" spans="2:12" x14ac:dyDescent="0.25">
      <c r="B72" s="433" t="s">
        <v>374</v>
      </c>
      <c r="C72" s="430"/>
      <c r="D72" s="239">
        <f>D70*'Overall Summary'!$D$63</f>
        <v>528</v>
      </c>
      <c r="E72" s="239">
        <f>E70*'Overall Summary'!$D$63</f>
        <v>4928</v>
      </c>
      <c r="F72" s="239">
        <f>F70*'Overall Summary'!$D$63</f>
        <v>528</v>
      </c>
      <c r="G72" s="104">
        <f>SUM(D72:F72)</f>
        <v>5984</v>
      </c>
    </row>
    <row r="73" spans="2:12" x14ac:dyDescent="0.25">
      <c r="B73" s="433" t="s">
        <v>377</v>
      </c>
      <c r="C73" s="430"/>
      <c r="D73" s="239">
        <f>D70*'Overall Summary'!$D$64</f>
        <v>72</v>
      </c>
      <c r="E73" s="239">
        <f>E70*'Overall Summary'!$D$64</f>
        <v>672</v>
      </c>
      <c r="F73" s="239">
        <f>F70*'Overall Summary'!$D$64</f>
        <v>72</v>
      </c>
      <c r="G73" s="104">
        <f>SUM(D73:F73)</f>
        <v>816</v>
      </c>
    </row>
    <row r="74" spans="2:12" x14ac:dyDescent="0.25">
      <c r="B74" s="181"/>
      <c r="C74" s="45"/>
      <c r="D74" s="55"/>
      <c r="E74" s="55"/>
      <c r="F74" s="55"/>
      <c r="G74" s="55"/>
    </row>
    <row r="75" spans="2:12" x14ac:dyDescent="0.25">
      <c r="B75" s="67" t="s">
        <v>5</v>
      </c>
    </row>
    <row r="76" spans="2:12" x14ac:dyDescent="0.25">
      <c r="B76" s="10" t="s">
        <v>287</v>
      </c>
    </row>
    <row r="77" spans="2:12" x14ac:dyDescent="0.25">
      <c r="B77" s="10" t="s">
        <v>288</v>
      </c>
    </row>
    <row r="80" spans="2:12" ht="13.8" x14ac:dyDescent="0.25">
      <c r="B80" s="298" t="s">
        <v>325</v>
      </c>
    </row>
    <row r="81" spans="2:10" ht="13.8" x14ac:dyDescent="0.25">
      <c r="B81" s="298"/>
    </row>
    <row r="82" spans="2:10" x14ac:dyDescent="0.25">
      <c r="B82" s="300"/>
    </row>
    <row r="83" spans="2:10" x14ac:dyDescent="0.25">
      <c r="B83" s="366" t="s">
        <v>8</v>
      </c>
      <c r="C83" s="366"/>
      <c r="D83" s="366"/>
      <c r="E83" s="366"/>
      <c r="F83" s="366"/>
      <c r="G83" s="366"/>
      <c r="H83" s="366"/>
      <c r="I83" s="366"/>
    </row>
    <row r="84" spans="2:10" x14ac:dyDescent="0.25">
      <c r="B84" s="376"/>
      <c r="C84" s="377"/>
      <c r="D84" s="377"/>
      <c r="E84" s="378"/>
      <c r="F84" s="8">
        <v>2015</v>
      </c>
      <c r="G84" s="8">
        <v>2016</v>
      </c>
      <c r="H84" s="8">
        <v>2017</v>
      </c>
      <c r="I84" s="8" t="s">
        <v>3</v>
      </c>
      <c r="J84" s="10" t="s">
        <v>5</v>
      </c>
    </row>
    <row r="85" spans="2:10" x14ac:dyDescent="0.25">
      <c r="B85" s="370" t="s">
        <v>68</v>
      </c>
      <c r="C85" s="370"/>
      <c r="D85" s="370"/>
      <c r="E85" s="370"/>
      <c r="F85" s="8">
        <v>0</v>
      </c>
      <c r="G85" s="8">
        <f>'RFP-Contract Process Assump'!C9*2</f>
        <v>122</v>
      </c>
      <c r="H85" s="8">
        <v>0</v>
      </c>
      <c r="I85" s="8">
        <f>SUM(F85:H85)</f>
        <v>122</v>
      </c>
    </row>
    <row r="86" spans="2:10" x14ac:dyDescent="0.25">
      <c r="B86" s="370" t="s">
        <v>31</v>
      </c>
      <c r="C86" s="370"/>
      <c r="D86" s="370"/>
      <c r="E86" s="370"/>
      <c r="F86" s="8">
        <v>0</v>
      </c>
      <c r="G86" s="8">
        <f>3*10.5</f>
        <v>31.5</v>
      </c>
      <c r="H86" s="8">
        <f>3*12</f>
        <v>36</v>
      </c>
      <c r="I86" s="8">
        <f>SUM(F86:H86)</f>
        <v>67.5</v>
      </c>
      <c r="J86" s="300" t="s">
        <v>140</v>
      </c>
    </row>
    <row r="87" spans="2:10" x14ac:dyDescent="0.25">
      <c r="B87" s="316"/>
      <c r="C87" s="317"/>
      <c r="D87" s="317"/>
      <c r="E87" s="318" t="s">
        <v>326</v>
      </c>
      <c r="F87" s="8">
        <v>0</v>
      </c>
      <c r="G87" s="8">
        <f>2*10.5</f>
        <v>21</v>
      </c>
      <c r="H87" s="8">
        <f>2*12</f>
        <v>24</v>
      </c>
      <c r="I87" s="8"/>
      <c r="J87" s="300" t="s">
        <v>317</v>
      </c>
    </row>
    <row r="88" spans="2:10" x14ac:dyDescent="0.25">
      <c r="B88" s="316"/>
      <c r="C88" s="317"/>
      <c r="D88" s="317"/>
      <c r="E88" s="318" t="s">
        <v>327</v>
      </c>
      <c r="F88" s="8">
        <v>0</v>
      </c>
      <c r="G88" s="8">
        <f>2*10.5</f>
        <v>21</v>
      </c>
      <c r="H88" s="8">
        <f>2*12</f>
        <v>24</v>
      </c>
      <c r="I88" s="8"/>
      <c r="J88" s="300" t="s">
        <v>317</v>
      </c>
    </row>
    <row r="89" spans="2:10" x14ac:dyDescent="0.25">
      <c r="B89" s="316"/>
      <c r="C89" s="317"/>
      <c r="D89" s="317"/>
      <c r="E89" s="318" t="s">
        <v>328</v>
      </c>
      <c r="F89" s="8">
        <v>0</v>
      </c>
      <c r="G89" s="8">
        <f>3*22.5</f>
        <v>67.5</v>
      </c>
      <c r="H89" s="8">
        <v>0</v>
      </c>
      <c r="I89" s="8"/>
      <c r="J89" s="300" t="s">
        <v>140</v>
      </c>
    </row>
    <row r="90" spans="2:10" x14ac:dyDescent="0.25">
      <c r="B90" s="316"/>
      <c r="C90" s="317"/>
      <c r="D90" s="317"/>
      <c r="E90" s="318" t="s">
        <v>329</v>
      </c>
      <c r="F90" s="8">
        <v>0</v>
      </c>
      <c r="G90" s="8">
        <f>2*8.5</f>
        <v>17</v>
      </c>
      <c r="H90" s="8">
        <f>2*14</f>
        <v>28</v>
      </c>
      <c r="I90" s="8"/>
      <c r="J90" s="300" t="s">
        <v>317</v>
      </c>
    </row>
    <row r="91" spans="2:10" x14ac:dyDescent="0.25">
      <c r="B91" s="370"/>
      <c r="C91" s="370"/>
      <c r="D91" s="370"/>
      <c r="E91" s="370"/>
      <c r="F91" s="8">
        <f>F114</f>
        <v>0</v>
      </c>
      <c r="G91" s="8">
        <f>G114</f>
        <v>0</v>
      </c>
      <c r="H91" s="8">
        <f>H116</f>
        <v>0</v>
      </c>
      <c r="I91" s="8">
        <f>SUM(F91:H91)</f>
        <v>0</v>
      </c>
    </row>
    <row r="92" spans="2:10" x14ac:dyDescent="0.25">
      <c r="B92" s="372" t="s">
        <v>10</v>
      </c>
      <c r="C92" s="372"/>
      <c r="D92" s="372"/>
      <c r="E92" s="372"/>
      <c r="F92" s="9">
        <f>SUM(F85:F91)</f>
        <v>0</v>
      </c>
      <c r="G92" s="9">
        <f>SUM(G85:G91)</f>
        <v>280</v>
      </c>
      <c r="H92" s="9">
        <f>SUM(H85:H91)</f>
        <v>112</v>
      </c>
      <c r="I92" s="9">
        <f>SUM(F92:H92)</f>
        <v>392</v>
      </c>
    </row>
    <row r="93" spans="2:10" x14ac:dyDescent="0.25">
      <c r="B93" s="379" t="s">
        <v>16</v>
      </c>
      <c r="C93" s="379"/>
      <c r="D93" s="379"/>
      <c r="E93" s="379"/>
      <c r="F93" s="40">
        <f>F92*'Staff rate assump'!B10</f>
        <v>0</v>
      </c>
      <c r="G93" s="40">
        <f>G92*'Staff rate assump'!C10</f>
        <v>13946.800000000001</v>
      </c>
      <c r="H93" s="40">
        <f>H92*'Staff rate assump'!D10</f>
        <v>5801.5999999999995</v>
      </c>
      <c r="I93" s="41">
        <f>SUM(F93:H93)</f>
        <v>19748.400000000001</v>
      </c>
    </row>
    <row r="95" spans="2:10" x14ac:dyDescent="0.25">
      <c r="C95" s="10"/>
      <c r="D95" s="10"/>
      <c r="E95" s="10"/>
      <c r="F95" s="10"/>
      <c r="G95" s="71"/>
      <c r="H95" s="10"/>
      <c r="I95" s="10"/>
      <c r="J95" s="10"/>
    </row>
    <row r="96" spans="2:10" x14ac:dyDescent="0.25">
      <c r="B96" s="376" t="s">
        <v>83</v>
      </c>
      <c r="C96" s="377"/>
      <c r="D96" s="377"/>
      <c r="E96" s="378"/>
      <c r="F96" s="36">
        <f>G106</f>
        <v>0</v>
      </c>
      <c r="G96" s="37">
        <v>0</v>
      </c>
      <c r="H96" s="36">
        <v>0</v>
      </c>
      <c r="I96" s="38">
        <f>SUM(F96:H96)</f>
        <v>0</v>
      </c>
    </row>
    <row r="97" spans="2:9" x14ac:dyDescent="0.25">
      <c r="B97" s="10"/>
      <c r="C97" s="10"/>
      <c r="D97" s="10"/>
      <c r="E97" s="10"/>
      <c r="F97" s="10"/>
      <c r="G97" s="10"/>
      <c r="H97" s="10"/>
      <c r="I97" s="10"/>
    </row>
    <row r="98" spans="2:9" x14ac:dyDescent="0.25">
      <c r="B98" s="420" t="s">
        <v>33</v>
      </c>
      <c r="C98" s="421"/>
      <c r="D98" s="421"/>
      <c r="E98" s="422"/>
      <c r="F98" s="89">
        <f>F93+F96</f>
        <v>0</v>
      </c>
      <c r="G98" s="89">
        <f>G93+G96</f>
        <v>13946.800000000001</v>
      </c>
      <c r="H98" s="89">
        <f>H93+H96</f>
        <v>5801.5999999999995</v>
      </c>
      <c r="I98" s="89">
        <f>SUM(F98:H98)</f>
        <v>19748.400000000001</v>
      </c>
    </row>
  </sheetData>
  <mergeCells count="30">
    <mergeCell ref="B5:F5"/>
    <mergeCell ref="B52:E52"/>
    <mergeCell ref="B21:F21"/>
    <mergeCell ref="B50:C50"/>
    <mergeCell ref="B51:C51"/>
    <mergeCell ref="B48:C48"/>
    <mergeCell ref="B72:C72"/>
    <mergeCell ref="B73:C73"/>
    <mergeCell ref="B69:C69"/>
    <mergeCell ref="B67:C67"/>
    <mergeCell ref="B60:E60"/>
    <mergeCell ref="B66:C66"/>
    <mergeCell ref="I23:L23"/>
    <mergeCell ref="B46:G46"/>
    <mergeCell ref="B62:E62"/>
    <mergeCell ref="B63:E63"/>
    <mergeCell ref="B70:C70"/>
    <mergeCell ref="B68:C68"/>
    <mergeCell ref="B49:C49"/>
    <mergeCell ref="B53:I53"/>
    <mergeCell ref="B47:C47"/>
    <mergeCell ref="B92:E92"/>
    <mergeCell ref="B93:E93"/>
    <mergeCell ref="B96:E96"/>
    <mergeCell ref="B98:E98"/>
    <mergeCell ref="B83:I83"/>
    <mergeCell ref="B84:E84"/>
    <mergeCell ref="B85:E85"/>
    <mergeCell ref="B86:E86"/>
    <mergeCell ref="B91:E91"/>
  </mergeCells>
  <phoneticPr fontId="11" type="noConversion"/>
  <pageMargins left="0.7" right="0.7" top="0.44" bottom="0.75" header="0.3" footer="0.3"/>
  <pageSetup scale="54" orientation="landscape"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2:Q35"/>
  <sheetViews>
    <sheetView topLeftCell="A16" workbookViewId="0">
      <selection activeCell="C37" sqref="C37"/>
    </sheetView>
  </sheetViews>
  <sheetFormatPr defaultRowHeight="13.2" x14ac:dyDescent="0.25"/>
  <cols>
    <col min="1" max="1" width="4.6640625" customWidth="1"/>
    <col min="5" max="5" width="16.33203125" customWidth="1"/>
    <col min="6" max="6" width="15.5546875" bestFit="1" customWidth="1"/>
    <col min="7" max="7" width="9.5546875" bestFit="1" customWidth="1"/>
    <col min="11" max="11" width="9.5546875" bestFit="1" customWidth="1"/>
    <col min="17" max="17" width="12.6640625" bestFit="1" customWidth="1"/>
  </cols>
  <sheetData>
    <row r="2" spans="2:16" ht="13.8" x14ac:dyDescent="0.25">
      <c r="B2" s="298" t="s">
        <v>380</v>
      </c>
    </row>
    <row r="4" spans="2:16" x14ac:dyDescent="0.25">
      <c r="B4" s="29" t="s">
        <v>165</v>
      </c>
    </row>
    <row r="6" spans="2:16" x14ac:dyDescent="0.25">
      <c r="B6" s="366" t="s">
        <v>8</v>
      </c>
      <c r="C6" s="366"/>
      <c r="D6" s="366"/>
      <c r="E6" s="366"/>
      <c r="F6" s="366"/>
      <c r="G6" s="366"/>
      <c r="H6" s="366"/>
      <c r="I6" s="366"/>
      <c r="J6" s="18"/>
      <c r="K6" s="10"/>
    </row>
    <row r="7" spans="2:16" x14ac:dyDescent="0.25">
      <c r="B7" s="376"/>
      <c r="C7" s="377"/>
      <c r="D7" s="377"/>
      <c r="E7" s="378"/>
      <c r="F7" s="8">
        <v>2015</v>
      </c>
      <c r="G7" s="8">
        <v>2016</v>
      </c>
      <c r="H7" s="8">
        <v>2017</v>
      </c>
      <c r="I7" s="8" t="s">
        <v>3</v>
      </c>
      <c r="J7" s="10" t="s">
        <v>5</v>
      </c>
      <c r="K7" s="10"/>
    </row>
    <row r="8" spans="2:16" x14ac:dyDescent="0.25">
      <c r="B8" s="370" t="s">
        <v>68</v>
      </c>
      <c r="C8" s="370"/>
      <c r="D8" s="370"/>
      <c r="E8" s="370"/>
      <c r="F8" s="187">
        <f>'RFP-Contract Process Assump'!C9</f>
        <v>61</v>
      </c>
      <c r="G8" s="188" t="s">
        <v>198</v>
      </c>
      <c r="H8" s="188" t="s">
        <v>198</v>
      </c>
      <c r="I8" s="8">
        <f>SUM(G8:H8)</f>
        <v>0</v>
      </c>
      <c r="J8" s="10" t="s">
        <v>106</v>
      </c>
      <c r="K8" s="10"/>
    </row>
    <row r="9" spans="2:16" x14ac:dyDescent="0.25">
      <c r="B9" s="370" t="s">
        <v>31</v>
      </c>
      <c r="C9" s="370"/>
      <c r="D9" s="370"/>
      <c r="E9" s="370"/>
      <c r="F9" s="188">
        <f>2.5*22.5</f>
        <v>56.25</v>
      </c>
      <c r="G9" s="188" t="s">
        <v>198</v>
      </c>
      <c r="H9" s="188" t="s">
        <v>198</v>
      </c>
      <c r="I9" s="8">
        <f>SUM(F9:H9)</f>
        <v>56.25</v>
      </c>
      <c r="J9" s="10" t="s">
        <v>314</v>
      </c>
      <c r="K9" s="10"/>
    </row>
    <row r="10" spans="2:16" x14ac:dyDescent="0.25">
      <c r="B10" s="370" t="s">
        <v>206</v>
      </c>
      <c r="C10" s="370"/>
      <c r="D10" s="370"/>
      <c r="E10" s="370"/>
      <c r="F10" s="188">
        <f>H28</f>
        <v>170</v>
      </c>
      <c r="G10" s="188" t="s">
        <v>198</v>
      </c>
      <c r="H10" s="188" t="s">
        <v>198</v>
      </c>
      <c r="I10" s="8">
        <f>SUM(F10:H10)</f>
        <v>170</v>
      </c>
      <c r="J10" s="10"/>
      <c r="K10" s="10"/>
      <c r="M10" s="300" t="s">
        <v>307</v>
      </c>
    </row>
    <row r="11" spans="2:16" x14ac:dyDescent="0.25">
      <c r="B11" s="372" t="s">
        <v>10</v>
      </c>
      <c r="C11" s="372"/>
      <c r="D11" s="372"/>
      <c r="E11" s="372"/>
      <c r="F11" s="9">
        <f>SUM(F8:F10)</f>
        <v>287.25</v>
      </c>
      <c r="G11" s="9">
        <f>SUM(G8:G10)</f>
        <v>0</v>
      </c>
      <c r="H11" s="9">
        <f>SUM(H8:H10)</f>
        <v>0</v>
      </c>
      <c r="I11" s="9">
        <f>SUM(F11:H11)</f>
        <v>287.25</v>
      </c>
      <c r="J11" s="10"/>
      <c r="K11" s="10"/>
      <c r="L11" s="10"/>
      <c r="M11" s="10"/>
      <c r="P11" t="s">
        <v>212</v>
      </c>
    </row>
    <row r="12" spans="2:16" x14ac:dyDescent="0.25">
      <c r="B12" s="379" t="s">
        <v>16</v>
      </c>
      <c r="C12" s="379"/>
      <c r="D12" s="379"/>
      <c r="E12" s="379"/>
      <c r="F12" s="40">
        <f>'Staff rate assump'!B10*F11</f>
        <v>13756.4025</v>
      </c>
      <c r="G12" s="40">
        <f>'Staff rate assump'!C10*G11</f>
        <v>0</v>
      </c>
      <c r="H12" s="40">
        <f>'Staff rate assump'!D10*H11</f>
        <v>0</v>
      </c>
      <c r="I12" s="41">
        <f>F12+G12+H12</f>
        <v>13756.4025</v>
      </c>
      <c r="K12" s="10"/>
      <c r="L12" s="10"/>
      <c r="M12" s="10"/>
    </row>
    <row r="13" spans="2:16" x14ac:dyDescent="0.25">
      <c r="B13" s="51"/>
      <c r="C13" s="51"/>
      <c r="D13" s="51"/>
      <c r="E13" s="51"/>
      <c r="F13" s="54"/>
      <c r="G13" s="54"/>
      <c r="H13" s="54"/>
      <c r="I13" s="55"/>
      <c r="K13" s="10"/>
      <c r="L13" s="10"/>
      <c r="M13" s="10"/>
    </row>
    <row r="14" spans="2:16" x14ac:dyDescent="0.25">
      <c r="B14" s="51"/>
      <c r="C14" s="51"/>
      <c r="D14" s="51"/>
      <c r="E14" s="51"/>
      <c r="F14" s="52"/>
      <c r="G14" s="52"/>
      <c r="H14" s="52"/>
      <c r="I14" s="53"/>
      <c r="M14" s="10"/>
    </row>
    <row r="15" spans="2:16" x14ac:dyDescent="0.25">
      <c r="B15" s="370" t="s">
        <v>83</v>
      </c>
      <c r="C15" s="370"/>
      <c r="D15" s="370"/>
      <c r="E15" s="370"/>
      <c r="F15" s="186">
        <f>K30</f>
        <v>95205</v>
      </c>
      <c r="G15" s="37">
        <v>0</v>
      </c>
      <c r="H15" s="186">
        <v>0</v>
      </c>
      <c r="I15" s="38">
        <f>SUM(F15:H15)</f>
        <v>95205</v>
      </c>
      <c r="K15" s="10"/>
    </row>
    <row r="16" spans="2:16" x14ac:dyDescent="0.25">
      <c r="B16" s="10"/>
      <c r="C16" s="10"/>
      <c r="D16" s="10"/>
      <c r="E16" s="10"/>
      <c r="F16" s="10"/>
      <c r="G16" s="10"/>
      <c r="H16" s="10"/>
      <c r="I16" s="10"/>
      <c r="J16" s="10"/>
    </row>
    <row r="17" spans="2:17" x14ac:dyDescent="0.25">
      <c r="B17" s="383" t="s">
        <v>193</v>
      </c>
      <c r="C17" s="384"/>
      <c r="D17" s="384"/>
      <c r="E17" s="385"/>
      <c r="F17" s="90">
        <f>F15+F12</f>
        <v>108961.4025</v>
      </c>
      <c r="G17" s="90">
        <f>G15+G12</f>
        <v>0</v>
      </c>
      <c r="H17" s="194">
        <v>0</v>
      </c>
      <c r="I17" s="89">
        <f>I15+I12</f>
        <v>108961.4025</v>
      </c>
      <c r="J17" s="10"/>
      <c r="K17" s="10"/>
    </row>
    <row r="18" spans="2:17" x14ac:dyDescent="0.25">
      <c r="B18" s="10"/>
      <c r="C18" s="10"/>
      <c r="D18" s="10"/>
      <c r="E18" s="10"/>
      <c r="F18" s="10"/>
      <c r="G18" s="10"/>
      <c r="H18" s="10"/>
      <c r="I18" s="10"/>
      <c r="J18" s="10"/>
      <c r="K18" s="10"/>
    </row>
    <row r="19" spans="2:17" x14ac:dyDescent="0.25">
      <c r="B19" s="10" t="s">
        <v>204</v>
      </c>
      <c r="C19" s="10"/>
      <c r="D19" s="10"/>
      <c r="E19" s="10"/>
      <c r="F19" s="369" t="s">
        <v>8</v>
      </c>
      <c r="G19" s="369"/>
      <c r="H19" s="369"/>
      <c r="I19" s="369" t="s">
        <v>42</v>
      </c>
      <c r="J19" s="369"/>
      <c r="K19" s="369"/>
    </row>
    <row r="20" spans="2:17" x14ac:dyDescent="0.25">
      <c r="B20" s="10"/>
      <c r="C20" s="10"/>
      <c r="D20" s="10"/>
      <c r="E20" s="10"/>
      <c r="F20" s="39" t="s">
        <v>36</v>
      </c>
      <c r="G20" s="39" t="s">
        <v>37</v>
      </c>
      <c r="H20" s="39" t="s">
        <v>38</v>
      </c>
      <c r="I20" s="68" t="s">
        <v>36</v>
      </c>
      <c r="J20" s="8" t="s">
        <v>37</v>
      </c>
      <c r="K20" s="8" t="s">
        <v>38</v>
      </c>
    </row>
    <row r="21" spans="2:17" x14ac:dyDescent="0.25">
      <c r="B21" s="441" t="s">
        <v>111</v>
      </c>
      <c r="C21" s="441"/>
      <c r="D21" s="441"/>
      <c r="E21" s="442"/>
      <c r="F21" s="39">
        <v>1</v>
      </c>
      <c r="G21" s="39">
        <v>30</v>
      </c>
      <c r="H21" s="39">
        <f>G21*F21</f>
        <v>30</v>
      </c>
      <c r="I21" s="68">
        <v>1</v>
      </c>
      <c r="J21" s="8">
        <v>40</v>
      </c>
      <c r="K21" s="8">
        <f t="shared" ref="K21:K26" si="0">J21*I21</f>
        <v>40</v>
      </c>
      <c r="L21" s="10"/>
      <c r="M21" s="10"/>
      <c r="P21" s="4"/>
      <c r="Q21" s="4"/>
    </row>
    <row r="22" spans="2:17" x14ac:dyDescent="0.25">
      <c r="B22" s="440" t="s">
        <v>225</v>
      </c>
      <c r="C22" s="440"/>
      <c r="D22" s="440"/>
      <c r="E22" s="440"/>
      <c r="F22" s="39">
        <v>1</v>
      </c>
      <c r="G22" s="39">
        <v>120</v>
      </c>
      <c r="H22" s="39">
        <f>G22*F22</f>
        <v>120</v>
      </c>
      <c r="I22" s="68">
        <v>1</v>
      </c>
      <c r="J22" s="8">
        <v>40</v>
      </c>
      <c r="K22" s="8">
        <f t="shared" si="0"/>
        <v>40</v>
      </c>
      <c r="L22" s="42"/>
      <c r="M22" s="42"/>
    </row>
    <row r="23" spans="2:17" x14ac:dyDescent="0.25">
      <c r="B23" s="48" t="s">
        <v>223</v>
      </c>
      <c r="C23" s="48"/>
      <c r="D23" s="48"/>
      <c r="E23" s="48"/>
      <c r="F23" s="39"/>
      <c r="G23" s="39"/>
      <c r="H23" s="39"/>
      <c r="I23" s="68">
        <v>1</v>
      </c>
      <c r="J23" s="8">
        <v>60</v>
      </c>
      <c r="K23" s="8">
        <f t="shared" si="0"/>
        <v>60</v>
      </c>
      <c r="L23" s="42"/>
      <c r="M23" s="42"/>
    </row>
    <row r="24" spans="2:17" x14ac:dyDescent="0.25">
      <c r="B24" s="178" t="s">
        <v>205</v>
      </c>
      <c r="C24" s="149"/>
      <c r="D24" s="149"/>
      <c r="E24" s="149"/>
      <c r="F24" s="39"/>
      <c r="G24" s="39"/>
      <c r="H24" s="39"/>
      <c r="I24" s="68">
        <v>40</v>
      </c>
      <c r="J24" s="8">
        <v>6</v>
      </c>
      <c r="K24" s="8">
        <f t="shared" si="0"/>
        <v>240</v>
      </c>
      <c r="L24" s="10"/>
      <c r="M24" s="10"/>
    </row>
    <row r="25" spans="2:17" x14ac:dyDescent="0.25">
      <c r="B25" s="440" t="s">
        <v>78</v>
      </c>
      <c r="C25" s="440"/>
      <c r="D25" s="440"/>
      <c r="E25" s="440"/>
      <c r="F25" s="189">
        <v>0</v>
      </c>
      <c r="G25" s="189">
        <v>0</v>
      </c>
      <c r="H25" s="189">
        <v>0</v>
      </c>
      <c r="I25" s="68">
        <v>1</v>
      </c>
      <c r="J25" s="8">
        <v>125</v>
      </c>
      <c r="K25" s="8">
        <f t="shared" si="0"/>
        <v>125</v>
      </c>
      <c r="L25" s="66"/>
      <c r="M25" s="10"/>
    </row>
    <row r="26" spans="2:17" x14ac:dyDescent="0.25">
      <c r="B26" s="48" t="s">
        <v>77</v>
      </c>
      <c r="C26" s="48"/>
      <c r="D26" s="48"/>
      <c r="E26" s="48"/>
      <c r="F26" s="39">
        <v>1</v>
      </c>
      <c r="G26" s="39">
        <v>20</v>
      </c>
      <c r="H26" s="39">
        <f>G26*F26</f>
        <v>20</v>
      </c>
      <c r="I26" s="68">
        <v>1</v>
      </c>
      <c r="J26" s="8">
        <v>60</v>
      </c>
      <c r="K26" s="8">
        <f t="shared" si="0"/>
        <v>60</v>
      </c>
      <c r="L26" s="10"/>
      <c r="M26" s="10"/>
    </row>
    <row r="27" spans="2:17" x14ac:dyDescent="0.25">
      <c r="B27" s="440" t="s">
        <v>224</v>
      </c>
      <c r="C27" s="440"/>
      <c r="D27" s="440"/>
      <c r="E27" s="440"/>
      <c r="F27" s="39"/>
      <c r="G27" s="39"/>
      <c r="H27" s="39"/>
      <c r="I27" s="68">
        <v>6</v>
      </c>
      <c r="J27" s="8">
        <v>2</v>
      </c>
      <c r="K27" s="8">
        <v>12</v>
      </c>
      <c r="L27" s="10"/>
      <c r="M27" s="10"/>
    </row>
    <row r="28" spans="2:17" x14ac:dyDescent="0.25">
      <c r="B28" s="393" t="s">
        <v>38</v>
      </c>
      <c r="C28" s="393"/>
      <c r="D28" s="393"/>
      <c r="E28" s="393"/>
      <c r="F28" s="10"/>
      <c r="G28" s="10"/>
      <c r="H28" s="10">
        <f>SUM(H21:H27)</f>
        <v>170</v>
      </c>
      <c r="I28" s="10"/>
      <c r="J28" s="10"/>
      <c r="K28" s="10">
        <f>SUM(K21:K27)</f>
        <v>577</v>
      </c>
      <c r="L28" s="10"/>
      <c r="M28" s="10"/>
    </row>
    <row r="29" spans="2:17" x14ac:dyDescent="0.25">
      <c r="B29" s="108"/>
      <c r="C29" s="108"/>
      <c r="D29" s="108"/>
      <c r="E29" s="108"/>
      <c r="F29" s="10"/>
      <c r="G29" s="10"/>
      <c r="H29" s="10"/>
      <c r="I29" s="10" t="s">
        <v>180</v>
      </c>
      <c r="J29" s="10"/>
      <c r="K29" s="47">
        <v>165</v>
      </c>
      <c r="L29" s="10" t="s">
        <v>222</v>
      </c>
      <c r="M29" s="10"/>
    </row>
    <row r="30" spans="2:17" x14ac:dyDescent="0.25">
      <c r="B30" s="10"/>
      <c r="C30" s="10"/>
      <c r="D30" s="10"/>
      <c r="E30" s="10"/>
      <c r="F30" s="10"/>
      <c r="G30" s="10"/>
      <c r="I30" s="91" t="s">
        <v>109</v>
      </c>
      <c r="J30" s="91"/>
      <c r="K30" s="92">
        <f>K29*K28</f>
        <v>95205</v>
      </c>
      <c r="L30" s="10"/>
      <c r="M30" s="10"/>
    </row>
    <row r="31" spans="2:17" x14ac:dyDescent="0.25">
      <c r="B31" s="72" t="s">
        <v>101</v>
      </c>
      <c r="C31" s="72" t="s">
        <v>213</v>
      </c>
      <c r="D31" s="72">
        <v>2015</v>
      </c>
      <c r="E31" s="72">
        <v>2016</v>
      </c>
      <c r="F31" s="72">
        <v>2017</v>
      </c>
      <c r="G31" s="72" t="s">
        <v>3</v>
      </c>
      <c r="H31" s="10"/>
      <c r="J31" s="18"/>
      <c r="K31" s="18"/>
      <c r="L31" s="19"/>
      <c r="M31" s="10"/>
      <c r="N31" s="10"/>
    </row>
    <row r="32" spans="2:17" x14ac:dyDescent="0.25">
      <c r="B32" s="100" t="s">
        <v>372</v>
      </c>
      <c r="C32" s="208">
        <f>1-C33</f>
        <v>0.6335797254487856</v>
      </c>
      <c r="D32" s="89">
        <f>F17*$C$32</f>
        <v>69035.735480464617</v>
      </c>
      <c r="E32" s="89">
        <f>G17*$C$32</f>
        <v>0</v>
      </c>
      <c r="F32" s="89">
        <f>H17*$C$32</f>
        <v>0</v>
      </c>
      <c r="G32" s="89">
        <f>SUM(D32:F32)</f>
        <v>69035.735480464617</v>
      </c>
      <c r="H32" s="10"/>
      <c r="J32" s="18"/>
      <c r="K32" s="18"/>
      <c r="L32" s="19"/>
      <c r="M32" s="10"/>
      <c r="N32" s="10"/>
    </row>
    <row r="33" spans="2:14" x14ac:dyDescent="0.25">
      <c r="B33" s="72" t="s">
        <v>308</v>
      </c>
      <c r="C33" s="207">
        <f>347/947</f>
        <v>0.36642027455121434</v>
      </c>
      <c r="D33" s="74">
        <f>F17*$C$33</f>
        <v>39925.667019535373</v>
      </c>
      <c r="E33" s="74">
        <f>G17*$C$33</f>
        <v>0</v>
      </c>
      <c r="F33" s="74">
        <f>H17*$C$33</f>
        <v>0</v>
      </c>
      <c r="G33" s="85">
        <f>SUM(D33:F33)</f>
        <v>39925.667019535373</v>
      </c>
      <c r="H33" s="10"/>
      <c r="J33" s="18"/>
      <c r="K33" s="18"/>
      <c r="L33" s="19"/>
      <c r="M33" s="10"/>
      <c r="N33" s="10"/>
    </row>
    <row r="34" spans="2:14" x14ac:dyDescent="0.25">
      <c r="H34" s="10"/>
      <c r="L34" s="10"/>
      <c r="M34" s="47"/>
    </row>
    <row r="35" spans="2:14" x14ac:dyDescent="0.25">
      <c r="B35" s="10"/>
      <c r="C35" s="10"/>
      <c r="D35" s="10"/>
      <c r="E35" s="18"/>
      <c r="F35" s="19"/>
      <c r="G35" s="19"/>
      <c r="H35" s="19"/>
      <c r="I35" s="20"/>
      <c r="J35" s="10"/>
      <c r="K35" s="42"/>
    </row>
  </sheetData>
  <mergeCells count="16">
    <mergeCell ref="B28:E28"/>
    <mergeCell ref="B25:E25"/>
    <mergeCell ref="B27:E27"/>
    <mergeCell ref="B6:I6"/>
    <mergeCell ref="B7:E7"/>
    <mergeCell ref="B8:E8"/>
    <mergeCell ref="B9:E9"/>
    <mergeCell ref="B22:E22"/>
    <mergeCell ref="B15:E15"/>
    <mergeCell ref="B17:E17"/>
    <mergeCell ref="F19:H19"/>
    <mergeCell ref="I19:K19"/>
    <mergeCell ref="B10:E10"/>
    <mergeCell ref="B11:E11"/>
    <mergeCell ref="B12:E12"/>
    <mergeCell ref="B21:E21"/>
  </mergeCells>
  <phoneticPr fontId="11" type="noConversion"/>
  <pageMargins left="0.75" right="0.75" top="0.5" bottom="1" header="0.5" footer="0.5"/>
  <pageSetup scale="6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G17"/>
  <sheetViews>
    <sheetView workbookViewId="0">
      <selection activeCell="S32" sqref="S32"/>
    </sheetView>
  </sheetViews>
  <sheetFormatPr defaultRowHeight="13.2" x14ac:dyDescent="0.25"/>
  <cols>
    <col min="1" max="1" width="4.109375" customWidth="1"/>
    <col min="2" max="2" width="34.33203125" customWidth="1"/>
  </cols>
  <sheetData>
    <row r="2" spans="2:7" ht="13.8" x14ac:dyDescent="0.25">
      <c r="B2" s="298" t="s">
        <v>4</v>
      </c>
      <c r="C2" s="134"/>
      <c r="D2" s="134"/>
      <c r="E2" s="134"/>
      <c r="F2" s="134"/>
    </row>
    <row r="3" spans="2:7" ht="13.8" x14ac:dyDescent="0.25">
      <c r="B3" s="298"/>
      <c r="C3" s="134"/>
      <c r="D3" s="134"/>
      <c r="E3" s="134"/>
      <c r="F3" s="134"/>
    </row>
    <row r="4" spans="2:7" x14ac:dyDescent="0.25">
      <c r="B4" s="134" t="s">
        <v>50</v>
      </c>
      <c r="C4" s="134"/>
      <c r="D4" s="134"/>
      <c r="E4" s="134"/>
      <c r="F4" s="134"/>
    </row>
    <row r="5" spans="2:7" x14ac:dyDescent="0.25">
      <c r="B5" s="410" t="s">
        <v>49</v>
      </c>
      <c r="C5" s="411"/>
      <c r="D5" s="411"/>
      <c r="E5" s="411"/>
      <c r="F5" s="412"/>
    </row>
    <row r="6" spans="2:7" x14ac:dyDescent="0.25">
      <c r="B6" s="135"/>
      <c r="C6" s="135">
        <v>2015</v>
      </c>
      <c r="D6" s="135">
        <v>2016</v>
      </c>
      <c r="E6" s="135">
        <v>2017</v>
      </c>
      <c r="F6" s="177" t="s">
        <v>3</v>
      </c>
    </row>
    <row r="7" spans="2:7" x14ac:dyDescent="0.25">
      <c r="B7" s="136" t="s">
        <v>208</v>
      </c>
      <c r="C7" s="135">
        <v>40</v>
      </c>
      <c r="D7" s="135"/>
      <c r="E7" s="135"/>
      <c r="F7" s="136">
        <f>SUM(C7:E7)</f>
        <v>40</v>
      </c>
    </row>
    <row r="8" spans="2:7" x14ac:dyDescent="0.25">
      <c r="B8" s="136" t="s">
        <v>207</v>
      </c>
      <c r="C8" s="135">
        <v>10</v>
      </c>
      <c r="D8" s="135">
        <v>10</v>
      </c>
      <c r="E8" s="135">
        <v>10</v>
      </c>
      <c r="F8" s="135">
        <f>C8+D8+E8</f>
        <v>30</v>
      </c>
    </row>
    <row r="9" spans="2:7" x14ac:dyDescent="0.25">
      <c r="B9" s="136" t="s">
        <v>209</v>
      </c>
      <c r="C9" s="135">
        <v>20</v>
      </c>
      <c r="D9" s="135">
        <v>20</v>
      </c>
      <c r="E9" s="135">
        <v>20</v>
      </c>
      <c r="F9" s="135">
        <f>C9+D9+E9</f>
        <v>60</v>
      </c>
    </row>
    <row r="10" spans="2:7" x14ac:dyDescent="0.25">
      <c r="B10" s="136" t="s">
        <v>142</v>
      </c>
      <c r="C10" s="135">
        <v>20</v>
      </c>
      <c r="D10" s="135">
        <v>20</v>
      </c>
      <c r="E10" s="135">
        <v>20</v>
      </c>
      <c r="F10" s="135">
        <f>C10+D10+E10</f>
        <v>60</v>
      </c>
    </row>
    <row r="11" spans="2:7" x14ac:dyDescent="0.25">
      <c r="B11" s="138" t="s">
        <v>190</v>
      </c>
      <c r="C11" s="139">
        <f>SUM(C7:C10)</f>
        <v>90</v>
      </c>
      <c r="D11" s="139">
        <f>SUM(D7:D10)</f>
        <v>50</v>
      </c>
      <c r="E11" s="139">
        <f>SUM(E7:E10)</f>
        <v>50</v>
      </c>
      <c r="F11" s="9">
        <f>C11+D11+E11</f>
        <v>190</v>
      </c>
    </row>
    <row r="12" spans="2:7" x14ac:dyDescent="0.25">
      <c r="B12" s="140" t="s">
        <v>16</v>
      </c>
      <c r="C12" s="40">
        <f>C11*'Staff rate assump'!B10</f>
        <v>4310.1000000000004</v>
      </c>
      <c r="D12" s="40">
        <f>D11*'Staff rate assump'!C10</f>
        <v>2490.5</v>
      </c>
      <c r="E12" s="40">
        <f>E11*'Staff rate assump'!D10</f>
        <v>2590</v>
      </c>
      <c r="F12" s="41">
        <f>C12+D12+E12</f>
        <v>9390.6</v>
      </c>
    </row>
    <row r="13" spans="2:7" x14ac:dyDescent="0.25">
      <c r="B13" s="67"/>
      <c r="C13" s="67"/>
      <c r="D13" s="67"/>
      <c r="E13" s="67"/>
      <c r="F13" s="67"/>
    </row>
    <row r="15" spans="2:7" x14ac:dyDescent="0.25">
      <c r="B15" s="82" t="s">
        <v>83</v>
      </c>
      <c r="C15" s="36">
        <v>12500</v>
      </c>
      <c r="D15" s="37">
        <v>12500</v>
      </c>
      <c r="E15" s="36">
        <v>12500</v>
      </c>
      <c r="F15" s="38">
        <f>SUM(C15:E15)</f>
        <v>37500</v>
      </c>
      <c r="G15" s="10" t="s">
        <v>309</v>
      </c>
    </row>
    <row r="17" spans="2:6" x14ac:dyDescent="0.25">
      <c r="B17" s="137" t="s">
        <v>6</v>
      </c>
      <c r="C17" s="132">
        <f>C15+C12</f>
        <v>16810.099999999999</v>
      </c>
      <c r="D17" s="132">
        <f>D15+D12</f>
        <v>14990.5</v>
      </c>
      <c r="E17" s="132">
        <f>E15+E12</f>
        <v>15090</v>
      </c>
      <c r="F17" s="132">
        <f>SUM(C17:E17)</f>
        <v>46890.6</v>
      </c>
    </row>
  </sheetData>
  <mergeCells count="1">
    <mergeCell ref="B5:F5"/>
  </mergeCells>
  <phoneticPr fontId="11" type="noConversion"/>
  <pageMargins left="0.7" right="0.49"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D9"/>
  <sheetViews>
    <sheetView workbookViewId="0">
      <selection activeCell="B2" sqref="B2"/>
    </sheetView>
  </sheetViews>
  <sheetFormatPr defaultRowHeight="13.2" x14ac:dyDescent="0.25"/>
  <cols>
    <col min="1" max="1" width="5.33203125" customWidth="1"/>
    <col min="2" max="2" width="20" customWidth="1"/>
  </cols>
  <sheetData>
    <row r="2" spans="2:4" ht="13.8" x14ac:dyDescent="0.25">
      <c r="B2" s="298" t="s">
        <v>282</v>
      </c>
    </row>
    <row r="4" spans="2:4" x14ac:dyDescent="0.25">
      <c r="B4" s="195" t="s">
        <v>22</v>
      </c>
      <c r="C4" s="195">
        <v>30</v>
      </c>
    </row>
    <row r="5" spans="2:4" x14ac:dyDescent="0.25">
      <c r="B5" s="195" t="s">
        <v>24</v>
      </c>
      <c r="C5" s="195">
        <v>4</v>
      </c>
    </row>
    <row r="6" spans="2:4" x14ac:dyDescent="0.25">
      <c r="B6" s="195" t="s">
        <v>23</v>
      </c>
      <c r="C6" s="195">
        <v>15</v>
      </c>
      <c r="D6" t="s">
        <v>25</v>
      </c>
    </row>
    <row r="7" spans="2:4" x14ac:dyDescent="0.25">
      <c r="B7" s="195" t="s">
        <v>26</v>
      </c>
      <c r="C7" s="195">
        <v>4</v>
      </c>
    </row>
    <row r="8" spans="2:4" x14ac:dyDescent="0.25">
      <c r="B8" s="195" t="s">
        <v>27</v>
      </c>
      <c r="C8" s="195">
        <v>8</v>
      </c>
    </row>
    <row r="9" spans="2:4" x14ac:dyDescent="0.25">
      <c r="B9" s="196" t="s">
        <v>3</v>
      </c>
      <c r="C9" s="196">
        <f>SUM(C4:C8)</f>
        <v>61</v>
      </c>
    </row>
  </sheetData>
  <phoneticPr fontId="11" type="noConversion"/>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2:D14"/>
  <sheetViews>
    <sheetView zoomScale="75" zoomScaleNormal="75" workbookViewId="0">
      <selection activeCell="G29" sqref="G29"/>
    </sheetView>
  </sheetViews>
  <sheetFormatPr defaultRowHeight="13.2" x14ac:dyDescent="0.25"/>
  <cols>
    <col min="2" max="4" width="31.109375" customWidth="1"/>
    <col min="5" max="5" width="21.6640625" customWidth="1"/>
    <col min="6" max="7" width="13.109375" customWidth="1"/>
    <col min="8" max="8" width="12.5546875" customWidth="1"/>
    <col min="9" max="9" width="17.5546875" customWidth="1"/>
  </cols>
  <sheetData>
    <row r="2" spans="2:4" ht="13.8" x14ac:dyDescent="0.25">
      <c r="B2" s="298" t="s">
        <v>283</v>
      </c>
    </row>
    <row r="4" spans="2:4" x14ac:dyDescent="0.25">
      <c r="B4" t="s">
        <v>12</v>
      </c>
      <c r="C4" s="1"/>
      <c r="D4" s="2">
        <v>1.02</v>
      </c>
    </row>
    <row r="8" spans="2:4" x14ac:dyDescent="0.25">
      <c r="B8" s="443" t="s">
        <v>7</v>
      </c>
      <c r="C8" s="444"/>
      <c r="D8" s="445"/>
    </row>
    <row r="9" spans="2:4" x14ac:dyDescent="0.25">
      <c r="B9" s="6">
        <v>2015</v>
      </c>
      <c r="C9" s="6">
        <v>2016</v>
      </c>
      <c r="D9" s="6">
        <v>2017</v>
      </c>
    </row>
    <row r="10" spans="2:4" x14ac:dyDescent="0.25">
      <c r="B10" s="7">
        <v>47.89</v>
      </c>
      <c r="C10" s="7">
        <v>49.81</v>
      </c>
      <c r="D10" s="7">
        <v>51.8</v>
      </c>
    </row>
    <row r="14" spans="2:4" x14ac:dyDescent="0.25">
      <c r="B14" s="31"/>
      <c r="C14" s="31"/>
      <c r="D14" s="31"/>
    </row>
  </sheetData>
  <mergeCells count="1">
    <mergeCell ref="B8:D8"/>
  </mergeCells>
  <phoneticPr fontId="0" type="noConversion"/>
  <pageMargins left="0.75" right="0.75" top="1" bottom="1" header="0.5" footer="0.5"/>
  <pageSetup orientation="landscape" horizontalDpi="1200" verticalDpi="12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5"/>
  <sheetViews>
    <sheetView workbookViewId="0">
      <selection activeCell="J20" sqref="J20"/>
    </sheetView>
  </sheetViews>
  <sheetFormatPr defaultRowHeight="13.2" x14ac:dyDescent="0.25"/>
  <cols>
    <col min="1" max="1" width="4.44140625" customWidth="1"/>
    <col min="6" max="6" width="9.5546875" bestFit="1" customWidth="1"/>
    <col min="7" max="7" width="11.109375" bestFit="1" customWidth="1"/>
    <col min="9" max="9" width="9.6640625" customWidth="1"/>
  </cols>
  <sheetData>
    <row r="2" spans="2:10" ht="13.8" x14ac:dyDescent="0.25">
      <c r="B2" s="298" t="s">
        <v>316</v>
      </c>
    </row>
    <row r="3" spans="2:10" ht="13.8" x14ac:dyDescent="0.25">
      <c r="B3" s="298"/>
    </row>
    <row r="4" spans="2:10" x14ac:dyDescent="0.25">
      <c r="B4" s="300"/>
    </row>
    <row r="5" spans="2:10" x14ac:dyDescent="0.25">
      <c r="B5" s="366" t="s">
        <v>8</v>
      </c>
      <c r="C5" s="366"/>
      <c r="D5" s="366"/>
      <c r="E5" s="366"/>
      <c r="F5" s="366"/>
      <c r="G5" s="366"/>
      <c r="H5" s="366"/>
      <c r="I5" s="366"/>
    </row>
    <row r="6" spans="2:10" x14ac:dyDescent="0.25">
      <c r="B6" s="376"/>
      <c r="C6" s="377"/>
      <c r="D6" s="377"/>
      <c r="E6" s="378"/>
      <c r="F6" s="8">
        <v>2015</v>
      </c>
      <c r="G6" s="8">
        <v>2016</v>
      </c>
      <c r="H6" s="8">
        <v>2017</v>
      </c>
      <c r="I6" s="8" t="s">
        <v>3</v>
      </c>
      <c r="J6" s="10" t="s">
        <v>5</v>
      </c>
    </row>
    <row r="7" spans="2:10" x14ac:dyDescent="0.25">
      <c r="B7" s="370" t="s">
        <v>68</v>
      </c>
      <c r="C7" s="370"/>
      <c r="D7" s="370"/>
      <c r="E7" s="370"/>
      <c r="F7" s="8">
        <f>'RFP-Contract Process Assump'!C9/2</f>
        <v>30.5</v>
      </c>
      <c r="G7" s="8"/>
      <c r="H7" s="8">
        <v>0</v>
      </c>
      <c r="I7" s="8">
        <f>SUM(F7:H7)</f>
        <v>30.5</v>
      </c>
    </row>
    <row r="8" spans="2:10" x14ac:dyDescent="0.25">
      <c r="B8" s="370" t="s">
        <v>31</v>
      </c>
      <c r="C8" s="370"/>
      <c r="D8" s="370"/>
      <c r="E8" s="370"/>
      <c r="F8" s="8">
        <f>2*22.5</f>
        <v>45</v>
      </c>
      <c r="G8" s="8">
        <v>0</v>
      </c>
      <c r="H8" s="8">
        <v>0</v>
      </c>
      <c r="I8" s="8">
        <f>SUM(F8:H8)</f>
        <v>45</v>
      </c>
      <c r="J8" s="300" t="s">
        <v>317</v>
      </c>
    </row>
    <row r="9" spans="2:10" x14ac:dyDescent="0.25">
      <c r="B9" s="372" t="s">
        <v>10</v>
      </c>
      <c r="C9" s="372"/>
      <c r="D9" s="372"/>
      <c r="E9" s="372"/>
      <c r="F9" s="9">
        <f>SUM(F7:F8)</f>
        <v>75.5</v>
      </c>
      <c r="G9" s="9">
        <f t="shared" ref="G9:H9" si="0">SUM(G7:G8)</f>
        <v>0</v>
      </c>
      <c r="H9" s="9">
        <f t="shared" si="0"/>
        <v>0</v>
      </c>
      <c r="I9" s="9">
        <f>SUM(F9:H9)</f>
        <v>75.5</v>
      </c>
    </row>
    <row r="10" spans="2:10" x14ac:dyDescent="0.25">
      <c r="B10" s="379" t="s">
        <v>16</v>
      </c>
      <c r="C10" s="379"/>
      <c r="D10" s="379"/>
      <c r="E10" s="379"/>
      <c r="F10" s="40">
        <f>F9*'Staff rate assump'!B10</f>
        <v>3615.6950000000002</v>
      </c>
      <c r="G10" s="40">
        <f>G9*'Staff rate assump'!C10</f>
        <v>0</v>
      </c>
      <c r="H10" s="40">
        <f>H9*'Staff rate assump'!D10</f>
        <v>0</v>
      </c>
      <c r="I10" s="41">
        <f>SUM(F10:H10)</f>
        <v>3615.6950000000002</v>
      </c>
    </row>
    <row r="12" spans="2:10" x14ac:dyDescent="0.25">
      <c r="C12" s="10"/>
      <c r="D12" s="10"/>
      <c r="E12" s="10"/>
      <c r="F12" s="10"/>
      <c r="G12" s="71"/>
      <c r="H12" s="10"/>
      <c r="I12" s="10"/>
      <c r="J12" s="10"/>
    </row>
    <row r="13" spans="2:10" x14ac:dyDescent="0.25">
      <c r="B13" s="376" t="s">
        <v>83</v>
      </c>
      <c r="C13" s="377"/>
      <c r="D13" s="377"/>
      <c r="E13" s="378"/>
      <c r="F13" s="36">
        <f>G23</f>
        <v>114000</v>
      </c>
      <c r="G13" s="37">
        <v>0</v>
      </c>
      <c r="H13" s="36">
        <v>0</v>
      </c>
      <c r="I13" s="38">
        <f>SUM(F13:H13)</f>
        <v>114000</v>
      </c>
    </row>
    <row r="14" spans="2:10" x14ac:dyDescent="0.25">
      <c r="B14" s="10"/>
      <c r="C14" s="10"/>
      <c r="D14" s="10"/>
      <c r="E14" s="10"/>
      <c r="F14" s="10"/>
      <c r="G14" s="10"/>
      <c r="H14" s="10"/>
      <c r="I14" s="10"/>
    </row>
    <row r="15" spans="2:10" x14ac:dyDescent="0.25">
      <c r="B15" s="420" t="s">
        <v>33</v>
      </c>
      <c r="C15" s="421"/>
      <c r="D15" s="421"/>
      <c r="E15" s="422"/>
      <c r="F15" s="89">
        <f>F10+F13</f>
        <v>117615.69500000001</v>
      </c>
      <c r="G15" s="89">
        <f>G10+G13</f>
        <v>0</v>
      </c>
      <c r="H15" s="89">
        <f>H10+H13</f>
        <v>0</v>
      </c>
      <c r="I15" s="89">
        <f>SUM(F15:H15)</f>
        <v>117615.69500000001</v>
      </c>
    </row>
    <row r="17" spans="2:11" x14ac:dyDescent="0.25">
      <c r="B17" s="451" t="s">
        <v>132</v>
      </c>
      <c r="C17" s="452"/>
      <c r="D17" s="452"/>
      <c r="E17" s="453"/>
      <c r="F17" s="72" t="s">
        <v>138</v>
      </c>
      <c r="G17" s="72" t="s">
        <v>139</v>
      </c>
      <c r="H17" s="10"/>
      <c r="I17" s="10"/>
      <c r="J17" s="10"/>
      <c r="K17" s="10"/>
    </row>
    <row r="18" spans="2:11" x14ac:dyDescent="0.25">
      <c r="B18" s="446" t="s">
        <v>133</v>
      </c>
      <c r="C18" s="447"/>
      <c r="D18" s="447"/>
      <c r="E18" s="437"/>
      <c r="F18" s="72">
        <v>20</v>
      </c>
      <c r="G18" s="74">
        <f>F18*150</f>
        <v>3000</v>
      </c>
      <c r="H18" s="10" t="s">
        <v>318</v>
      </c>
      <c r="K18" s="10"/>
    </row>
    <row r="19" spans="2:11" x14ac:dyDescent="0.25">
      <c r="B19" s="446" t="s">
        <v>134</v>
      </c>
      <c r="C19" s="447"/>
      <c r="D19" s="447"/>
      <c r="E19" s="437"/>
      <c r="F19" s="72">
        <v>120</v>
      </c>
      <c r="G19" s="74">
        <f>F19*150</f>
        <v>18000</v>
      </c>
      <c r="K19" s="10"/>
    </row>
    <row r="20" spans="2:11" x14ac:dyDescent="0.25">
      <c r="B20" s="446" t="s">
        <v>135</v>
      </c>
      <c r="C20" s="447"/>
      <c r="D20" s="447"/>
      <c r="E20" s="437"/>
      <c r="F20" s="72">
        <v>40</v>
      </c>
      <c r="G20" s="74">
        <f>F20*150</f>
        <v>6000</v>
      </c>
      <c r="I20" s="10"/>
      <c r="J20" s="10"/>
      <c r="K20" s="10"/>
    </row>
    <row r="21" spans="2:11" x14ac:dyDescent="0.25">
      <c r="B21" s="446" t="s">
        <v>137</v>
      </c>
      <c r="C21" s="447"/>
      <c r="D21" s="447"/>
      <c r="E21" s="437"/>
      <c r="F21" s="72">
        <v>500</v>
      </c>
      <c r="G21" s="74">
        <f>F21*150</f>
        <v>75000</v>
      </c>
      <c r="I21" s="10"/>
      <c r="J21" s="10"/>
      <c r="K21" s="10"/>
    </row>
    <row r="22" spans="2:11" x14ac:dyDescent="0.25">
      <c r="B22" s="446" t="s">
        <v>136</v>
      </c>
      <c r="C22" s="447"/>
      <c r="D22" s="447"/>
      <c r="E22" s="437"/>
      <c r="F22" s="72">
        <v>80</v>
      </c>
      <c r="G22" s="74">
        <f>F22*150</f>
        <v>12000</v>
      </c>
      <c r="I22" s="10"/>
      <c r="J22" s="10"/>
      <c r="K22" s="10"/>
    </row>
    <row r="23" spans="2:11" x14ac:dyDescent="0.25">
      <c r="B23" s="448" t="s">
        <v>3</v>
      </c>
      <c r="C23" s="449"/>
      <c r="D23" s="449"/>
      <c r="E23" s="450"/>
      <c r="F23" s="72">
        <f>SUM(F18:F22)</f>
        <v>760</v>
      </c>
      <c r="G23" s="199">
        <f>SUM(G18:G22)</f>
        <v>114000</v>
      </c>
      <c r="I23" s="10"/>
      <c r="J23" s="10"/>
      <c r="K23" s="10"/>
    </row>
    <row r="24" spans="2:11" x14ac:dyDescent="0.25">
      <c r="B24" s="3"/>
      <c r="C24" s="3"/>
      <c r="D24" s="3"/>
      <c r="E24" s="3"/>
      <c r="F24" s="3"/>
      <c r="G24" s="3"/>
      <c r="I24" s="10"/>
      <c r="J24" s="10"/>
      <c r="K24" s="10"/>
    </row>
    <row r="25" spans="2:11" x14ac:dyDescent="0.25">
      <c r="H25" s="10"/>
      <c r="I25" s="10"/>
      <c r="J25" s="10"/>
      <c r="K25" s="10"/>
    </row>
  </sheetData>
  <mergeCells count="15">
    <mergeCell ref="B20:E20"/>
    <mergeCell ref="B21:E21"/>
    <mergeCell ref="B22:E22"/>
    <mergeCell ref="B23:E23"/>
    <mergeCell ref="B10:E10"/>
    <mergeCell ref="B13:E13"/>
    <mergeCell ref="B15:E15"/>
    <mergeCell ref="B17:E17"/>
    <mergeCell ref="B18:E18"/>
    <mergeCell ref="B19:E19"/>
    <mergeCell ref="B5:I5"/>
    <mergeCell ref="B6:E6"/>
    <mergeCell ref="B7:E7"/>
    <mergeCell ref="B8:E8"/>
    <mergeCell ref="B9:E9"/>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2"/>
  <sheetViews>
    <sheetView workbookViewId="0">
      <selection activeCell="K20" sqref="K20"/>
    </sheetView>
  </sheetViews>
  <sheetFormatPr defaultRowHeight="13.2" x14ac:dyDescent="0.25"/>
  <cols>
    <col min="1" max="1" width="4.44140625" customWidth="1"/>
    <col min="6" max="6" width="9.5546875" bestFit="1" customWidth="1"/>
    <col min="7" max="7" width="11.109375" bestFit="1" customWidth="1"/>
    <col min="9" max="9" width="9.6640625" customWidth="1"/>
  </cols>
  <sheetData>
    <row r="2" spans="2:10" ht="13.8" x14ac:dyDescent="0.25">
      <c r="B2" s="298" t="s">
        <v>319</v>
      </c>
    </row>
    <row r="3" spans="2:10" ht="13.8" x14ac:dyDescent="0.25">
      <c r="B3" s="298"/>
    </row>
    <row r="4" spans="2:10" x14ac:dyDescent="0.25">
      <c r="B4" s="300"/>
    </row>
    <row r="5" spans="2:10" x14ac:dyDescent="0.25">
      <c r="B5" s="366" t="s">
        <v>8</v>
      </c>
      <c r="C5" s="366"/>
      <c r="D5" s="366"/>
      <c r="E5" s="366"/>
      <c r="F5" s="366"/>
      <c r="G5" s="366"/>
      <c r="H5" s="366"/>
      <c r="I5" s="366"/>
    </row>
    <row r="6" spans="2:10" x14ac:dyDescent="0.25">
      <c r="B6" s="376"/>
      <c r="C6" s="377"/>
      <c r="D6" s="377"/>
      <c r="E6" s="378"/>
      <c r="F6" s="8">
        <v>2015</v>
      </c>
      <c r="G6" s="8">
        <v>2016</v>
      </c>
      <c r="H6" s="8">
        <v>2017</v>
      </c>
      <c r="I6" s="8" t="s">
        <v>3</v>
      </c>
      <c r="J6" s="10" t="s">
        <v>5</v>
      </c>
    </row>
    <row r="7" spans="2:10" x14ac:dyDescent="0.25">
      <c r="B7" s="370" t="s">
        <v>68</v>
      </c>
      <c r="C7" s="370"/>
      <c r="D7" s="370"/>
      <c r="E7" s="370"/>
      <c r="F7" s="8">
        <f>'RFP-Contract Process Assump'!C9</f>
        <v>61</v>
      </c>
      <c r="G7" s="8">
        <v>0</v>
      </c>
      <c r="H7" s="8">
        <v>0</v>
      </c>
      <c r="I7" s="8">
        <f>SUM(F7:H7)</f>
        <v>61</v>
      </c>
    </row>
    <row r="8" spans="2:10" x14ac:dyDescent="0.25">
      <c r="B8" s="370" t="s">
        <v>31</v>
      </c>
      <c r="C8" s="370"/>
      <c r="D8" s="370"/>
      <c r="E8" s="370"/>
      <c r="F8" s="8">
        <f>3*22.5</f>
        <v>67.5</v>
      </c>
      <c r="G8" s="8">
        <v>0</v>
      </c>
      <c r="H8" s="8">
        <v>0</v>
      </c>
      <c r="I8" s="8">
        <f>SUM(F8:H8)</f>
        <v>67.5</v>
      </c>
      <c r="J8" s="300" t="s">
        <v>140</v>
      </c>
    </row>
    <row r="9" spans="2:10" x14ac:dyDescent="0.25">
      <c r="B9" s="109"/>
      <c r="C9" s="299"/>
      <c r="D9" s="299"/>
      <c r="E9" s="110" t="s">
        <v>320</v>
      </c>
      <c r="F9" s="8">
        <f>2*22.5</f>
        <v>45</v>
      </c>
      <c r="G9" s="8">
        <v>0</v>
      </c>
      <c r="H9" s="8"/>
      <c r="I9" s="8"/>
      <c r="J9" s="300" t="s">
        <v>317</v>
      </c>
    </row>
    <row r="10" spans="2:10" x14ac:dyDescent="0.25">
      <c r="B10" s="109"/>
      <c r="C10" s="299"/>
      <c r="D10" s="299"/>
      <c r="E10" s="110" t="s">
        <v>321</v>
      </c>
      <c r="F10" s="8">
        <f t="shared" ref="F10:F12" si="0">2*22.5</f>
        <v>45</v>
      </c>
      <c r="G10" s="8">
        <v>0</v>
      </c>
      <c r="H10" s="8"/>
      <c r="I10" s="8"/>
      <c r="J10" s="300" t="s">
        <v>317</v>
      </c>
    </row>
    <row r="11" spans="2:10" x14ac:dyDescent="0.25">
      <c r="B11" s="109"/>
      <c r="C11" s="299"/>
      <c r="D11" s="299"/>
      <c r="E11" s="110" t="s">
        <v>322</v>
      </c>
      <c r="F11" s="8">
        <f t="shared" si="0"/>
        <v>45</v>
      </c>
      <c r="G11" s="8">
        <v>0</v>
      </c>
      <c r="H11" s="8"/>
      <c r="I11" s="8"/>
      <c r="J11" s="300" t="s">
        <v>317</v>
      </c>
    </row>
    <row r="12" spans="2:10" x14ac:dyDescent="0.25">
      <c r="B12" s="109"/>
      <c r="C12" s="299"/>
      <c r="D12" s="299"/>
      <c r="E12" s="110" t="s">
        <v>323</v>
      </c>
      <c r="F12" s="8">
        <f t="shared" si="0"/>
        <v>45</v>
      </c>
      <c r="G12" s="8">
        <v>0</v>
      </c>
      <c r="H12" s="8"/>
      <c r="I12" s="8"/>
      <c r="J12" s="300" t="s">
        <v>317</v>
      </c>
    </row>
    <row r="13" spans="2:10" x14ac:dyDescent="0.25">
      <c r="B13" s="370"/>
      <c r="C13" s="370"/>
      <c r="D13" s="370"/>
      <c r="E13" s="370"/>
      <c r="F13" s="8">
        <f>F36</f>
        <v>0</v>
      </c>
      <c r="G13" s="8">
        <f>G36</f>
        <v>0</v>
      </c>
      <c r="H13" s="8">
        <f>H38</f>
        <v>0</v>
      </c>
      <c r="I13" s="8">
        <f>SUM(F13:H13)</f>
        <v>0</v>
      </c>
    </row>
    <row r="14" spans="2:10" x14ac:dyDescent="0.25">
      <c r="B14" s="372" t="s">
        <v>10</v>
      </c>
      <c r="C14" s="372"/>
      <c r="D14" s="372"/>
      <c r="E14" s="372"/>
      <c r="F14" s="9">
        <f>SUM(F7:F13)</f>
        <v>308.5</v>
      </c>
      <c r="G14" s="9">
        <f>SUM(G7:G13)</f>
        <v>0</v>
      </c>
      <c r="H14" s="9">
        <f>SUM(H7:H13)</f>
        <v>0</v>
      </c>
      <c r="I14" s="9">
        <f>SUM(F14:H14)</f>
        <v>308.5</v>
      </c>
    </row>
    <row r="15" spans="2:10" x14ac:dyDescent="0.25">
      <c r="B15" s="379" t="s">
        <v>16</v>
      </c>
      <c r="C15" s="379"/>
      <c r="D15" s="379"/>
      <c r="E15" s="379"/>
      <c r="F15" s="40">
        <f>F14*'[1]Staff rate assump'!B10</f>
        <v>14036.75</v>
      </c>
      <c r="G15" s="40">
        <f>G14*'[1]Staff rate assump'!C10</f>
        <v>0</v>
      </c>
      <c r="H15" s="40">
        <f>H14*'[1]Staff rate assump'!D10</f>
        <v>0</v>
      </c>
      <c r="I15" s="41">
        <f>SUM(F15:H15)</f>
        <v>14036.75</v>
      </c>
    </row>
    <row r="17" spans="1:11" x14ac:dyDescent="0.25">
      <c r="C17" s="10"/>
      <c r="D17" s="10"/>
      <c r="E17" s="10"/>
      <c r="F17" s="10"/>
      <c r="G17" s="71"/>
      <c r="H17" s="10"/>
      <c r="I17" s="10"/>
      <c r="J17" s="10"/>
    </row>
    <row r="18" spans="1:11" x14ac:dyDescent="0.25">
      <c r="B18" s="376" t="s">
        <v>83</v>
      </c>
      <c r="C18" s="377"/>
      <c r="D18" s="377"/>
      <c r="E18" s="378"/>
      <c r="F18" s="36">
        <v>200000</v>
      </c>
      <c r="G18" s="37">
        <v>0</v>
      </c>
      <c r="H18" s="36">
        <v>0</v>
      </c>
      <c r="I18" s="38">
        <f>SUM(F18:H18)</f>
        <v>200000</v>
      </c>
    </row>
    <row r="19" spans="1:11" x14ac:dyDescent="0.25">
      <c r="B19" s="10"/>
      <c r="C19" s="10"/>
      <c r="D19" s="10"/>
      <c r="E19" s="10"/>
      <c r="F19" s="10"/>
      <c r="G19" s="10"/>
      <c r="H19" s="10"/>
      <c r="I19" s="10"/>
    </row>
    <row r="20" spans="1:11" x14ac:dyDescent="0.25">
      <c r="B20" s="420" t="s">
        <v>33</v>
      </c>
      <c r="C20" s="421"/>
      <c r="D20" s="421"/>
      <c r="E20" s="422"/>
      <c r="F20" s="89">
        <f>F15+F18</f>
        <v>214036.75</v>
      </c>
      <c r="G20" s="89">
        <f>G15+G18</f>
        <v>0</v>
      </c>
      <c r="H20" s="89">
        <f>H15+H18</f>
        <v>0</v>
      </c>
      <c r="I20" s="89">
        <f>SUM(F20:H20)</f>
        <v>214036.75</v>
      </c>
    </row>
    <row r="22" spans="1:11" x14ac:dyDescent="0.25">
      <c r="A22" s="69"/>
      <c r="B22" s="50"/>
      <c r="C22" s="50"/>
      <c r="D22" s="50"/>
      <c r="E22" s="72" t="s">
        <v>101</v>
      </c>
      <c r="F22" s="72">
        <v>2015</v>
      </c>
      <c r="G22" s="72">
        <v>2016</v>
      </c>
      <c r="H22" s="72">
        <v>2017</v>
      </c>
      <c r="I22" s="72" t="s">
        <v>3</v>
      </c>
      <c r="J22" s="10"/>
      <c r="K22" s="10"/>
    </row>
    <row r="23" spans="1:11" x14ac:dyDescent="0.25">
      <c r="A23" s="69"/>
      <c r="B23" s="310"/>
      <c r="C23" s="310"/>
      <c r="D23" s="310"/>
      <c r="E23" s="260" t="s">
        <v>374</v>
      </c>
      <c r="F23" s="89">
        <f>F20*'Overall Summary'!$D$63</f>
        <v>188352.34</v>
      </c>
      <c r="G23" s="89">
        <f>G20*'Overall Summary'!$D$63</f>
        <v>0</v>
      </c>
      <c r="H23" s="89">
        <f>H20*'Overall Summary'!$D$63</f>
        <v>0</v>
      </c>
      <c r="I23" s="89">
        <f>SUM(F23:H23)</f>
        <v>188352.34</v>
      </c>
      <c r="K23" s="10"/>
    </row>
    <row r="24" spans="1:11" x14ac:dyDescent="0.25">
      <c r="A24" s="69"/>
      <c r="B24" s="310"/>
      <c r="C24" s="310"/>
      <c r="D24" s="310"/>
      <c r="E24" s="259" t="s">
        <v>375</v>
      </c>
      <c r="F24" s="311">
        <f>F20*'Overall Summary'!$D$64</f>
        <v>25684.41</v>
      </c>
      <c r="G24" s="311">
        <f>G20*'Overall Summary'!$D$64</f>
        <v>0</v>
      </c>
      <c r="H24" s="311">
        <f>H20*'Overall Summary'!$D$64</f>
        <v>0</v>
      </c>
      <c r="I24" s="89">
        <f>SUM(F24:H24)</f>
        <v>25684.41</v>
      </c>
      <c r="K24" s="10"/>
    </row>
    <row r="25" spans="1:11" x14ac:dyDescent="0.25">
      <c r="A25" s="69"/>
      <c r="B25" s="310"/>
      <c r="C25" s="310"/>
      <c r="D25" s="310"/>
      <c r="E25" s="310"/>
      <c r="F25" s="49"/>
      <c r="G25" s="98"/>
      <c r="H25" s="69"/>
      <c r="I25" s="10"/>
      <c r="J25" s="10"/>
      <c r="K25" s="10"/>
    </row>
    <row r="26" spans="1:11" x14ac:dyDescent="0.25">
      <c r="A26" s="69"/>
      <c r="B26" s="310"/>
      <c r="C26" s="310"/>
      <c r="D26" s="310"/>
      <c r="E26" s="310"/>
      <c r="F26" s="49"/>
      <c r="G26" s="98"/>
      <c r="H26" s="69"/>
      <c r="I26" s="10"/>
      <c r="J26" s="10"/>
      <c r="K26" s="10"/>
    </row>
    <row r="27" spans="1:11" x14ac:dyDescent="0.25">
      <c r="A27" s="69"/>
      <c r="B27" s="310"/>
      <c r="C27" s="310"/>
      <c r="D27" s="310"/>
      <c r="E27" s="310"/>
      <c r="F27" s="49"/>
      <c r="G27" s="98"/>
      <c r="H27" s="69"/>
      <c r="I27" s="10"/>
      <c r="J27" s="10"/>
      <c r="K27" s="10"/>
    </row>
    <row r="28" spans="1:11" x14ac:dyDescent="0.25">
      <c r="A28" s="69"/>
      <c r="B28" s="51"/>
      <c r="C28" s="51"/>
      <c r="D28" s="51"/>
      <c r="E28" s="51"/>
      <c r="F28" s="49"/>
      <c r="G28" s="309"/>
      <c r="H28" s="69"/>
      <c r="I28" s="10"/>
      <c r="J28" s="10"/>
      <c r="K28" s="10"/>
    </row>
    <row r="29" spans="1:11" x14ac:dyDescent="0.25">
      <c r="A29" s="69"/>
      <c r="B29" s="69"/>
      <c r="C29" s="69"/>
      <c r="D29" s="69"/>
      <c r="E29" s="69"/>
      <c r="F29" s="69"/>
      <c r="G29" s="69"/>
      <c r="H29" s="69"/>
      <c r="I29" s="10"/>
      <c r="J29" s="10"/>
      <c r="K29" s="10"/>
    </row>
    <row r="30" spans="1:11" x14ac:dyDescent="0.25">
      <c r="A30" s="69"/>
      <c r="B30" s="69"/>
      <c r="C30" s="69"/>
      <c r="D30" s="69"/>
      <c r="E30" s="69"/>
      <c r="F30" s="69"/>
      <c r="G30" s="69"/>
      <c r="H30" s="49"/>
      <c r="I30" s="10"/>
      <c r="J30" s="10"/>
      <c r="K30" s="10"/>
    </row>
    <row r="31" spans="1:11" x14ac:dyDescent="0.25">
      <c r="A31" s="69"/>
      <c r="B31" s="69"/>
      <c r="C31" s="69"/>
      <c r="D31" s="69"/>
      <c r="E31" s="69"/>
      <c r="F31" s="69"/>
      <c r="G31" s="69"/>
      <c r="H31" s="69"/>
    </row>
    <row r="32" spans="1:11" x14ac:dyDescent="0.25">
      <c r="A32" s="69"/>
      <c r="B32" s="69"/>
      <c r="C32" s="69"/>
      <c r="D32" s="69"/>
      <c r="E32" s="69"/>
      <c r="F32" s="69"/>
      <c r="G32" s="69"/>
      <c r="H32" s="69"/>
    </row>
  </sheetData>
  <mergeCells count="9">
    <mergeCell ref="B15:E15"/>
    <mergeCell ref="B18:E18"/>
    <mergeCell ref="B20:E20"/>
    <mergeCell ref="B5:I5"/>
    <mergeCell ref="B6:E6"/>
    <mergeCell ref="B7:E7"/>
    <mergeCell ref="B8:E8"/>
    <mergeCell ref="B13:E13"/>
    <mergeCell ref="B14:E14"/>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5"/>
  <sheetViews>
    <sheetView topLeftCell="A4" workbookViewId="0">
      <selection activeCell="E41" sqref="E41"/>
    </sheetView>
  </sheetViews>
  <sheetFormatPr defaultRowHeight="13.2" x14ac:dyDescent="0.25"/>
  <cols>
    <col min="1" max="1" width="4.44140625" customWidth="1"/>
    <col min="6" max="6" width="9.5546875" bestFit="1" customWidth="1"/>
    <col min="7" max="7" width="11.109375" bestFit="1" customWidth="1"/>
    <col min="9" max="9" width="9.6640625" customWidth="1"/>
  </cols>
  <sheetData>
    <row r="2" spans="2:10" ht="13.8" x14ac:dyDescent="0.25">
      <c r="B2" s="298" t="s">
        <v>352</v>
      </c>
    </row>
    <row r="3" spans="2:10" ht="13.8" x14ac:dyDescent="0.25">
      <c r="B3" s="298"/>
    </row>
    <row r="4" spans="2:10" x14ac:dyDescent="0.25">
      <c r="B4" s="300"/>
    </row>
    <row r="5" spans="2:10" x14ac:dyDescent="0.25">
      <c r="B5" s="366" t="s">
        <v>8</v>
      </c>
      <c r="C5" s="366"/>
      <c r="D5" s="366"/>
      <c r="E5" s="366"/>
      <c r="F5" s="366"/>
      <c r="G5" s="366"/>
      <c r="H5" s="366"/>
      <c r="I5" s="366"/>
    </row>
    <row r="6" spans="2:10" x14ac:dyDescent="0.25">
      <c r="B6" s="376"/>
      <c r="C6" s="377"/>
      <c r="D6" s="377"/>
      <c r="E6" s="378"/>
      <c r="F6" s="8">
        <v>2015</v>
      </c>
      <c r="G6" s="8">
        <v>2016</v>
      </c>
      <c r="H6" s="8">
        <v>2017</v>
      </c>
      <c r="I6" s="8" t="s">
        <v>3</v>
      </c>
      <c r="J6" s="10" t="s">
        <v>5</v>
      </c>
    </row>
    <row r="7" spans="2:10" x14ac:dyDescent="0.25">
      <c r="B7" s="370" t="s">
        <v>68</v>
      </c>
      <c r="C7" s="370"/>
      <c r="D7" s="370"/>
      <c r="E7" s="370"/>
      <c r="F7" s="8">
        <v>0</v>
      </c>
      <c r="G7" s="8">
        <v>30.5</v>
      </c>
      <c r="H7" s="8">
        <v>0</v>
      </c>
      <c r="I7" s="8">
        <f>SUM(F7:H7)</f>
        <v>30.5</v>
      </c>
    </row>
    <row r="8" spans="2:10" x14ac:dyDescent="0.25">
      <c r="B8" s="370" t="s">
        <v>31</v>
      </c>
      <c r="C8" s="370"/>
      <c r="D8" s="370"/>
      <c r="E8" s="370"/>
      <c r="F8" s="8">
        <v>0</v>
      </c>
      <c r="G8" s="8">
        <v>45</v>
      </c>
      <c r="H8" s="8">
        <v>0</v>
      </c>
      <c r="I8" s="8">
        <f>SUM(F8:H8)</f>
        <v>45</v>
      </c>
      <c r="J8" s="300" t="s">
        <v>317</v>
      </c>
    </row>
    <row r="9" spans="2:10" x14ac:dyDescent="0.25">
      <c r="B9" s="372" t="s">
        <v>10</v>
      </c>
      <c r="C9" s="372"/>
      <c r="D9" s="372"/>
      <c r="E9" s="372"/>
      <c r="F9" s="9">
        <f>SUM(F7:F8)</f>
        <v>0</v>
      </c>
      <c r="G9" s="9">
        <f t="shared" ref="G9:H9" si="0">SUM(G7:G8)</f>
        <v>75.5</v>
      </c>
      <c r="H9" s="9">
        <f t="shared" si="0"/>
        <v>0</v>
      </c>
      <c r="I9" s="9">
        <f>SUM(F9:H9)</f>
        <v>75.5</v>
      </c>
    </row>
    <row r="10" spans="2:10" x14ac:dyDescent="0.25">
      <c r="B10" s="379" t="s">
        <v>16</v>
      </c>
      <c r="C10" s="379"/>
      <c r="D10" s="379"/>
      <c r="E10" s="379"/>
      <c r="F10" s="40">
        <f>F9*'Staff rate assump'!B10</f>
        <v>0</v>
      </c>
      <c r="G10" s="40">
        <f>G9*'Staff rate assump'!C10</f>
        <v>3760.6550000000002</v>
      </c>
      <c r="H10" s="40">
        <f>H9*'Staff rate assump'!D10</f>
        <v>0</v>
      </c>
      <c r="I10" s="41">
        <f>SUM(F10:H10)</f>
        <v>3760.6550000000002</v>
      </c>
    </row>
    <row r="12" spans="2:10" x14ac:dyDescent="0.25">
      <c r="C12" s="10"/>
      <c r="D12" s="10"/>
      <c r="E12" s="10"/>
      <c r="F12" s="10"/>
      <c r="G12" s="71"/>
      <c r="H12" s="10"/>
      <c r="I12" s="10"/>
      <c r="J12" s="10"/>
    </row>
    <row r="13" spans="2:10" x14ac:dyDescent="0.25">
      <c r="B13" s="376" t="s">
        <v>83</v>
      </c>
      <c r="C13" s="377"/>
      <c r="D13" s="377"/>
      <c r="E13" s="378"/>
      <c r="F13" s="36">
        <v>0</v>
      </c>
      <c r="G13" s="37">
        <f>G23</f>
        <v>95250</v>
      </c>
      <c r="H13" s="36">
        <v>0</v>
      </c>
      <c r="I13" s="38">
        <f>SUM(F13:H13)</f>
        <v>95250</v>
      </c>
    </row>
    <row r="14" spans="2:10" x14ac:dyDescent="0.25">
      <c r="B14" s="10"/>
      <c r="C14" s="10"/>
      <c r="D14" s="10"/>
      <c r="E14" s="10"/>
      <c r="F14" s="10"/>
      <c r="G14" s="10"/>
      <c r="H14" s="10"/>
      <c r="I14" s="10"/>
    </row>
    <row r="15" spans="2:10" x14ac:dyDescent="0.25">
      <c r="B15" s="420" t="s">
        <v>33</v>
      </c>
      <c r="C15" s="421"/>
      <c r="D15" s="421"/>
      <c r="E15" s="422"/>
      <c r="F15" s="89">
        <f>F10+F13</f>
        <v>0</v>
      </c>
      <c r="G15" s="89">
        <f>G10+G13</f>
        <v>99010.654999999999</v>
      </c>
      <c r="H15" s="89">
        <f>H10+H13</f>
        <v>0</v>
      </c>
      <c r="I15" s="89">
        <f>SUM(F15:H15)</f>
        <v>99010.654999999999</v>
      </c>
    </row>
    <row r="17" spans="2:11" x14ac:dyDescent="0.25">
      <c r="B17" s="451" t="s">
        <v>132</v>
      </c>
      <c r="C17" s="452"/>
      <c r="D17" s="452"/>
      <c r="E17" s="453"/>
      <c r="F17" s="72" t="s">
        <v>138</v>
      </c>
      <c r="G17" s="72" t="s">
        <v>139</v>
      </c>
      <c r="H17" s="10"/>
      <c r="I17" s="10"/>
      <c r="J17" s="10"/>
      <c r="K17" s="10"/>
    </row>
    <row r="18" spans="2:11" x14ac:dyDescent="0.25">
      <c r="B18" s="446" t="s">
        <v>353</v>
      </c>
      <c r="C18" s="447"/>
      <c r="D18" s="447"/>
      <c r="E18" s="437"/>
      <c r="F18" s="72">
        <v>25</v>
      </c>
      <c r="G18" s="74">
        <f>F18*150</f>
        <v>3750</v>
      </c>
      <c r="H18" s="10" t="s">
        <v>318</v>
      </c>
      <c r="K18" s="10"/>
    </row>
    <row r="19" spans="2:11" x14ac:dyDescent="0.25">
      <c r="B19" s="446" t="s">
        <v>134</v>
      </c>
      <c r="C19" s="447"/>
      <c r="D19" s="447"/>
      <c r="E19" s="437"/>
      <c r="F19" s="72">
        <v>240</v>
      </c>
      <c r="G19" s="74">
        <f>F19*150</f>
        <v>36000</v>
      </c>
      <c r="K19" s="10"/>
    </row>
    <row r="20" spans="2:11" x14ac:dyDescent="0.25">
      <c r="B20" s="446" t="s">
        <v>135</v>
      </c>
      <c r="C20" s="447"/>
      <c r="D20" s="447"/>
      <c r="E20" s="437"/>
      <c r="F20" s="72">
        <v>40</v>
      </c>
      <c r="G20" s="74">
        <f>F20*150</f>
        <v>6000</v>
      </c>
      <c r="I20" s="10"/>
      <c r="J20" s="10"/>
      <c r="K20" s="10"/>
    </row>
    <row r="21" spans="2:11" x14ac:dyDescent="0.25">
      <c r="B21" s="446" t="s">
        <v>354</v>
      </c>
      <c r="C21" s="447"/>
      <c r="D21" s="447"/>
      <c r="E21" s="437"/>
      <c r="F21" s="72">
        <v>250</v>
      </c>
      <c r="G21" s="74">
        <f>F21*150</f>
        <v>37500</v>
      </c>
      <c r="I21" s="10"/>
      <c r="J21" s="10"/>
      <c r="K21" s="10"/>
    </row>
    <row r="22" spans="2:11" x14ac:dyDescent="0.25">
      <c r="B22" s="446" t="s">
        <v>136</v>
      </c>
      <c r="C22" s="447"/>
      <c r="D22" s="447"/>
      <c r="E22" s="437"/>
      <c r="F22" s="72">
        <v>80</v>
      </c>
      <c r="G22" s="74">
        <f>F22*150</f>
        <v>12000</v>
      </c>
      <c r="I22" s="10"/>
      <c r="J22" s="10"/>
      <c r="K22" s="10"/>
    </row>
    <row r="23" spans="2:11" x14ac:dyDescent="0.25">
      <c r="B23" s="448" t="s">
        <v>3</v>
      </c>
      <c r="C23" s="449"/>
      <c r="D23" s="449"/>
      <c r="E23" s="450"/>
      <c r="F23" s="72">
        <f>SUM(F18:F22)</f>
        <v>635</v>
      </c>
      <c r="G23" s="199">
        <f>SUM(G18:G22)</f>
        <v>95250</v>
      </c>
      <c r="I23" s="10"/>
      <c r="J23" s="10"/>
      <c r="K23" s="10"/>
    </row>
    <row r="24" spans="2:11" x14ac:dyDescent="0.25">
      <c r="B24" s="3"/>
      <c r="C24" s="3"/>
      <c r="D24" s="3"/>
      <c r="E24" s="3"/>
      <c r="F24" s="3"/>
      <c r="G24" s="3"/>
      <c r="I24" s="10"/>
      <c r="J24" s="10"/>
      <c r="K24" s="10"/>
    </row>
    <row r="25" spans="2:11" x14ac:dyDescent="0.25">
      <c r="H25" s="10"/>
      <c r="I25" s="10"/>
      <c r="J25" s="10"/>
      <c r="K25" s="10"/>
    </row>
  </sheetData>
  <mergeCells count="15">
    <mergeCell ref="B10:E10"/>
    <mergeCell ref="B5:I5"/>
    <mergeCell ref="B6:E6"/>
    <mergeCell ref="B7:E7"/>
    <mergeCell ref="B8:E8"/>
    <mergeCell ref="B9:E9"/>
    <mergeCell ref="B21:E21"/>
    <mergeCell ref="B22:E22"/>
    <mergeCell ref="B23:E23"/>
    <mergeCell ref="B13:E13"/>
    <mergeCell ref="B15:E15"/>
    <mergeCell ref="B17:E17"/>
    <mergeCell ref="B18:E18"/>
    <mergeCell ref="B19:E19"/>
    <mergeCell ref="B20:E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Overall Summary</vt:lpstr>
      <vt:lpstr>Staff Hours Summary</vt:lpstr>
      <vt:lpstr>SVFCM</vt:lpstr>
      <vt:lpstr>GT</vt:lpstr>
      <vt:lpstr>TAGTRM</vt:lpstr>
      <vt:lpstr>Mkt Characterizations</vt:lpstr>
      <vt:lpstr>Benchmarking</vt:lpstr>
      <vt:lpstr>NRA</vt:lpstr>
      <vt:lpstr>Admin Efficiency</vt:lpstr>
      <vt:lpstr>ESA CCP</vt:lpstr>
      <vt:lpstr>Regional</vt:lpstr>
      <vt:lpstr>Behavioral</vt:lpstr>
      <vt:lpstr>Plan&amp;Mgmt</vt:lpstr>
      <vt:lpstr>HPwES</vt:lpstr>
      <vt:lpstr>SMEEP</vt:lpstr>
      <vt:lpstr>RFP-Contract Process Assump</vt:lpstr>
      <vt:lpstr>Staff rate assump</vt:lpstr>
      <vt:lpstr>HPwEs (elec)</vt:lpstr>
      <vt:lpstr>OPA</vt:lpstr>
      <vt:lpstr>TEPF Potential</vt:lpstr>
    </vt:vector>
  </TitlesOfParts>
  <Company>State of Vermont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Barry.Murphy@state.vt.us</dc:creator>
  <cp:lastModifiedBy>brian.cotterill</cp:lastModifiedBy>
  <cp:lastPrinted>2014-04-07T18:45:00Z</cp:lastPrinted>
  <dcterms:created xsi:type="dcterms:W3CDTF">2011-01-20T14:49:54Z</dcterms:created>
  <dcterms:modified xsi:type="dcterms:W3CDTF">2014-04-10T20:34:06Z</dcterms:modified>
</cp:coreProperties>
</file>